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2" documentId="8_{8708AE0E-2F42-4A7F-A6DB-0FC78F78C6C9}" xr6:coauthVersionLast="47" xr6:coauthVersionMax="47" xr10:uidLastSave="{CCD342D7-B6FE-43C3-AA24-EB62C42E5878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6" r:id="rId53"/>
    <sheet name="324" sheetId="75" r:id="rId54"/>
    <sheet name="333" sheetId="34" r:id="rId55"/>
    <sheet name="307" sheetId="64" r:id="rId56"/>
    <sheet name="331" sheetId="28" r:id="rId57"/>
    <sheet name="315" sheetId="69" r:id="rId58"/>
    <sheet name="326" sheetId="77" r:id="rId59"/>
    <sheet name="332" sheetId="31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8">'300'!$D$13:$D$80</definedName>
    <definedName name="OSRRefD13x_0" localSheetId="49">'300 &amp; 317'!$D$13:$D$95</definedName>
    <definedName name="OSRRefD13x_0" localSheetId="55">'307'!$D$13:$D$25</definedName>
    <definedName name="OSRRefD13x_0" localSheetId="51">'308'!$D$13:$D$38</definedName>
    <definedName name="OSRRefD13x_0" localSheetId="64">'309'!$D$13:$D$16</definedName>
    <definedName name="OSRRefD13x_0" localSheetId="63">'310'!$D$13:$D$23</definedName>
    <definedName name="OSRRefD13x_0" localSheetId="71">'310 &amp; 491'!$D$13:$D$26</definedName>
    <definedName name="OSRRefD13x_0" localSheetId="52">'311'!$D$13:$D$38</definedName>
    <definedName name="OSRRefD13x_0" localSheetId="65">'313'!$D$13:$D$16</definedName>
    <definedName name="OSRRefD13x_0" localSheetId="57">'315'!$D$13:$D$54</definedName>
    <definedName name="OSRRefD13x_0" localSheetId="60">'316'!$D$13:$D$25</definedName>
    <definedName name="OSRRefD13x_0" localSheetId="62">'317'!$D$13:$D$34</definedName>
    <definedName name="OSRRefD13x_0" localSheetId="66">'321'!$D$13:$D$16</definedName>
    <definedName name="OSRRefD13x_0" localSheetId="53">'324'!$D$13:$D$16</definedName>
    <definedName name="OSRRefD13x_0" localSheetId="68">'325'!$D$13:$D$14</definedName>
    <definedName name="OSRRefD13x_0" localSheetId="58">'326'!$D$13:$D$36</definedName>
    <definedName name="OSRRefD13x_0" localSheetId="69">'327'!$D$13:$D$14</definedName>
    <definedName name="OSRRefD13x_0" localSheetId="56">'331'!$D$13:$D$54</definedName>
    <definedName name="OSRRefD13x_0" localSheetId="59">'332'!$D$13:$D$25</definedName>
    <definedName name="OSRRefD13x_0" localSheetId="54">'333'!$D$13:$D$56</definedName>
    <definedName name="OSRRefD13x_0" localSheetId="73">'405'!$D$13:$D$14</definedName>
    <definedName name="OSRRefD13x_0" localSheetId="78">'414'!$D$13</definedName>
    <definedName name="OSRRefD13x_0" localSheetId="79">'415'!$D$13:$D$14</definedName>
    <definedName name="OSRRefD13x_0" localSheetId="81">'420'!$D$13:$D$14</definedName>
    <definedName name="OSRRefD13x_0" localSheetId="84">'425'!$D$13</definedName>
    <definedName name="OSRRefD13x_0" localSheetId="88">'433'!$D$13:$D$15</definedName>
    <definedName name="OSRRefD13x_0" localSheetId="89">'435'!$D$13:$D$14</definedName>
    <definedName name="OSRRefD13x_0" localSheetId="90">'444'!$D$13:$D$15</definedName>
    <definedName name="OSRRefD13x_0" localSheetId="91">'450'!$D$13:$D$15</definedName>
    <definedName name="OSRRefD13x_0" localSheetId="72">'491'!$D$13:$D$18</definedName>
    <definedName name="OSRRefD13x_0" localSheetId="86">'492'!$D$13:$D$17</definedName>
    <definedName name="OSRRefD13x_0" localSheetId="93">'501'!$D$13</definedName>
    <definedName name="OSRRefD13x_0" localSheetId="47">'Div 3'!$D$13:$D$85</definedName>
    <definedName name="OSRRefD13x_0" localSheetId="70">'Div 4'!$D$13:$D$21</definedName>
    <definedName name="OSRRefD13x_0" localSheetId="92">'Div 5'!$D$13</definedName>
    <definedName name="OSRRefD13x_0" localSheetId="61">'Div 6'!$D$13:$D$34</definedName>
    <definedName name="OSRRefD13x_0" localSheetId="2">Summary!$D$13:$D$105</definedName>
    <definedName name="OSRRefD16x_0" localSheetId="48">'300'!$D$83:$D$123</definedName>
    <definedName name="OSRRefD16x_0" localSheetId="49">'300 &amp; 317'!$D$98:$D$147</definedName>
    <definedName name="OSRRefD16x_0" localSheetId="50">'301'!$D$15:$D$16</definedName>
    <definedName name="OSRRefD16x_0" localSheetId="55">'307'!$D$28:$D$37</definedName>
    <definedName name="OSRRefD16x_0" localSheetId="51">'308'!$D$41:$D$57</definedName>
    <definedName name="OSRRefD16x_0" localSheetId="64">'309'!$D$19:$D$20</definedName>
    <definedName name="OSRRefD16x_0" localSheetId="63">'310'!$D$26:$D$28</definedName>
    <definedName name="OSRRefD16x_0" localSheetId="71">'310 &amp; 491'!$D$29:$D$31</definedName>
    <definedName name="OSRRefD16x_0" localSheetId="52">'311'!$D$41:$D$57</definedName>
    <definedName name="OSRRefD16x_0" localSheetId="65">'313'!$D$19</definedName>
    <definedName name="OSRRefD16x_0" localSheetId="57">'315'!$D$57:$D$81</definedName>
    <definedName name="OSRRefD16x_0" localSheetId="60">'316'!$D$28</definedName>
    <definedName name="OSRRefD16x_0" localSheetId="62">'317'!$D$37:$D$50</definedName>
    <definedName name="OSRRefD16x_0" localSheetId="66">'321'!$D$19:$D$21</definedName>
    <definedName name="OSRRefD16x_0" localSheetId="67">'322'!$D$15</definedName>
    <definedName name="OSRRefD16x_0" localSheetId="53">'324'!$D$19:$D$21</definedName>
    <definedName name="OSRRefD16x_0" localSheetId="68">'325'!$D$17:$D$18</definedName>
    <definedName name="OSRRefD16x_0" localSheetId="58">'326'!$D$39:$D$46</definedName>
    <definedName name="OSRRefD16x_0" localSheetId="69">'327'!$D$17:$D$18</definedName>
    <definedName name="OSRRefD16x_0" localSheetId="56">'331'!$D$57:$D$82</definedName>
    <definedName name="OSRRefD16x_0" localSheetId="59">'332'!$D$28:$D$30</definedName>
    <definedName name="OSRRefD16x_0" localSheetId="54">'333'!$D$59:$D$84</definedName>
    <definedName name="OSRRefD16x_0" localSheetId="73">'405'!$D$17:$D$18</definedName>
    <definedName name="OSRRefD16x_0" localSheetId="78">'414'!$D$16</definedName>
    <definedName name="OSRRefD16x_0" localSheetId="79">'415'!$D$17:$D$18</definedName>
    <definedName name="OSRRefD16x_0" localSheetId="80">'418'!$D$15</definedName>
    <definedName name="OSRRefD16x_0" localSheetId="84">'425'!$D$16</definedName>
    <definedName name="OSRRefD16x_0" localSheetId="88">'433'!$D$18:$D$19</definedName>
    <definedName name="OSRRefD16x_0" localSheetId="89">'435'!$D$17</definedName>
    <definedName name="OSRRefD16x_0" localSheetId="90">'444'!$D$18:$D$19</definedName>
    <definedName name="OSRRefD16x_0" localSheetId="91">'450'!$D$18:$D$19</definedName>
    <definedName name="OSRRefD16x_0" localSheetId="72">'491'!$D$21:$D$22</definedName>
    <definedName name="OSRRefD16x_0" localSheetId="86">'492'!$D$20:$D$21</definedName>
    <definedName name="OSRRefD16x_0" localSheetId="47">'Div 3'!$D$88:$D$130</definedName>
    <definedName name="OSRRefD16x_0" localSheetId="70">'Div 4'!$D$24:$D$25</definedName>
    <definedName name="OSRRefD16x_0" localSheetId="61">'Div 6'!$D$37:$D$50</definedName>
    <definedName name="OSRRefD16x_0" localSheetId="2">Summary!$D$108:$D$159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'300'!$D$129:$D$138</definedName>
    <definedName name="OSRRefD22_0x_0" localSheetId="49">'300 &amp; 317'!$D$153:$D$162</definedName>
    <definedName name="OSRRefD22_0x_0" localSheetId="50">'301'!$D$22:$D$31</definedName>
    <definedName name="OSRRefD22_0x_0" localSheetId="55">'307'!$D$43:$D$48</definedName>
    <definedName name="OSRRefD22_0x_0" localSheetId="51">'308'!$D$63:$D$71</definedName>
    <definedName name="OSRRefD22_0x_0" localSheetId="64">'309'!$D$26:$D$27</definedName>
    <definedName name="OSRRefD22_0x_0" localSheetId="63">'310'!$D$34:$D$42</definedName>
    <definedName name="OSRRefD22_0x_0" localSheetId="71">'310 &amp; 491'!$D$37:$D$45</definedName>
    <definedName name="OSRRefD22_0x_0" localSheetId="52">'311'!$D$63:$D$71</definedName>
    <definedName name="OSRRefD22_0x_0" localSheetId="65">'313'!$D$25:$D$32</definedName>
    <definedName name="OSRRefD22_0x_0" localSheetId="57">'315'!$D$87:$D$94</definedName>
    <definedName name="OSRRefD22_0x_0" localSheetId="60">'316'!$D$34:$D$41</definedName>
    <definedName name="OSRRefD22_0x_0" localSheetId="62">'317'!$D$56:$D$64</definedName>
    <definedName name="OSRRefD22_0x_0" localSheetId="66">'321'!$D$27:$D$35</definedName>
    <definedName name="OSRRefD22_0x_0" localSheetId="67">'322'!$D$21:$D$25</definedName>
    <definedName name="OSRRefD22_0x_0" localSheetId="68">'325'!$D$24:$D$31</definedName>
    <definedName name="OSRRefD22_0x_0" localSheetId="58">'326'!$D$52:$D$59</definedName>
    <definedName name="OSRRefD22_0x_0" localSheetId="69">'327'!$D$24</definedName>
    <definedName name="OSRRefD22_0x_0" localSheetId="56">'331'!$D$88:$D$95</definedName>
    <definedName name="OSRRefD22_0x_0" localSheetId="59">'332'!$D$36:$D$43</definedName>
    <definedName name="OSRRefD22_0x_0" localSheetId="54">'333'!$D$90:$D$97</definedName>
    <definedName name="OSRRefD22_0x_0" localSheetId="73">'405'!$D$24:$D$31</definedName>
    <definedName name="OSRRefD22_0x_0" localSheetId="74">'406'!$D$20</definedName>
    <definedName name="OSRRefD22_0x_0" localSheetId="75">'411'!$D$20:$D$27</definedName>
    <definedName name="OSRRefD22_0x_0" localSheetId="76">'412'!$D$20</definedName>
    <definedName name="OSRRefD22_0x_0" localSheetId="77">'413'!$D$20:$D$24</definedName>
    <definedName name="OSRRefD22_0x_0" localSheetId="78">'414'!$D$22</definedName>
    <definedName name="OSRRefD22_0x_0" localSheetId="79">'415'!$D$24:$D$32</definedName>
    <definedName name="OSRRefD22_0x_0" localSheetId="80">'418'!$D$21:$D$28</definedName>
    <definedName name="OSRRefD22_0x_0" localSheetId="81">'420'!$D$22</definedName>
    <definedName name="OSRRefD22_0x_0" localSheetId="82">'423'!$D$20:$D$21</definedName>
    <definedName name="OSRRefD22_0x_0" localSheetId="83">'424'!$D$20</definedName>
    <definedName name="OSRRefD22_0x_0" localSheetId="84">'425'!$D$22:$D$26</definedName>
    <definedName name="OSRRefD22_0x_0" localSheetId="87">'430'!$D$20:$D$27</definedName>
    <definedName name="OSRRefD22_0x_0" localSheetId="88">'433'!$D$25:$D$33</definedName>
    <definedName name="OSRRefD22_0x_0" localSheetId="89">'435'!$D$23:$D$24</definedName>
    <definedName name="OSRRefD22_0x_0" localSheetId="90">'444'!$D$25:$D$33</definedName>
    <definedName name="OSRRefD22_0x_0" localSheetId="91">'450'!$D$25:$D$33</definedName>
    <definedName name="OSRRefD22_0x_0" localSheetId="72">'491'!$D$28:$D$36</definedName>
    <definedName name="OSRRefD22_0x_0" localSheetId="86">'492'!$D$27:$D$35</definedName>
    <definedName name="OSRRefD22_0x_0" localSheetId="93">'501'!$D$21:$D$29</definedName>
    <definedName name="OSRRefD22_0x_0" localSheetId="39">'Div 2'!$D$20:$D$30</definedName>
    <definedName name="OSRRefD22_0x_0" localSheetId="47">'Div 3'!$D$136:$D$145</definedName>
    <definedName name="OSRRefD22_0x_0" localSheetId="70">'Div 4'!$D$31:$D$39</definedName>
    <definedName name="OSRRefD22_0x_0" localSheetId="92">'Div 5'!$D$21:$D$29</definedName>
    <definedName name="OSRRefD22_0x_0" localSheetId="61">'Div 6'!$D$56:$D$64</definedName>
    <definedName name="OSRRefD22_0x_0" localSheetId="2">Summary!$D$165:$D$174</definedName>
    <definedName name="OSRRefD22_10x_0" localSheetId="41">'201'!$D$52:$D$54</definedName>
    <definedName name="OSRRefD22_10x_0" localSheetId="42">'202'!$D$54</definedName>
    <definedName name="OSRRefD22_10x_0" localSheetId="43">'203'!$D$56:$D$59</definedName>
    <definedName name="OSRRefD22_10x_0" localSheetId="48">'300'!$D$167:$D$168</definedName>
    <definedName name="OSRRefD22_10x_0" localSheetId="49">'300 &amp; 317'!$D$191:$D$192</definedName>
    <definedName name="OSRRefD22_10x_0" localSheetId="50">'301'!$D$60</definedName>
    <definedName name="OSRRefD22_10x_0" localSheetId="55">'307'!$D$74</definedName>
    <definedName name="OSRRefD22_10x_0" localSheetId="51">'308'!$D$101:$D$102</definedName>
    <definedName name="OSRRefD22_10x_0" localSheetId="64">'309'!$D$50:$D$51</definedName>
    <definedName name="OSRRefD22_10x_0" localSheetId="63">'310'!$D$68</definedName>
    <definedName name="OSRRefD22_10x_0" localSheetId="71">'310 &amp; 491'!$D$73</definedName>
    <definedName name="OSRRefD22_10x_0" localSheetId="52">'311'!$D$101:$D$102</definedName>
    <definedName name="OSRRefD22_10x_0" localSheetId="57">'315'!$D$122:$D$123</definedName>
    <definedName name="OSRRefD22_10x_0" localSheetId="60">'316'!$D$67</definedName>
    <definedName name="OSRRefD22_10x_0" localSheetId="62">'317'!$D$89:$D$92</definedName>
    <definedName name="OSRRefD22_10x_0" localSheetId="66">'321'!$D$63:$D$67</definedName>
    <definedName name="OSRRefD22_10x_0" localSheetId="68">'325'!$D$54:$D$55</definedName>
    <definedName name="OSRRefD22_10x_0" localSheetId="58">'326'!$D$84</definedName>
    <definedName name="OSRRefD22_10x_0" localSheetId="56">'331'!$D$122</definedName>
    <definedName name="OSRRefD22_10x_0" localSheetId="59">'332'!$D$69</definedName>
    <definedName name="OSRRefD22_10x_0" localSheetId="54">'333'!$D$124</definedName>
    <definedName name="OSRRefD22_10x_0" localSheetId="73">'405'!$D$55:$D$56</definedName>
    <definedName name="OSRRefD22_10x_0" localSheetId="75">'411'!$D$52:$D$55</definedName>
    <definedName name="OSRRefD22_10x_0" localSheetId="79">'415'!$D$57</definedName>
    <definedName name="OSRRefD22_10x_0" localSheetId="80">'418'!$D$53</definedName>
    <definedName name="OSRRefD22_10x_0" localSheetId="88">'433'!$D$58</definedName>
    <definedName name="OSRRefD22_10x_0" localSheetId="90">'444'!$D$58</definedName>
    <definedName name="OSRRefD22_10x_0" localSheetId="91">'450'!$D$57</definedName>
    <definedName name="OSRRefD22_10x_0" localSheetId="72">'491'!$D$62</definedName>
    <definedName name="OSRRefD22_10x_0" localSheetId="86">'492'!$D$61</definedName>
    <definedName name="OSRRefD22_10x_0" localSheetId="93">'501'!$D$59</definedName>
    <definedName name="OSRRefD22_10x_0" localSheetId="39">'Div 2'!$D$56</definedName>
    <definedName name="OSRRefD22_10x_0" localSheetId="47">'Div 3'!$D$174:$D$175</definedName>
    <definedName name="OSRRefD22_10x_0" localSheetId="70">'Div 4'!$D$66</definedName>
    <definedName name="OSRRefD22_10x_0" localSheetId="92">'Div 5'!$D$59</definedName>
    <definedName name="OSRRefD22_10x_0" localSheetId="61">'Div 6'!$D$89:$D$92</definedName>
    <definedName name="OSRRefD22_10x_0" localSheetId="2">Summary!$D$203:$D$204</definedName>
    <definedName name="OSRRefD22_11x_0" localSheetId="41">'201'!$D$56</definedName>
    <definedName name="OSRRefD22_11x_0" localSheetId="42">'202'!$D$56</definedName>
    <definedName name="OSRRefD22_11x_0" localSheetId="43">'203'!$D$61</definedName>
    <definedName name="OSRRefD22_11x_0" localSheetId="48">'300'!$D$170</definedName>
    <definedName name="OSRRefD22_11x_0" localSheetId="49">'300 &amp; 317'!$D$194</definedName>
    <definedName name="OSRRefD22_11x_0" localSheetId="50">'301'!$D$62</definedName>
    <definedName name="OSRRefD22_11x_0" localSheetId="55">'307'!$D$76:$D$79</definedName>
    <definedName name="OSRRefD22_11x_0" localSheetId="51">'308'!$D$104:$D$105</definedName>
    <definedName name="OSRRefD22_11x_0" localSheetId="64">'309'!$D$53</definedName>
    <definedName name="OSRRefD22_11x_0" localSheetId="63">'310'!$D$70:$D$71</definedName>
    <definedName name="OSRRefD22_11x_0" localSheetId="71">'310 &amp; 491'!$D$75</definedName>
    <definedName name="OSRRefD22_11x_0" localSheetId="52">'311'!$D$104:$D$105</definedName>
    <definedName name="OSRRefD22_11x_0" localSheetId="57">'315'!$D$125:$D$126</definedName>
    <definedName name="OSRRefD22_11x_0" localSheetId="60">'316'!$D$69:$D$74</definedName>
    <definedName name="OSRRefD22_11x_0" localSheetId="62">'317'!$D$94</definedName>
    <definedName name="OSRRefD22_11x_0" localSheetId="66">'321'!$D$69</definedName>
    <definedName name="OSRRefD22_11x_0" localSheetId="68">'325'!$D$57:$D$60</definedName>
    <definedName name="OSRRefD22_11x_0" localSheetId="58">'326'!$D$86:$D$88</definedName>
    <definedName name="OSRRefD22_11x_0" localSheetId="56">'331'!$D$124:$D$125</definedName>
    <definedName name="OSRRefD22_11x_0" localSheetId="59">'332'!$D$71:$D$76</definedName>
    <definedName name="OSRRefD22_11x_0" localSheetId="54">'333'!$D$126:$D$127</definedName>
    <definedName name="OSRRefD22_11x_0" localSheetId="73">'405'!$D$58:$D$61</definedName>
    <definedName name="OSRRefD22_11x_0" localSheetId="75">'411'!$D$57:$D$59</definedName>
    <definedName name="OSRRefD22_11x_0" localSheetId="79">'415'!$D$59:$D$60</definedName>
    <definedName name="OSRRefD22_11x_0" localSheetId="80">'418'!$D$55:$D$60</definedName>
    <definedName name="OSRRefD22_11x_0" localSheetId="88">'433'!$D$60:$D$61</definedName>
    <definedName name="OSRRefD22_11x_0" localSheetId="90">'444'!$D$60:$D$61</definedName>
    <definedName name="OSRRefD22_11x_0" localSheetId="91">'450'!$D$59</definedName>
    <definedName name="OSRRefD22_11x_0" localSheetId="72">'491'!$D$64</definedName>
    <definedName name="OSRRefD22_11x_0" localSheetId="86">'492'!$D$63</definedName>
    <definedName name="OSRRefD22_11x_0" localSheetId="39">'Div 2'!$D$58</definedName>
    <definedName name="OSRRefD22_11x_0" localSheetId="47">'Div 3'!$D$177</definedName>
    <definedName name="OSRRefD22_11x_0" localSheetId="70">'Div 4'!$D$68</definedName>
    <definedName name="OSRRefD22_11x_0" localSheetId="61">'Div 6'!$D$94</definedName>
    <definedName name="OSRRefD22_11x_0" localSheetId="2">Summary!$D$206</definedName>
    <definedName name="OSRRefD22_12x_0" localSheetId="41">'201'!$D$58:$D$59</definedName>
    <definedName name="OSRRefD22_12x_0" localSheetId="42">'202'!$D$58</definedName>
    <definedName name="OSRRefD22_12x_0" localSheetId="43">'203'!$D$63</definedName>
    <definedName name="OSRRefD22_12x_0" localSheetId="48">'300'!$D$172</definedName>
    <definedName name="OSRRefD22_12x_0" localSheetId="49">'300 &amp; 317'!$D$196</definedName>
    <definedName name="OSRRefD22_12x_0" localSheetId="50">'301'!$D$64</definedName>
    <definedName name="OSRRefD22_12x_0" localSheetId="55">'307'!$D$81</definedName>
    <definedName name="OSRRefD22_12x_0" localSheetId="51">'308'!$D$107:$D$108</definedName>
    <definedName name="OSRRefD22_12x_0" localSheetId="64">'309'!$D$55</definedName>
    <definedName name="OSRRefD22_12x_0" localSheetId="63">'310'!$D$73</definedName>
    <definedName name="OSRRefD22_12x_0" localSheetId="71">'310 &amp; 491'!$D$77</definedName>
    <definedName name="OSRRefD22_12x_0" localSheetId="52">'311'!$D$107:$D$108</definedName>
    <definedName name="OSRRefD22_12x_0" localSheetId="57">'315'!$D$128:$D$129</definedName>
    <definedName name="OSRRefD22_12x_0" localSheetId="60">'316'!$D$76</definedName>
    <definedName name="OSRRefD22_12x_0" localSheetId="62">'317'!$D$96</definedName>
    <definedName name="OSRRefD22_12x_0" localSheetId="66">'321'!$D$71</definedName>
    <definedName name="OSRRefD22_12x_0" localSheetId="68">'325'!$D$62:$D$67</definedName>
    <definedName name="OSRRefD22_12x_0" localSheetId="58">'326'!$D$90:$D$92</definedName>
    <definedName name="OSRRefD22_12x_0" localSheetId="56">'331'!$D$127</definedName>
    <definedName name="OSRRefD22_12x_0" localSheetId="59">'332'!$D$78</definedName>
    <definedName name="OSRRefD22_12x_0" localSheetId="54">'333'!$D$129</definedName>
    <definedName name="OSRRefD22_12x_0" localSheetId="73">'405'!$D$63</definedName>
    <definedName name="OSRRefD22_12x_0" localSheetId="75">'411'!$D$61</definedName>
    <definedName name="OSRRefD22_12x_0" localSheetId="79">'415'!$D$62:$D$65</definedName>
    <definedName name="OSRRefD22_12x_0" localSheetId="80">'418'!$D$62</definedName>
    <definedName name="OSRRefD22_12x_0" localSheetId="88">'433'!$D$63:$D$65</definedName>
    <definedName name="OSRRefD22_12x_0" localSheetId="90">'444'!$D$63:$D$66</definedName>
    <definedName name="OSRRefD22_12x_0" localSheetId="91">'450'!$D$61:$D$62</definedName>
    <definedName name="OSRRefD22_12x_0" localSheetId="72">'491'!$D$66</definedName>
    <definedName name="OSRRefD22_12x_0" localSheetId="86">'492'!$D$65:$D$67</definedName>
    <definedName name="OSRRefD22_12x_0" localSheetId="39">'Div 2'!$D$60:$D$62</definedName>
    <definedName name="OSRRefD22_12x_0" localSheetId="47">'Div 3'!$D$179</definedName>
    <definedName name="OSRRefD22_12x_0" localSheetId="70">'Div 4'!$D$70</definedName>
    <definedName name="OSRRefD22_12x_0" localSheetId="61">'Div 6'!$D$96</definedName>
    <definedName name="OSRRefD22_12x_0" localSheetId="2">Summary!$D$208</definedName>
    <definedName name="OSRRefD22_13x_0" localSheetId="41">'201'!$D$61</definedName>
    <definedName name="OSRRefD22_13x_0" localSheetId="43">'203'!$D$65</definedName>
    <definedName name="OSRRefD22_13x_0" localSheetId="48">'300'!$D$174:$D$175</definedName>
    <definedName name="OSRRefD22_13x_0" localSheetId="49">'300 &amp; 317'!$D$198:$D$199</definedName>
    <definedName name="OSRRefD22_13x_0" localSheetId="50">'301'!$D$66</definedName>
    <definedName name="OSRRefD22_13x_0" localSheetId="55">'307'!$D$83</definedName>
    <definedName name="OSRRefD22_13x_0" localSheetId="51">'308'!$D$110</definedName>
    <definedName name="OSRRefD22_13x_0" localSheetId="63">'310'!$D$75:$D$78</definedName>
    <definedName name="OSRRefD22_13x_0" localSheetId="71">'310 &amp; 491'!$D$79:$D$82</definedName>
    <definedName name="OSRRefD22_13x_0" localSheetId="52">'311'!$D$110</definedName>
    <definedName name="OSRRefD22_13x_0" localSheetId="57">'315'!$D$131:$D$135</definedName>
    <definedName name="OSRRefD22_13x_0" localSheetId="60">'316'!$D$78</definedName>
    <definedName name="OSRRefD22_13x_0" localSheetId="66">'321'!$D$73</definedName>
    <definedName name="OSRRefD22_13x_0" localSheetId="68">'325'!$D$69</definedName>
    <definedName name="OSRRefD22_13x_0" localSheetId="58">'326'!$D$94:$D$95</definedName>
    <definedName name="OSRRefD22_13x_0" localSheetId="56">'331'!$D$129</definedName>
    <definedName name="OSRRefD22_13x_0" localSheetId="59">'332'!$D$80</definedName>
    <definedName name="OSRRefD22_13x_0" localSheetId="54">'333'!$D$131</definedName>
    <definedName name="OSRRefD22_13x_0" localSheetId="73">'405'!$D$65:$D$73</definedName>
    <definedName name="OSRRefD22_13x_0" localSheetId="75">'411'!$D$63:$D$64</definedName>
    <definedName name="OSRRefD22_13x_0" localSheetId="79">'415'!$D$67</definedName>
    <definedName name="OSRRefD22_13x_0" localSheetId="80">'418'!$D$64</definedName>
    <definedName name="OSRRefD22_13x_0" localSheetId="88">'433'!$D$67:$D$74</definedName>
    <definedName name="OSRRefD22_13x_0" localSheetId="90">'444'!$D$68</definedName>
    <definedName name="OSRRefD22_13x_0" localSheetId="91">'450'!$D$64:$D$66</definedName>
    <definedName name="OSRRefD22_13x_0" localSheetId="72">'491'!$D$68:$D$71</definedName>
    <definedName name="OSRRefD22_13x_0" localSheetId="86">'492'!$D$69:$D$72</definedName>
    <definedName name="OSRRefD22_13x_0" localSheetId="39">'Div 2'!$D$64:$D$67</definedName>
    <definedName name="OSRRefD22_13x_0" localSheetId="47">'Div 3'!$D$181</definedName>
    <definedName name="OSRRefD22_13x_0" localSheetId="70">'Div 4'!$D$72</definedName>
    <definedName name="OSRRefD22_13x_0" localSheetId="2">Summary!$D$210</definedName>
    <definedName name="OSRRefD22_14x_0" localSheetId="41">'201'!$D$63</definedName>
    <definedName name="OSRRefD22_14x_0" localSheetId="48">'300'!$D$177</definedName>
    <definedName name="OSRRefD22_14x_0" localSheetId="49">'300 &amp; 317'!$D$201</definedName>
    <definedName name="OSRRefD22_14x_0" localSheetId="50">'301'!$D$68</definedName>
    <definedName name="OSRRefD22_14x_0" localSheetId="51">'308'!$D$112</definedName>
    <definedName name="OSRRefD22_14x_0" localSheetId="63">'310'!$D$80:$D$85</definedName>
    <definedName name="OSRRefD22_14x_0" localSheetId="71">'310 &amp; 491'!$D$84</definedName>
    <definedName name="OSRRefD22_14x_0" localSheetId="52">'311'!$D$112</definedName>
    <definedName name="OSRRefD22_14x_0" localSheetId="57">'315'!$D$137</definedName>
    <definedName name="OSRRefD22_14x_0" localSheetId="68">'325'!$D$71</definedName>
    <definedName name="OSRRefD22_14x_0" localSheetId="58">'326'!$D$97:$D$100</definedName>
    <definedName name="OSRRefD22_14x_0" localSheetId="56">'331'!$D$131:$D$133</definedName>
    <definedName name="OSRRefD22_14x_0" localSheetId="54">'333'!$D$133:$D$135</definedName>
    <definedName name="OSRRefD22_14x_0" localSheetId="73">'405'!$D$75</definedName>
    <definedName name="OSRRefD22_14x_0" localSheetId="75">'411'!$D$66</definedName>
    <definedName name="OSRRefD22_14x_0" localSheetId="79">'415'!$D$69:$D$74</definedName>
    <definedName name="OSRRefD22_14x_0" localSheetId="88">'433'!$D$76</definedName>
    <definedName name="OSRRefD22_14x_0" localSheetId="90">'444'!$D$70:$D$77</definedName>
    <definedName name="OSRRefD22_14x_0" localSheetId="91">'450'!$D$68:$D$73</definedName>
    <definedName name="OSRRefD22_14x_0" localSheetId="72">'491'!$D$73</definedName>
    <definedName name="OSRRefD22_14x_0" localSheetId="86">'492'!$D$74</definedName>
    <definedName name="OSRRefD22_14x_0" localSheetId="39">'Div 2'!$D$69</definedName>
    <definedName name="OSRRefD22_14x_0" localSheetId="47">'Div 3'!$D$183:$D$184</definedName>
    <definedName name="OSRRefD22_14x_0" localSheetId="70">'Div 4'!$D$74</definedName>
    <definedName name="OSRRefD22_14x_0" localSheetId="2">Summary!$D$212:$D$213</definedName>
    <definedName name="OSRRefD22_15x_0" localSheetId="48">'300'!$D$179</definedName>
    <definedName name="OSRRefD22_15x_0" localSheetId="49">'300 &amp; 317'!$D$203</definedName>
    <definedName name="OSRRefD22_15x_0" localSheetId="50">'301'!$D$70:$D$73</definedName>
    <definedName name="OSRRefD22_15x_0" localSheetId="63">'310'!$D$87</definedName>
    <definedName name="OSRRefD22_15x_0" localSheetId="71">'310 &amp; 491'!$D$86:$D$89</definedName>
    <definedName name="OSRRefD22_15x_0" localSheetId="57">'315'!$D$139</definedName>
    <definedName name="OSRRefD22_15x_0" localSheetId="68">'325'!$D$73</definedName>
    <definedName name="OSRRefD22_15x_0" localSheetId="58">'326'!$D$102</definedName>
    <definedName name="OSRRefD22_15x_0" localSheetId="56">'331'!$D$135:$D$136</definedName>
    <definedName name="OSRRefD22_15x_0" localSheetId="54">'333'!$D$137:$D$138</definedName>
    <definedName name="OSRRefD22_15x_0" localSheetId="73">'405'!$D$77</definedName>
    <definedName name="OSRRefD22_15x_0" localSheetId="75">'411'!$D$68:$D$69</definedName>
    <definedName name="OSRRefD22_15x_0" localSheetId="79">'415'!$D$76</definedName>
    <definedName name="OSRRefD22_15x_0" localSheetId="88">'433'!$D$78</definedName>
    <definedName name="OSRRefD22_15x_0" localSheetId="90">'444'!$D$79</definedName>
    <definedName name="OSRRefD22_15x_0" localSheetId="91">'450'!$D$75</definedName>
    <definedName name="OSRRefD22_15x_0" localSheetId="72">'491'!$D$75:$D$78</definedName>
    <definedName name="OSRRefD22_15x_0" localSheetId="86">'492'!$D$76:$D$83</definedName>
    <definedName name="OSRRefD22_15x_0" localSheetId="39">'Div 2'!$D$71:$D$72</definedName>
    <definedName name="OSRRefD22_15x_0" localSheetId="47">'Div 3'!$D$186</definedName>
    <definedName name="OSRRefD22_15x_0" localSheetId="70">'Div 4'!$D$76:$D$79</definedName>
    <definedName name="OSRRefD22_15x_0" localSheetId="2">Summary!$D$215</definedName>
    <definedName name="OSRRefD22_16x_0" localSheetId="48">'300'!$D$181:$D$184</definedName>
    <definedName name="OSRRefD22_16x_0" localSheetId="49">'300 &amp; 317'!$D$205:$D$208</definedName>
    <definedName name="OSRRefD22_16x_0" localSheetId="50">'301'!$D$75:$D$77</definedName>
    <definedName name="OSRRefD22_16x_0" localSheetId="63">'310'!$D$89</definedName>
    <definedName name="OSRRefD22_16x_0" localSheetId="71">'310 &amp; 491'!$D$91</definedName>
    <definedName name="OSRRefD22_16x_0" localSheetId="57">'315'!$D$141</definedName>
    <definedName name="OSRRefD22_16x_0" localSheetId="58">'326'!$D$104</definedName>
    <definedName name="OSRRefD22_16x_0" localSheetId="56">'331'!$D$138:$D$140</definedName>
    <definedName name="OSRRefD22_16x_0" localSheetId="54">'333'!$D$140:$D$143</definedName>
    <definedName name="OSRRefD22_16x_0" localSheetId="73">'405'!$D$79</definedName>
    <definedName name="OSRRefD22_16x_0" localSheetId="75">'411'!$D$71</definedName>
    <definedName name="OSRRefD22_16x_0" localSheetId="79">'415'!$D$78</definedName>
    <definedName name="OSRRefD22_16x_0" localSheetId="90">'444'!$D$81</definedName>
    <definedName name="OSRRefD22_16x_0" localSheetId="91">'450'!$D$77</definedName>
    <definedName name="OSRRefD22_16x_0" localSheetId="72">'491'!$D$80</definedName>
    <definedName name="OSRRefD22_16x_0" localSheetId="86">'492'!$D$85</definedName>
    <definedName name="OSRRefD22_16x_0" localSheetId="39">'Div 2'!$D$74:$D$78</definedName>
    <definedName name="OSRRefD22_16x_0" localSheetId="47">'Div 3'!$D$188</definedName>
    <definedName name="OSRRefD22_16x_0" localSheetId="70">'Div 4'!$D$81</definedName>
    <definedName name="OSRRefD22_16x_0" localSheetId="2">Summary!$D$217</definedName>
    <definedName name="OSRRefD22_17x_0" localSheetId="48">'300'!$D$186:$D$188</definedName>
    <definedName name="OSRRefD22_17x_0" localSheetId="49">'300 &amp; 317'!$D$210:$D$212</definedName>
    <definedName name="OSRRefD22_17x_0" localSheetId="50">'301'!$D$79</definedName>
    <definedName name="OSRRefD22_17x_0" localSheetId="63">'310'!$D$91</definedName>
    <definedName name="OSRRefD22_17x_0" localSheetId="71">'310 &amp; 491'!$D$93:$D$101</definedName>
    <definedName name="OSRRefD22_17x_0" localSheetId="58">'326'!$D$106</definedName>
    <definedName name="OSRRefD22_17x_0" localSheetId="56">'331'!$D$142:$D$143</definedName>
    <definedName name="OSRRefD22_17x_0" localSheetId="54">'333'!$D$145:$D$146</definedName>
    <definedName name="OSRRefD22_17x_0" localSheetId="79">'415'!$D$80</definedName>
    <definedName name="OSRRefD22_17x_0" localSheetId="90">'444'!$D$83</definedName>
    <definedName name="OSRRefD22_17x_0" localSheetId="91">'450'!$D$79</definedName>
    <definedName name="OSRRefD22_17x_0" localSheetId="72">'491'!$D$82:$D$90</definedName>
    <definedName name="OSRRefD22_17x_0" localSheetId="86">'492'!$D$87</definedName>
    <definedName name="OSRRefD22_17x_0" localSheetId="39">'Div 2'!$D$80:$D$81</definedName>
    <definedName name="OSRRefD22_17x_0" localSheetId="47">'Div 3'!$D$190:$D$193</definedName>
    <definedName name="OSRRefD22_17x_0" localSheetId="70">'Div 4'!$D$83:$D$86</definedName>
    <definedName name="OSRRefD22_17x_0" localSheetId="2">Summary!$D$219</definedName>
    <definedName name="OSRRefD22_18x_0" localSheetId="48">'300'!$D$190:$D$193</definedName>
    <definedName name="OSRRefD22_18x_0" localSheetId="49">'300 &amp; 317'!$D$214:$D$217</definedName>
    <definedName name="OSRRefD22_18x_0" localSheetId="50">'301'!$D$81:$D$86</definedName>
    <definedName name="OSRRefD22_18x_0" localSheetId="71">'310 &amp; 491'!$D$103</definedName>
    <definedName name="OSRRefD22_18x_0" localSheetId="56">'331'!$D$145:$D$150</definedName>
    <definedName name="OSRRefD22_18x_0" localSheetId="54">'333'!$D$148:$D$153</definedName>
    <definedName name="OSRRefD22_18x_0" localSheetId="72">'491'!$D$92</definedName>
    <definedName name="OSRRefD22_18x_0" localSheetId="86">'492'!$D$89:$D$91</definedName>
    <definedName name="OSRRefD22_18x_0" localSheetId="39">'Div 2'!$D$83</definedName>
    <definedName name="OSRRefD22_18x_0" localSheetId="47">'Div 3'!$D$195:$D$197</definedName>
    <definedName name="OSRRefD22_18x_0" localSheetId="70">'Div 4'!$D$88:$D$89</definedName>
    <definedName name="OSRRefD22_18x_0" localSheetId="2">Summary!$D$221:$D$224</definedName>
    <definedName name="OSRRefD22_19x_0" localSheetId="48">'300'!$D$195:$D$196</definedName>
    <definedName name="OSRRefD22_19x_0" localSheetId="49">'300 &amp; 317'!$D$219:$D$220</definedName>
    <definedName name="OSRRefD22_19x_0" localSheetId="50">'301'!$D$88</definedName>
    <definedName name="OSRRefD22_19x_0" localSheetId="71">'310 &amp; 491'!$D$105</definedName>
    <definedName name="OSRRefD22_19x_0" localSheetId="56">'331'!$D$152</definedName>
    <definedName name="OSRRefD22_19x_0" localSheetId="54">'333'!$D$155</definedName>
    <definedName name="OSRRefD22_19x_0" localSheetId="72">'491'!$D$94</definedName>
    <definedName name="OSRRefD22_19x_0" localSheetId="39">'Div 2'!$D$85:$D$86</definedName>
    <definedName name="OSRRefD22_19x_0" localSheetId="47">'Div 3'!$D$199:$D$203</definedName>
    <definedName name="OSRRefD22_19x_0" localSheetId="70">'Div 4'!$D$91:$D$99</definedName>
    <definedName name="OSRRefD22_19x_0" localSheetId="2">Summary!$D$226:$D$228</definedName>
    <definedName name="OSRRefD22_1x_0" localSheetId="40">'200'!$D$22</definedName>
    <definedName name="OSRRefD22_1x_0" localSheetId="41">'201'!$D$29:$D$32</definedName>
    <definedName name="OSRRefD22_1x_0" localSheetId="42">'202'!$D$29:$D$31</definedName>
    <definedName name="OSRRefD22_1x_0" localSheetId="43">'203'!$D$31:$D$35</definedName>
    <definedName name="OSRRefD22_1x_0" localSheetId="44">'204'!$D$30:$D$32</definedName>
    <definedName name="OSRRefD22_1x_0" localSheetId="45">'205'!$D$29</definedName>
    <definedName name="OSRRefD22_1x_0" localSheetId="46">'206'!$D$29:$D$32</definedName>
    <definedName name="OSRRefD22_1x_0" localSheetId="48">'300'!$D$140:$D$146</definedName>
    <definedName name="OSRRefD22_1x_0" localSheetId="49">'300 &amp; 317'!$D$164:$D$170</definedName>
    <definedName name="OSRRefD22_1x_0" localSheetId="50">'301'!$D$33:$D$39</definedName>
    <definedName name="OSRRefD22_1x_0" localSheetId="55">'307'!$D$50:$D$53</definedName>
    <definedName name="OSRRefD22_1x_0" localSheetId="51">'308'!$D$73:$D$79</definedName>
    <definedName name="OSRRefD22_1x_0" localSheetId="64">'309'!$D$29:$D$30</definedName>
    <definedName name="OSRRefD22_1x_0" localSheetId="63">'310'!$D$44:$D$49</definedName>
    <definedName name="OSRRefD22_1x_0" localSheetId="71">'310 &amp; 491'!$D$47:$D$53</definedName>
    <definedName name="OSRRefD22_1x_0" localSheetId="52">'311'!$D$73:$D$79</definedName>
    <definedName name="OSRRefD22_1x_0" localSheetId="65">'313'!$D$34</definedName>
    <definedName name="OSRRefD22_1x_0" localSheetId="57">'315'!$D$96:$D$101</definedName>
    <definedName name="OSRRefD22_1x_0" localSheetId="60">'316'!$D$43:$D$46</definedName>
    <definedName name="OSRRefD22_1x_0" localSheetId="62">'317'!$D$66:$D$70</definedName>
    <definedName name="OSRRefD22_1x_0" localSheetId="66">'321'!$D$37:$D$42</definedName>
    <definedName name="OSRRefD22_1x_0" localSheetId="67">'322'!$D$27</definedName>
    <definedName name="OSRRefD22_1x_0" localSheetId="68">'325'!$D$33:$D$35</definedName>
    <definedName name="OSRRefD22_1x_0" localSheetId="58">'326'!$D$61:$D$66</definedName>
    <definedName name="OSRRefD22_1x_0" localSheetId="69">'327'!$D$26</definedName>
    <definedName name="OSRRefD22_1x_0" localSheetId="56">'331'!$D$97:$D$102</definedName>
    <definedName name="OSRRefD22_1x_0" localSheetId="59">'332'!$D$45:$D$48</definedName>
    <definedName name="OSRRefD22_1x_0" localSheetId="54">'333'!$D$99:$D$104</definedName>
    <definedName name="OSRRefD22_1x_0" localSheetId="73">'405'!$D$33:$D$36</definedName>
    <definedName name="OSRRefD22_1x_0" localSheetId="74">'406'!$D$22</definedName>
    <definedName name="OSRRefD22_1x_0" localSheetId="75">'411'!$D$29:$D$33</definedName>
    <definedName name="OSRRefD22_1x_0" localSheetId="76">'412'!$D$22</definedName>
    <definedName name="OSRRefD22_1x_0" localSheetId="77">'413'!$D$26</definedName>
    <definedName name="OSRRefD22_1x_0" localSheetId="78">'414'!$D$24</definedName>
    <definedName name="OSRRefD22_1x_0" localSheetId="79">'415'!$D$34:$D$38</definedName>
    <definedName name="OSRRefD22_1x_0" localSheetId="80">'418'!$D$30:$D$33</definedName>
    <definedName name="OSRRefD22_1x_0" localSheetId="81">'420'!$D$24</definedName>
    <definedName name="OSRRefD22_1x_0" localSheetId="82">'423'!$D$23</definedName>
    <definedName name="OSRRefD22_1x_0" localSheetId="83">'424'!$D$22</definedName>
    <definedName name="OSRRefD22_1x_0" localSheetId="84">'425'!$D$28</definedName>
    <definedName name="OSRRefD22_1x_0" localSheetId="87">'430'!$D$29</definedName>
    <definedName name="OSRRefD22_1x_0" localSheetId="88">'433'!$D$35:$D$40</definedName>
    <definedName name="OSRRefD22_1x_0" localSheetId="89">'435'!$D$26</definedName>
    <definedName name="OSRRefD22_1x_0" localSheetId="90">'444'!$D$35:$D$40</definedName>
    <definedName name="OSRRefD22_1x_0" localSheetId="91">'450'!$D$35:$D$39</definedName>
    <definedName name="OSRRefD22_1x_0" localSheetId="72">'491'!$D$38:$D$43</definedName>
    <definedName name="OSRRefD22_1x_0" localSheetId="86">'492'!$D$37:$D$43</definedName>
    <definedName name="OSRRefD22_1x_0" localSheetId="93">'501'!$D$31:$D$36</definedName>
    <definedName name="OSRRefD22_1x_0" localSheetId="39">'Div 2'!$D$32:$D$37</definedName>
    <definedName name="OSRRefD22_1x_0" localSheetId="47">'Div 3'!$D$147:$D$153</definedName>
    <definedName name="OSRRefD22_1x_0" localSheetId="70">'Div 4'!$D$41:$D$47</definedName>
    <definedName name="OSRRefD22_1x_0" localSheetId="92">'Div 5'!$D$31:$D$36</definedName>
    <definedName name="OSRRefD22_1x_0" localSheetId="61">'Div 6'!$D$66:$D$70</definedName>
    <definedName name="OSRRefD22_1x_0" localSheetId="2">Summary!$D$176:$D$182</definedName>
    <definedName name="OSRRefD22_20x_0" localSheetId="48">'300'!$D$198:$D$204</definedName>
    <definedName name="OSRRefD22_20x_0" localSheetId="49">'300 &amp; 317'!$D$222:$D$228</definedName>
    <definedName name="OSRRefD22_20x_0" localSheetId="50">'301'!$D$90</definedName>
    <definedName name="OSRRefD22_20x_0" localSheetId="71">'310 &amp; 491'!$D$107:$D$108</definedName>
    <definedName name="OSRRefD22_20x_0" localSheetId="56">'331'!$D$154</definedName>
    <definedName name="OSRRefD22_20x_0" localSheetId="54">'333'!$D$157</definedName>
    <definedName name="OSRRefD22_20x_0" localSheetId="72">'491'!$D$96:$D$97</definedName>
    <definedName name="OSRRefD22_20x_0" localSheetId="47">'Div 3'!$D$205:$D$206</definedName>
    <definedName name="OSRRefD22_20x_0" localSheetId="70">'Div 4'!$D$101</definedName>
    <definedName name="OSRRefD22_20x_0" localSheetId="2">Summary!$D$230:$D$234</definedName>
    <definedName name="OSRRefD22_21x_0" localSheetId="48">'300'!$D$206:$D$207</definedName>
    <definedName name="OSRRefD22_21x_0" localSheetId="49">'300 &amp; 317'!$D$230:$D$231</definedName>
    <definedName name="OSRRefD22_21x_0" localSheetId="50">'301'!$D$92:$D$93</definedName>
    <definedName name="OSRRefD22_21x_0" localSheetId="71">'310 &amp; 491'!$D$110</definedName>
    <definedName name="OSRRefD22_21x_0" localSheetId="56">'331'!$D$156</definedName>
    <definedName name="OSRRefD22_21x_0" localSheetId="54">'333'!$D$159</definedName>
    <definedName name="OSRRefD22_21x_0" localSheetId="72">'491'!$D$99</definedName>
    <definedName name="OSRRefD22_21x_0" localSheetId="47">'Div 3'!$D$208:$D$214</definedName>
    <definedName name="OSRRefD22_21x_0" localSheetId="70">'Div 4'!$D$103</definedName>
    <definedName name="OSRRefD22_21x_0" localSheetId="2">Summary!$D$236:$D$237</definedName>
    <definedName name="OSRRefD22_22x_0" localSheetId="48">'300'!$D$209</definedName>
    <definedName name="OSRRefD22_22x_0" localSheetId="49">'300 &amp; 317'!$D$233</definedName>
    <definedName name="OSRRefD22_22x_0" localSheetId="50">'301'!$D$95</definedName>
    <definedName name="OSRRefD22_22x_0" localSheetId="56">'331'!$D$158</definedName>
    <definedName name="OSRRefD22_22x_0" localSheetId="54">'333'!$D$161</definedName>
    <definedName name="OSRRefD22_22x_0" localSheetId="47">'Div 3'!$D$216:$D$217</definedName>
    <definedName name="OSRRefD22_22x_0" localSheetId="70">'Div 4'!$D$105:$D$107</definedName>
    <definedName name="OSRRefD22_22x_0" localSheetId="2">Summary!$D$239:$D$247</definedName>
    <definedName name="OSRRefD22_23x_0" localSheetId="48">'300'!$D$211:$D$213</definedName>
    <definedName name="OSRRefD22_23x_0" localSheetId="49">'300 &amp; 317'!$D$235:$D$237</definedName>
    <definedName name="OSRRefD22_23x_0" localSheetId="47">'Div 3'!$D$219</definedName>
    <definedName name="OSRRefD22_23x_0" localSheetId="70">'Div 4'!$D$109</definedName>
    <definedName name="OSRRefD22_23x_0" localSheetId="2">Summary!$D$249:$D$250</definedName>
    <definedName name="OSRRefD22_24x_0" localSheetId="48">'300'!$D$215</definedName>
    <definedName name="OSRRefD22_24x_0" localSheetId="49">'300 &amp; 317'!$D$239</definedName>
    <definedName name="OSRRefD22_24x_0" localSheetId="47">'Div 3'!$D$221:$D$223</definedName>
    <definedName name="OSRRefD22_24x_0" localSheetId="2">Summary!$D$252</definedName>
    <definedName name="OSRRefD22_25x_0" localSheetId="47">'Div 3'!$D$225</definedName>
    <definedName name="OSRRefD22_25x_0" localSheetId="2">Summary!$D$254:$D$256</definedName>
    <definedName name="OSRRefD22_26x_0" localSheetId="2">Summary!$D$258</definedName>
    <definedName name="OSRRefD22_2x_0" localSheetId="40">'200'!$D$24</definedName>
    <definedName name="OSRRefD22_2x_0" localSheetId="41">'201'!$D$34</definedName>
    <definedName name="OSRRefD22_2x_0" localSheetId="42">'202'!$D$33</definedName>
    <definedName name="OSRRefD22_2x_0" localSheetId="43">'203'!$D$37</definedName>
    <definedName name="OSRRefD22_2x_0" localSheetId="44">'204'!$D$34</definedName>
    <definedName name="OSRRefD22_2x_0" localSheetId="45">'205'!$D$31</definedName>
    <definedName name="OSRRefD22_2x_0" localSheetId="46">'206'!$D$34</definedName>
    <definedName name="OSRRefD22_2x_0" localSheetId="48">'300'!$D$148</definedName>
    <definedName name="OSRRefD22_2x_0" localSheetId="49">'300 &amp; 317'!$D$172</definedName>
    <definedName name="OSRRefD22_2x_0" localSheetId="50">'301'!$D$41</definedName>
    <definedName name="OSRRefD22_2x_0" localSheetId="55">'307'!$D$55</definedName>
    <definedName name="OSRRefD22_2x_0" localSheetId="51">'308'!$D$81</definedName>
    <definedName name="OSRRefD22_2x_0" localSheetId="64">'309'!$D$32</definedName>
    <definedName name="OSRRefD22_2x_0" localSheetId="63">'310'!$D$51</definedName>
    <definedName name="OSRRefD22_2x_0" localSheetId="71">'310 &amp; 491'!$D$55</definedName>
    <definedName name="OSRRefD22_2x_0" localSheetId="52">'311'!$D$81</definedName>
    <definedName name="OSRRefD22_2x_0" localSheetId="65">'313'!$D$36</definedName>
    <definedName name="OSRRefD22_2x_0" localSheetId="57">'315'!$D$103</definedName>
    <definedName name="OSRRefD22_2x_0" localSheetId="60">'316'!$D$48</definedName>
    <definedName name="OSRRefD22_2x_0" localSheetId="62">'317'!$D$72</definedName>
    <definedName name="OSRRefD22_2x_0" localSheetId="66">'321'!$D$44</definedName>
    <definedName name="OSRRefD22_2x_0" localSheetId="67">'322'!$D$29</definedName>
    <definedName name="OSRRefD22_2x_0" localSheetId="68">'325'!$D$37</definedName>
    <definedName name="OSRRefD22_2x_0" localSheetId="58">'326'!$D$68</definedName>
    <definedName name="OSRRefD22_2x_0" localSheetId="56">'331'!$D$104</definedName>
    <definedName name="OSRRefD22_2x_0" localSheetId="59">'332'!$D$50</definedName>
    <definedName name="OSRRefD22_2x_0" localSheetId="54">'333'!$D$106</definedName>
    <definedName name="OSRRefD22_2x_0" localSheetId="73">'405'!$D$38</definedName>
    <definedName name="OSRRefD22_2x_0" localSheetId="74">'406'!$D$24</definedName>
    <definedName name="OSRRefD22_2x_0" localSheetId="75">'411'!$D$35</definedName>
    <definedName name="OSRRefD22_2x_0" localSheetId="76">'412'!$D$24</definedName>
    <definedName name="OSRRefD22_2x_0" localSheetId="77">'413'!$D$28</definedName>
    <definedName name="OSRRefD22_2x_0" localSheetId="78">'414'!$D$26</definedName>
    <definedName name="OSRRefD22_2x_0" localSheetId="79">'415'!$D$40</definedName>
    <definedName name="OSRRefD22_2x_0" localSheetId="80">'418'!$D$35</definedName>
    <definedName name="OSRRefD22_2x_0" localSheetId="82">'423'!$D$25</definedName>
    <definedName name="OSRRefD22_2x_0" localSheetId="83">'424'!$D$24</definedName>
    <definedName name="OSRRefD22_2x_0" localSheetId="84">'425'!$D$30</definedName>
    <definedName name="OSRRefD22_2x_0" localSheetId="87">'430'!$D$31</definedName>
    <definedName name="OSRRefD22_2x_0" localSheetId="88">'433'!$D$42</definedName>
    <definedName name="OSRRefD22_2x_0" localSheetId="89">'435'!$D$28</definedName>
    <definedName name="OSRRefD22_2x_0" localSheetId="90">'444'!$D$42</definedName>
    <definedName name="OSRRefD22_2x_0" localSheetId="91">'450'!$D$41</definedName>
    <definedName name="OSRRefD22_2x_0" localSheetId="72">'491'!$D$45</definedName>
    <definedName name="OSRRefD22_2x_0" localSheetId="86">'492'!$D$45</definedName>
    <definedName name="OSRRefD22_2x_0" localSheetId="93">'501'!$D$38</definedName>
    <definedName name="OSRRefD22_2x_0" localSheetId="39">'Div 2'!$D$39</definedName>
    <definedName name="OSRRefD22_2x_0" localSheetId="47">'Div 3'!$D$155</definedName>
    <definedName name="OSRRefD22_2x_0" localSheetId="70">'Div 4'!$D$49</definedName>
    <definedName name="OSRRefD22_2x_0" localSheetId="92">'Div 5'!$D$38</definedName>
    <definedName name="OSRRefD22_2x_0" localSheetId="61">'Div 6'!$D$72</definedName>
    <definedName name="OSRRefD22_2x_0" localSheetId="2">Summary!$D$184</definedName>
    <definedName name="OSRRefD22_3x_0" localSheetId="40">'200'!$D$26</definedName>
    <definedName name="OSRRefD22_3x_0" localSheetId="41">'201'!$D$36</definedName>
    <definedName name="OSRRefD22_3x_0" localSheetId="42">'202'!$D$35</definedName>
    <definedName name="OSRRefD22_3x_0" localSheetId="43">'203'!$D$39</definedName>
    <definedName name="OSRRefD22_3x_0" localSheetId="44">'204'!$D$36</definedName>
    <definedName name="OSRRefD22_3x_0" localSheetId="45">'205'!$D$33</definedName>
    <definedName name="OSRRefD22_3x_0" localSheetId="46">'206'!$D$36</definedName>
    <definedName name="OSRRefD22_3x_0" localSheetId="48">'300'!$D$150:$D$151</definedName>
    <definedName name="OSRRefD22_3x_0" localSheetId="49">'300 &amp; 317'!$D$174:$D$175</definedName>
    <definedName name="OSRRefD22_3x_0" localSheetId="50">'301'!$D$43:$D$44</definedName>
    <definedName name="OSRRefD22_3x_0" localSheetId="55">'307'!$D$57</definedName>
    <definedName name="OSRRefD22_3x_0" localSheetId="51">'308'!$D$83:$D$84</definedName>
    <definedName name="OSRRefD22_3x_0" localSheetId="64">'309'!$D$34</definedName>
    <definedName name="OSRRefD22_3x_0" localSheetId="63">'310'!$D$53</definedName>
    <definedName name="OSRRefD22_3x_0" localSheetId="71">'310 &amp; 491'!$D$57</definedName>
    <definedName name="OSRRefD22_3x_0" localSheetId="52">'311'!$D$83:$D$84</definedName>
    <definedName name="OSRRefD22_3x_0" localSheetId="65">'313'!$D$38</definedName>
    <definedName name="OSRRefD22_3x_0" localSheetId="57">'315'!$D$105:$D$106</definedName>
    <definedName name="OSRRefD22_3x_0" localSheetId="60">'316'!$D$50</definedName>
    <definedName name="OSRRefD22_3x_0" localSheetId="62">'317'!$D$74</definedName>
    <definedName name="OSRRefD22_3x_0" localSheetId="66">'321'!$D$46</definedName>
    <definedName name="OSRRefD22_3x_0" localSheetId="67">'322'!$D$31</definedName>
    <definedName name="OSRRefD22_3x_0" localSheetId="68">'325'!$D$39</definedName>
    <definedName name="OSRRefD22_3x_0" localSheetId="58">'326'!$D$70</definedName>
    <definedName name="OSRRefD22_3x_0" localSheetId="56">'331'!$D$106</definedName>
    <definedName name="OSRRefD22_3x_0" localSheetId="59">'332'!$D$52</definedName>
    <definedName name="OSRRefD22_3x_0" localSheetId="54">'333'!$D$108</definedName>
    <definedName name="OSRRefD22_3x_0" localSheetId="73">'405'!$D$40</definedName>
    <definedName name="OSRRefD22_3x_0" localSheetId="74">'406'!$D$26</definedName>
    <definedName name="OSRRefD22_3x_0" localSheetId="75">'411'!$D$37</definedName>
    <definedName name="OSRRefD22_3x_0" localSheetId="76">'412'!$D$26:$D$27</definedName>
    <definedName name="OSRRefD22_3x_0" localSheetId="77">'413'!$D$30</definedName>
    <definedName name="OSRRefD22_3x_0" localSheetId="78">'414'!$D$28</definedName>
    <definedName name="OSRRefD22_3x_0" localSheetId="79">'415'!$D$42</definedName>
    <definedName name="OSRRefD22_3x_0" localSheetId="80">'418'!$D$37</definedName>
    <definedName name="OSRRefD22_3x_0" localSheetId="82">'423'!$D$27</definedName>
    <definedName name="OSRRefD22_3x_0" localSheetId="83">'424'!$D$26</definedName>
    <definedName name="OSRRefD22_3x_0" localSheetId="84">'425'!$D$32</definedName>
    <definedName name="OSRRefD22_3x_0" localSheetId="87">'430'!$D$33</definedName>
    <definedName name="OSRRefD22_3x_0" localSheetId="88">'433'!$D$44</definedName>
    <definedName name="OSRRefD22_3x_0" localSheetId="89">'435'!$D$30</definedName>
    <definedName name="OSRRefD22_3x_0" localSheetId="90">'444'!$D$44</definedName>
    <definedName name="OSRRefD22_3x_0" localSheetId="91">'450'!$D$43</definedName>
    <definedName name="OSRRefD22_3x_0" localSheetId="72">'491'!$D$47</definedName>
    <definedName name="OSRRefD22_3x_0" localSheetId="86">'492'!$D$47</definedName>
    <definedName name="OSRRefD22_3x_0" localSheetId="93">'501'!$D$40</definedName>
    <definedName name="OSRRefD22_3x_0" localSheetId="39">'Div 2'!$D$41</definedName>
    <definedName name="OSRRefD22_3x_0" localSheetId="47">'Div 3'!$D$157:$D$158</definedName>
    <definedName name="OSRRefD22_3x_0" localSheetId="70">'Div 4'!$D$51</definedName>
    <definedName name="OSRRefD22_3x_0" localSheetId="92">'Div 5'!$D$40</definedName>
    <definedName name="OSRRefD22_3x_0" localSheetId="61">'Div 6'!$D$74</definedName>
    <definedName name="OSRRefD22_3x_0" localSheetId="2">Summary!$D$186:$D$187</definedName>
    <definedName name="OSRRefD22_4x_0" localSheetId="41">'201'!$D$38</definedName>
    <definedName name="OSRRefD22_4x_0" localSheetId="42">'202'!$D$37</definedName>
    <definedName name="OSRRefD22_4x_0" localSheetId="43">'203'!$D$41</definedName>
    <definedName name="OSRRefD22_4x_0" localSheetId="44">'204'!$D$38</definedName>
    <definedName name="OSRRefD22_4x_0" localSheetId="45">'205'!$D$35:$D$36</definedName>
    <definedName name="OSRRefD22_4x_0" localSheetId="46">'206'!$D$38</definedName>
    <definedName name="OSRRefD22_4x_0" localSheetId="48">'300'!$D$153</definedName>
    <definedName name="OSRRefD22_4x_0" localSheetId="49">'300 &amp; 317'!$D$177</definedName>
    <definedName name="OSRRefD22_4x_0" localSheetId="50">'301'!$D$46</definedName>
    <definedName name="OSRRefD22_4x_0" localSheetId="55">'307'!$D$59:$D$60</definedName>
    <definedName name="OSRRefD22_4x_0" localSheetId="51">'308'!$D$86</definedName>
    <definedName name="OSRRefD22_4x_0" localSheetId="64">'309'!$D$36</definedName>
    <definedName name="OSRRefD22_4x_0" localSheetId="63">'310'!$D$55</definedName>
    <definedName name="OSRRefD22_4x_0" localSheetId="71">'310 &amp; 491'!$D$59</definedName>
    <definedName name="OSRRefD22_4x_0" localSheetId="52">'311'!$D$86</definedName>
    <definedName name="OSRRefD22_4x_0" localSheetId="65">'313'!$D$40</definedName>
    <definedName name="OSRRefD22_4x_0" localSheetId="57">'315'!$D$108</definedName>
    <definedName name="OSRRefD22_4x_0" localSheetId="60">'316'!$D$52</definedName>
    <definedName name="OSRRefD22_4x_0" localSheetId="62">'317'!$D$76</definedName>
    <definedName name="OSRRefD22_4x_0" localSheetId="66">'321'!$D$48</definedName>
    <definedName name="OSRRefD22_4x_0" localSheetId="67">'322'!$D$33:$D$34</definedName>
    <definedName name="OSRRefD22_4x_0" localSheetId="68">'325'!$D$41</definedName>
    <definedName name="OSRRefD22_4x_0" localSheetId="58">'326'!$D$72</definedName>
    <definedName name="OSRRefD22_4x_0" localSheetId="56">'331'!$D$108</definedName>
    <definedName name="OSRRefD22_4x_0" localSheetId="59">'332'!$D$54</definedName>
    <definedName name="OSRRefD22_4x_0" localSheetId="54">'333'!$D$110</definedName>
    <definedName name="OSRRefD22_4x_0" localSheetId="73">'405'!$D$42</definedName>
    <definedName name="OSRRefD22_4x_0" localSheetId="74">'406'!$D$28</definedName>
    <definedName name="OSRRefD22_4x_0" localSheetId="75">'411'!$D$39:$D$40</definedName>
    <definedName name="OSRRefD22_4x_0" localSheetId="76">'412'!$D$29</definedName>
    <definedName name="OSRRefD22_4x_0" localSheetId="77">'413'!$D$32</definedName>
    <definedName name="OSRRefD22_4x_0" localSheetId="78">'414'!$D$30</definedName>
    <definedName name="OSRRefD22_4x_0" localSheetId="79">'415'!$D$44</definedName>
    <definedName name="OSRRefD22_4x_0" localSheetId="80">'418'!$D$39:$D$40</definedName>
    <definedName name="OSRRefD22_4x_0" localSheetId="84">'425'!$D$34</definedName>
    <definedName name="OSRRefD22_4x_0" localSheetId="87">'430'!$D$35</definedName>
    <definedName name="OSRRefD22_4x_0" localSheetId="88">'433'!$D$46</definedName>
    <definedName name="OSRRefD22_4x_0" localSheetId="89">'435'!$D$32</definedName>
    <definedName name="OSRRefD22_4x_0" localSheetId="90">'444'!$D$46</definedName>
    <definedName name="OSRRefD22_4x_0" localSheetId="91">'450'!$D$45</definedName>
    <definedName name="OSRRefD22_4x_0" localSheetId="72">'491'!$D$49</definedName>
    <definedName name="OSRRefD22_4x_0" localSheetId="86">'492'!$D$49</definedName>
    <definedName name="OSRRefD22_4x_0" localSheetId="93">'501'!$D$42:$D$43</definedName>
    <definedName name="OSRRefD22_4x_0" localSheetId="39">'Div 2'!$D$43</definedName>
    <definedName name="OSRRefD22_4x_0" localSheetId="47">'Div 3'!$D$160</definedName>
    <definedName name="OSRRefD22_4x_0" localSheetId="70">'Div 4'!$D$53</definedName>
    <definedName name="OSRRefD22_4x_0" localSheetId="92">'Div 5'!$D$42:$D$43</definedName>
    <definedName name="OSRRefD22_4x_0" localSheetId="61">'Div 6'!$D$76</definedName>
    <definedName name="OSRRefD22_4x_0" localSheetId="2">Summary!$D$189</definedName>
    <definedName name="OSRRefD22_5x_0" localSheetId="41">'201'!$D$40</definedName>
    <definedName name="OSRRefD22_5x_0" localSheetId="42">'202'!$D$39:$D$40</definedName>
    <definedName name="OSRRefD22_5x_0" localSheetId="43">'203'!$D$43</definedName>
    <definedName name="OSRRefD22_5x_0" localSheetId="44">'204'!$D$40:$D$43</definedName>
    <definedName name="OSRRefD22_5x_0" localSheetId="45">'205'!$D$38:$D$40</definedName>
    <definedName name="OSRRefD22_5x_0" localSheetId="46">'206'!$D$40</definedName>
    <definedName name="OSRRefD22_5x_0" localSheetId="48">'300'!$D$155:$D$156</definedName>
    <definedName name="OSRRefD22_5x_0" localSheetId="49">'300 &amp; 317'!$D$179:$D$180</definedName>
    <definedName name="OSRRefD22_5x_0" localSheetId="50">'301'!$D$48:$D$49</definedName>
    <definedName name="OSRRefD22_5x_0" localSheetId="55">'307'!$D$62</definedName>
    <definedName name="OSRRefD22_5x_0" localSheetId="51">'308'!$D$88</definedName>
    <definedName name="OSRRefD22_5x_0" localSheetId="64">'309'!$D$38</definedName>
    <definedName name="OSRRefD22_5x_0" localSheetId="63">'310'!$D$57:$D$58</definedName>
    <definedName name="OSRRefD22_5x_0" localSheetId="71">'310 &amp; 491'!$D$61:$D$62</definedName>
    <definedName name="OSRRefD22_5x_0" localSheetId="52">'311'!$D$88</definedName>
    <definedName name="OSRRefD22_5x_0" localSheetId="65">'313'!$D$42</definedName>
    <definedName name="OSRRefD22_5x_0" localSheetId="57">'315'!$D$110</definedName>
    <definedName name="OSRRefD22_5x_0" localSheetId="60">'316'!$D$54</definedName>
    <definedName name="OSRRefD22_5x_0" localSheetId="62">'317'!$D$78:$D$79</definedName>
    <definedName name="OSRRefD22_5x_0" localSheetId="66">'321'!$D$50</definedName>
    <definedName name="OSRRefD22_5x_0" localSheetId="67">'322'!$D$36</definedName>
    <definedName name="OSRRefD22_5x_0" localSheetId="68">'325'!$D$43:$D$44</definedName>
    <definedName name="OSRRefD22_5x_0" localSheetId="58">'326'!$D$74</definedName>
    <definedName name="OSRRefD22_5x_0" localSheetId="56">'331'!$D$110:$D$111</definedName>
    <definedName name="OSRRefD22_5x_0" localSheetId="59">'332'!$D$56</definedName>
    <definedName name="OSRRefD22_5x_0" localSheetId="54">'333'!$D$112:$D$113</definedName>
    <definedName name="OSRRefD22_5x_0" localSheetId="73">'405'!$D$44:$D$45</definedName>
    <definedName name="OSRRefD22_5x_0" localSheetId="75">'411'!$D$42</definedName>
    <definedName name="OSRRefD22_5x_0" localSheetId="76">'412'!$D$31</definedName>
    <definedName name="OSRRefD22_5x_0" localSheetId="77">'413'!$D$34</definedName>
    <definedName name="OSRRefD22_5x_0" localSheetId="78">'414'!$D$32:$D$33</definedName>
    <definedName name="OSRRefD22_5x_0" localSheetId="79">'415'!$D$46:$D$47</definedName>
    <definedName name="OSRRefD22_5x_0" localSheetId="80">'418'!$D$42</definedName>
    <definedName name="OSRRefD22_5x_0" localSheetId="84">'425'!$D$36:$D$37</definedName>
    <definedName name="OSRRefD22_5x_0" localSheetId="87">'430'!$D$37:$D$38</definedName>
    <definedName name="OSRRefD22_5x_0" localSheetId="88">'433'!$D$48</definedName>
    <definedName name="OSRRefD22_5x_0" localSheetId="89">'435'!$D$34</definedName>
    <definedName name="OSRRefD22_5x_0" localSheetId="90">'444'!$D$48</definedName>
    <definedName name="OSRRefD22_5x_0" localSheetId="91">'450'!$D$47</definedName>
    <definedName name="OSRRefD22_5x_0" localSheetId="72">'491'!$D$51:$D$52</definedName>
    <definedName name="OSRRefD22_5x_0" localSheetId="86">'492'!$D$51</definedName>
    <definedName name="OSRRefD22_5x_0" localSheetId="93">'501'!$D$45</definedName>
    <definedName name="OSRRefD22_5x_0" localSheetId="39">'Div 2'!$D$45</definedName>
    <definedName name="OSRRefD22_5x_0" localSheetId="47">'Div 3'!$D$162:$D$163</definedName>
    <definedName name="OSRRefD22_5x_0" localSheetId="70">'Div 4'!$D$55:$D$56</definedName>
    <definedName name="OSRRefD22_5x_0" localSheetId="92">'Div 5'!$D$45</definedName>
    <definedName name="OSRRefD22_5x_0" localSheetId="61">'Div 6'!$D$78:$D$79</definedName>
    <definedName name="OSRRefD22_5x_0" localSheetId="2">Summary!$D$191:$D$192</definedName>
    <definedName name="OSRRefD22_6x_0" localSheetId="41">'201'!$D$42</definedName>
    <definedName name="OSRRefD22_6x_0" localSheetId="42">'202'!$D$42</definedName>
    <definedName name="OSRRefD22_6x_0" localSheetId="43">'203'!$D$45</definedName>
    <definedName name="OSRRefD22_6x_0" localSheetId="44">'204'!$D$45</definedName>
    <definedName name="OSRRefD22_6x_0" localSheetId="45">'205'!$D$42</definedName>
    <definedName name="OSRRefD22_6x_0" localSheetId="46">'206'!$D$42</definedName>
    <definedName name="OSRRefD22_6x_0" localSheetId="48">'300'!$D$158:$D$159</definedName>
    <definedName name="OSRRefD22_6x_0" localSheetId="49">'300 &amp; 317'!$D$182:$D$183</definedName>
    <definedName name="OSRRefD22_6x_0" localSheetId="50">'301'!$D$51:$D$52</definedName>
    <definedName name="OSRRefD22_6x_0" localSheetId="55">'307'!$D$64</definedName>
    <definedName name="OSRRefD22_6x_0" localSheetId="51">'308'!$D$90:$D$91</definedName>
    <definedName name="OSRRefD22_6x_0" localSheetId="64">'309'!$D$40</definedName>
    <definedName name="OSRRefD22_6x_0" localSheetId="63">'310'!$D$60</definedName>
    <definedName name="OSRRefD22_6x_0" localSheetId="71">'310 &amp; 491'!$D$64</definedName>
    <definedName name="OSRRefD22_6x_0" localSheetId="52">'311'!$D$90:$D$91</definedName>
    <definedName name="OSRRefD22_6x_0" localSheetId="65">'313'!$D$44</definedName>
    <definedName name="OSRRefD22_6x_0" localSheetId="57">'315'!$D$112:$D$113</definedName>
    <definedName name="OSRRefD22_6x_0" localSheetId="60">'316'!$D$56:$D$57</definedName>
    <definedName name="OSRRefD22_6x_0" localSheetId="62">'317'!$D$81</definedName>
    <definedName name="OSRRefD22_6x_0" localSheetId="66">'321'!$D$52</definedName>
    <definedName name="OSRRefD22_6x_0" localSheetId="67">'322'!$D$38</definedName>
    <definedName name="OSRRefD22_6x_0" localSheetId="68">'325'!$D$46</definedName>
    <definedName name="OSRRefD22_6x_0" localSheetId="58">'326'!$D$76</definedName>
    <definedName name="OSRRefD22_6x_0" localSheetId="56">'331'!$D$113</definedName>
    <definedName name="OSRRefD22_6x_0" localSheetId="59">'332'!$D$58:$D$59</definedName>
    <definedName name="OSRRefD22_6x_0" localSheetId="54">'333'!$D$115</definedName>
    <definedName name="OSRRefD22_6x_0" localSheetId="73">'405'!$D$47</definedName>
    <definedName name="OSRRefD22_6x_0" localSheetId="75">'411'!$D$44</definedName>
    <definedName name="OSRRefD22_6x_0" localSheetId="79">'415'!$D$49</definedName>
    <definedName name="OSRRefD22_6x_0" localSheetId="80">'418'!$D$44</definedName>
    <definedName name="OSRRefD22_6x_0" localSheetId="84">'425'!$D$39</definedName>
    <definedName name="OSRRefD22_6x_0" localSheetId="87">'430'!$D$40</definedName>
    <definedName name="OSRRefD22_6x_0" localSheetId="88">'433'!$D$50</definedName>
    <definedName name="OSRRefD22_6x_0" localSheetId="90">'444'!$D$50</definedName>
    <definedName name="OSRRefD22_6x_0" localSheetId="91">'450'!$D$49</definedName>
    <definedName name="OSRRefD22_6x_0" localSheetId="72">'491'!$D$54</definedName>
    <definedName name="OSRRefD22_6x_0" localSheetId="86">'492'!$D$53</definedName>
    <definedName name="OSRRefD22_6x_0" localSheetId="93">'501'!$D$47</definedName>
    <definedName name="OSRRefD22_6x_0" localSheetId="39">'Div 2'!$D$47</definedName>
    <definedName name="OSRRefD22_6x_0" localSheetId="47">'Div 3'!$D$165:$D$166</definedName>
    <definedName name="OSRRefD22_6x_0" localSheetId="70">'Div 4'!$D$58</definedName>
    <definedName name="OSRRefD22_6x_0" localSheetId="92">'Div 5'!$D$47</definedName>
    <definedName name="OSRRefD22_6x_0" localSheetId="61">'Div 6'!$D$81</definedName>
    <definedName name="OSRRefD22_6x_0" localSheetId="2">Summary!$D$194:$D$195</definedName>
    <definedName name="OSRRefD22_7x_0" localSheetId="41">'201'!$D$44</definedName>
    <definedName name="OSRRefD22_7x_0" localSheetId="42">'202'!$D$44:$D$46</definedName>
    <definedName name="OSRRefD22_7x_0" localSheetId="43">'203'!$D$47:$D$48</definedName>
    <definedName name="OSRRefD22_7x_0" localSheetId="44">'204'!$D$47:$D$48</definedName>
    <definedName name="OSRRefD22_7x_0" localSheetId="48">'300'!$D$161</definedName>
    <definedName name="OSRRefD22_7x_0" localSheetId="49">'300 &amp; 317'!$D$185</definedName>
    <definedName name="OSRRefD22_7x_0" localSheetId="50">'301'!$D$54</definedName>
    <definedName name="OSRRefD22_7x_0" localSheetId="55">'307'!$D$66</definedName>
    <definedName name="OSRRefD22_7x_0" localSheetId="51">'308'!$D$93</definedName>
    <definedName name="OSRRefD22_7x_0" localSheetId="64">'309'!$D$42</definedName>
    <definedName name="OSRRefD22_7x_0" localSheetId="63">'310'!$D$62</definedName>
    <definedName name="OSRRefD22_7x_0" localSheetId="71">'310 &amp; 491'!$D$66</definedName>
    <definedName name="OSRRefD22_7x_0" localSheetId="52">'311'!$D$93</definedName>
    <definedName name="OSRRefD22_7x_0" localSheetId="65">'313'!$D$46</definedName>
    <definedName name="OSRRefD22_7x_0" localSheetId="57">'315'!$D$115</definedName>
    <definedName name="OSRRefD22_7x_0" localSheetId="60">'316'!$D$59</definedName>
    <definedName name="OSRRefD22_7x_0" localSheetId="62">'317'!$D$83</definedName>
    <definedName name="OSRRefD22_7x_0" localSheetId="66">'321'!$D$54:$D$55</definedName>
    <definedName name="OSRRefD22_7x_0" localSheetId="67">'322'!$D$40</definedName>
    <definedName name="OSRRefD22_7x_0" localSheetId="68">'325'!$D$48</definedName>
    <definedName name="OSRRefD22_7x_0" localSheetId="58">'326'!$D$78</definedName>
    <definedName name="OSRRefD22_7x_0" localSheetId="56">'331'!$D$115</definedName>
    <definedName name="OSRRefD22_7x_0" localSheetId="59">'332'!$D$61</definedName>
    <definedName name="OSRRefD22_7x_0" localSheetId="54">'333'!$D$117</definedName>
    <definedName name="OSRRefD22_7x_0" localSheetId="73">'405'!$D$49</definedName>
    <definedName name="OSRRefD22_7x_0" localSheetId="75">'411'!$D$46</definedName>
    <definedName name="OSRRefD22_7x_0" localSheetId="79">'415'!$D$51</definedName>
    <definedName name="OSRRefD22_7x_0" localSheetId="80">'418'!$D$46</definedName>
    <definedName name="OSRRefD22_7x_0" localSheetId="84">'425'!$D$41</definedName>
    <definedName name="OSRRefD22_7x_0" localSheetId="87">'430'!$D$42</definedName>
    <definedName name="OSRRefD22_7x_0" localSheetId="88">'433'!$D$52</definedName>
    <definedName name="OSRRefD22_7x_0" localSheetId="90">'444'!$D$52</definedName>
    <definedName name="OSRRefD22_7x_0" localSheetId="91">'450'!$D$51</definedName>
    <definedName name="OSRRefD22_7x_0" localSheetId="72">'491'!$D$56</definedName>
    <definedName name="OSRRefD22_7x_0" localSheetId="86">'492'!$D$55</definedName>
    <definedName name="OSRRefD22_7x_0" localSheetId="93">'501'!$D$49:$D$52</definedName>
    <definedName name="OSRRefD22_7x_0" localSheetId="39">'Div 2'!$D$49</definedName>
    <definedName name="OSRRefD22_7x_0" localSheetId="47">'Div 3'!$D$168</definedName>
    <definedName name="OSRRefD22_7x_0" localSheetId="70">'Div 4'!$D$60</definedName>
    <definedName name="OSRRefD22_7x_0" localSheetId="92">'Div 5'!$D$49:$D$52</definedName>
    <definedName name="OSRRefD22_7x_0" localSheetId="61">'Div 6'!$D$83</definedName>
    <definedName name="OSRRefD22_7x_0" localSheetId="2">Summary!$D$197</definedName>
    <definedName name="OSRRefD22_8x_0" localSheetId="41">'201'!$D$46</definedName>
    <definedName name="OSRRefD22_8x_0" localSheetId="42">'202'!$D$48</definedName>
    <definedName name="OSRRefD22_8x_0" localSheetId="43">'203'!$D$50:$D$51</definedName>
    <definedName name="OSRRefD22_8x_0" localSheetId="44">'204'!$D$50</definedName>
    <definedName name="OSRRefD22_8x_0" localSheetId="48">'300'!$D$163</definedName>
    <definedName name="OSRRefD22_8x_0" localSheetId="49">'300 &amp; 317'!$D$187</definedName>
    <definedName name="OSRRefD22_8x_0" localSheetId="50">'301'!$D$56</definedName>
    <definedName name="OSRRefD22_8x_0" localSheetId="55">'307'!$D$68:$D$69</definedName>
    <definedName name="OSRRefD22_8x_0" localSheetId="51">'308'!$D$95</definedName>
    <definedName name="OSRRefD22_8x_0" localSheetId="64">'309'!$D$44:$D$45</definedName>
    <definedName name="OSRRefD22_8x_0" localSheetId="63">'310'!$D$64</definedName>
    <definedName name="OSRRefD22_8x_0" localSheetId="71">'310 &amp; 491'!$D$68:$D$69</definedName>
    <definedName name="OSRRefD22_8x_0" localSheetId="52">'311'!$D$95</definedName>
    <definedName name="OSRRefD22_8x_0" localSheetId="57">'315'!$D$117:$D$118</definedName>
    <definedName name="OSRRefD22_8x_0" localSheetId="60">'316'!$D$61:$D$63</definedName>
    <definedName name="OSRRefD22_8x_0" localSheetId="62">'317'!$D$85</definedName>
    <definedName name="OSRRefD22_8x_0" localSheetId="66">'321'!$D$57</definedName>
    <definedName name="OSRRefD22_8x_0" localSheetId="68">'325'!$D$50</definedName>
    <definedName name="OSRRefD22_8x_0" localSheetId="58">'326'!$D$80</definedName>
    <definedName name="OSRRefD22_8x_0" localSheetId="56">'331'!$D$117:$D$118</definedName>
    <definedName name="OSRRefD22_8x_0" localSheetId="59">'332'!$D$63:$D$65</definedName>
    <definedName name="OSRRefD22_8x_0" localSheetId="54">'333'!$D$119:$D$120</definedName>
    <definedName name="OSRRefD22_8x_0" localSheetId="73">'405'!$D$51</definedName>
    <definedName name="OSRRefD22_8x_0" localSheetId="75">'411'!$D$48</definedName>
    <definedName name="OSRRefD22_8x_0" localSheetId="79">'415'!$D$53</definedName>
    <definedName name="OSRRefD22_8x_0" localSheetId="80">'418'!$D$48:$D$49</definedName>
    <definedName name="OSRRefD22_8x_0" localSheetId="84">'425'!$D$43</definedName>
    <definedName name="OSRRefD22_8x_0" localSheetId="87">'430'!$D$44</definedName>
    <definedName name="OSRRefD22_8x_0" localSheetId="88">'433'!$D$54</definedName>
    <definedName name="OSRRefD22_8x_0" localSheetId="90">'444'!$D$54</definedName>
    <definedName name="OSRRefD22_8x_0" localSheetId="91">'450'!$D$53</definedName>
    <definedName name="OSRRefD22_8x_0" localSheetId="72">'491'!$D$58</definedName>
    <definedName name="OSRRefD22_8x_0" localSheetId="86">'492'!$D$57</definedName>
    <definedName name="OSRRefD22_8x_0" localSheetId="93">'501'!$D$54:$D$55</definedName>
    <definedName name="OSRRefD22_8x_0" localSheetId="39">'Div 2'!$D$51</definedName>
    <definedName name="OSRRefD22_8x_0" localSheetId="47">'Div 3'!$D$170</definedName>
    <definedName name="OSRRefD22_8x_0" localSheetId="70">'Div 4'!$D$62</definedName>
    <definedName name="OSRRefD22_8x_0" localSheetId="92">'Div 5'!$D$54:$D$55</definedName>
    <definedName name="OSRRefD22_8x_0" localSheetId="61">'Div 6'!$D$85</definedName>
    <definedName name="OSRRefD22_8x_0" localSheetId="2">Summary!$D$199</definedName>
    <definedName name="OSRRefD22_9x_0" localSheetId="41">'201'!$D$48:$D$50</definedName>
    <definedName name="OSRRefD22_9x_0" localSheetId="42">'202'!$D$50:$D$52</definedName>
    <definedName name="OSRRefD22_9x_0" localSheetId="43">'203'!$D$53:$D$54</definedName>
    <definedName name="OSRRefD22_9x_0" localSheetId="44">'204'!$D$52</definedName>
    <definedName name="OSRRefD22_9x_0" localSheetId="48">'300'!$D$165</definedName>
    <definedName name="OSRRefD22_9x_0" localSheetId="49">'300 &amp; 317'!$D$189</definedName>
    <definedName name="OSRRefD22_9x_0" localSheetId="50">'301'!$D$58</definedName>
    <definedName name="OSRRefD22_9x_0" localSheetId="55">'307'!$D$71:$D$72</definedName>
    <definedName name="OSRRefD22_9x_0" localSheetId="51">'308'!$D$97:$D$99</definedName>
    <definedName name="OSRRefD22_9x_0" localSheetId="64">'309'!$D$47:$D$48</definedName>
    <definedName name="OSRRefD22_9x_0" localSheetId="63">'310'!$D$66</definedName>
    <definedName name="OSRRefD22_9x_0" localSheetId="71">'310 &amp; 491'!$D$71</definedName>
    <definedName name="OSRRefD22_9x_0" localSheetId="52">'311'!$D$97:$D$99</definedName>
    <definedName name="OSRRefD22_9x_0" localSheetId="57">'315'!$D$120</definedName>
    <definedName name="OSRRefD22_9x_0" localSheetId="60">'316'!$D$65</definedName>
    <definedName name="OSRRefD22_9x_0" localSheetId="62">'317'!$D$87</definedName>
    <definedName name="OSRRefD22_9x_0" localSheetId="66">'321'!$D$59:$D$61</definedName>
    <definedName name="OSRRefD22_9x_0" localSheetId="68">'325'!$D$52</definedName>
    <definedName name="OSRRefD22_9x_0" localSheetId="58">'326'!$D$82</definedName>
    <definedName name="OSRRefD22_9x_0" localSheetId="56">'331'!$D$120</definedName>
    <definedName name="OSRRefD22_9x_0" localSheetId="59">'332'!$D$67</definedName>
    <definedName name="OSRRefD22_9x_0" localSheetId="54">'333'!$D$122</definedName>
    <definedName name="OSRRefD22_9x_0" localSheetId="73">'405'!$D$53</definedName>
    <definedName name="OSRRefD22_9x_0" localSheetId="75">'411'!$D$50</definedName>
    <definedName name="OSRRefD22_9x_0" localSheetId="79">'415'!$D$55</definedName>
    <definedName name="OSRRefD22_9x_0" localSheetId="80">'418'!$D$51</definedName>
    <definedName name="OSRRefD22_9x_0" localSheetId="88">'433'!$D$56</definedName>
    <definedName name="OSRRefD22_9x_0" localSheetId="90">'444'!$D$56</definedName>
    <definedName name="OSRRefD22_9x_0" localSheetId="91">'450'!$D$55</definedName>
    <definedName name="OSRRefD22_9x_0" localSheetId="72">'491'!$D$60</definedName>
    <definedName name="OSRRefD22_9x_0" localSheetId="86">'492'!$D$59</definedName>
    <definedName name="OSRRefD22_9x_0" localSheetId="93">'501'!$D$57</definedName>
    <definedName name="OSRRefD22_9x_0" localSheetId="39">'Div 2'!$D$53:$D$54</definedName>
    <definedName name="OSRRefD22_9x_0" localSheetId="47">'Div 3'!$D$172</definedName>
    <definedName name="OSRRefD22_9x_0" localSheetId="70">'Div 4'!$D$64</definedName>
    <definedName name="OSRRefD22_9x_0" localSheetId="92">'Div 5'!$D$57</definedName>
    <definedName name="OSRRefD22_9x_0" localSheetId="61">'Div 6'!$D$87</definedName>
    <definedName name="OSRRefD22_9x_0" localSheetId="2">Summary!$D$201</definedName>
    <definedName name="OSRRefD22x_0" localSheetId="40">'200'!$D$20,'200'!$D$22,'200'!$D$24,'200'!$D$26</definedName>
    <definedName name="OSRRefD22x_0" localSheetId="41">'201'!$D$20:$D$27,'201'!$D$29:$D$32,'201'!$D$34,'201'!$D$36,'201'!$D$38,'201'!$D$40,'201'!$D$42,'201'!$D$44,'201'!$D$46,'201'!$D$48:$D$50,'201'!$D$52:$D$54,'201'!$D$56,'201'!$D$58:$D$59,'201'!$D$61,'201'!$D$63</definedName>
    <definedName name="OSRRefD22x_0" localSheetId="42">'202'!$D$20:$D$27,'202'!$D$29:$D$31,'202'!$D$33,'202'!$D$35,'202'!$D$37,'202'!$D$39:$D$40,'202'!$D$42,'202'!$D$44:$D$46,'202'!$D$48,'202'!$D$50:$D$52,'202'!$D$54,'202'!$D$56,'202'!$D$58</definedName>
    <definedName name="OSRRefD22x_0" localSheetId="43">'203'!$D$20:$D$29,'203'!$D$31:$D$35,'203'!$D$37,'203'!$D$39,'203'!$D$41,'203'!$D$43,'203'!$D$45,'203'!$D$47:$D$48,'203'!$D$50:$D$51,'203'!$D$53:$D$54,'203'!$D$56:$D$59,'203'!$D$61,'203'!$D$63,'203'!$D$65</definedName>
    <definedName name="OSRRefD22x_0" localSheetId="44">'204'!$D$20:$D$28,'204'!$D$30:$D$32,'204'!$D$34,'204'!$D$36,'204'!$D$38,'204'!$D$40:$D$43,'204'!$D$45,'204'!$D$47:$D$48,'204'!$D$50,'204'!$D$52</definedName>
    <definedName name="OSRRefD22x_0" localSheetId="45">'205'!$D$20:$D$27,'205'!$D$29,'205'!$D$31,'205'!$D$33,'205'!$D$35:$D$36,'205'!$D$38:$D$40,'205'!$D$42</definedName>
    <definedName name="OSRRefD22x_0" localSheetId="46">'206'!$D$20:$D$27,'206'!$D$29:$D$32,'206'!$D$34,'206'!$D$36,'206'!$D$38,'206'!$D$40,'206'!$D$42</definedName>
    <definedName name="OSRRefD22x_0" localSheetId="48">'300'!$D$129:$D$138,'300'!$D$140:$D$146,'300'!$D$148,'300'!$D$150:$D$151,'300'!$D$153,'300'!$D$155:$D$156,'300'!$D$158:$D$159,'300'!$D$161,'300'!$D$163,'300'!$D$165,'300'!$D$167:$D$168,'300'!$D$170,'300'!$D$172,'300'!$D$174:$D$175,'300'!$D$177,'300'!$D$179,'300'!$D$181:$D$184,'300'!$D$186:$D$188,'300'!$D$190:$D$193,'300'!$D$195:$D$196,'300'!$D$198:$D$204,'300'!$D$206:$D$207,'300'!$D$209,'300'!$D$211:$D$213,'300'!$D$215</definedName>
    <definedName name="OSRRefD22x_0" localSheetId="49">'300 &amp; 317'!$D$153:$D$162,'300 &amp; 317'!$D$164:$D$170,'300 &amp; 317'!$D$172,'300 &amp; 317'!$D$174:$D$175,'300 &amp; 317'!$D$177,'300 &amp; 317'!$D$179:$D$180,'300 &amp; 317'!$D$182:$D$183,'300 &amp; 317'!$D$185,'300 &amp; 317'!$D$187,'300 &amp; 317'!$D$189,'300 &amp; 317'!$D$191:$D$192,'300 &amp; 317'!$D$194,'300 &amp; 317'!$D$196,'300 &amp; 317'!$D$198:$D$199,'300 &amp; 317'!$D$201,'300 &amp; 317'!$D$203,'300 &amp; 317'!$D$205:$D$208,'300 &amp; 317'!$D$210:$D$212,'300 &amp; 317'!$D$214:$D$217,'300 &amp; 317'!$D$219:$D$220,'300 &amp; 317'!$D$222:$D$228,'300 &amp; 317'!$D$230:$D$231,'300 &amp; 317'!$D$233,'300 &amp; 317'!$D$235:$D$237,'300 &amp; 317'!$D$239</definedName>
    <definedName name="OSRRefD22x_0" localSheetId="50">'301'!$D$22:$D$31,'301'!$D$33:$D$39,'301'!$D$41,'301'!$D$43:$D$44,'301'!$D$46,'301'!$D$48:$D$49,'301'!$D$51:$D$52,'301'!$D$54,'301'!$D$56,'301'!$D$58,'301'!$D$60,'301'!$D$62,'301'!$D$64,'301'!$D$66,'301'!$D$68,'301'!$D$70:$D$73,'301'!$D$75:$D$77,'301'!$D$79,'301'!$D$81:$D$86,'301'!$D$88,'301'!$D$90,'301'!$D$92:$D$93,'301'!$D$95</definedName>
    <definedName name="OSRRefD22x_0" localSheetId="55">'307'!$D$43:$D$48,'307'!$D$50:$D$53,'307'!$D$55,'307'!$D$57,'307'!$D$59:$D$60,'307'!$D$62,'307'!$D$64,'307'!$D$66,'307'!$D$68:$D$69,'307'!$D$71:$D$72,'307'!$D$74,'307'!$D$76:$D$79,'307'!$D$81,'307'!$D$83</definedName>
    <definedName name="OSRRefD22x_0" localSheetId="51">'308'!$D$63:$D$71,'308'!$D$73:$D$79,'308'!$D$81,'308'!$D$83:$D$84,'308'!$D$86,'308'!$D$88,'308'!$D$90:$D$91,'308'!$D$93,'308'!$D$95,'308'!$D$97:$D$99,'308'!$D$101:$D$102,'308'!$D$104:$D$105,'308'!$D$107:$D$108,'308'!$D$110,'308'!$D$112</definedName>
    <definedName name="OSRRefD22x_0" localSheetId="64">'309'!$D$26:$D$27,'309'!$D$29:$D$30,'309'!$D$32,'309'!$D$34,'309'!$D$36,'309'!$D$38,'309'!$D$40,'309'!$D$42,'309'!$D$44:$D$45,'309'!$D$47:$D$48,'309'!$D$50:$D$51,'309'!$D$53,'309'!$D$55</definedName>
    <definedName name="OSRRefD22x_0" localSheetId="63">'310'!$D$34:$D$42,'310'!$D$44:$D$49,'310'!$D$51,'310'!$D$53,'310'!$D$55,'310'!$D$57:$D$58,'310'!$D$60,'310'!$D$62,'310'!$D$64,'310'!$D$66,'310'!$D$68,'310'!$D$70:$D$71,'310'!$D$73,'310'!$D$75:$D$78,'310'!$D$80:$D$85,'310'!$D$87,'310'!$D$89,'310'!$D$91</definedName>
    <definedName name="OSRRefD22x_0" localSheetId="71">'310 &amp; 491'!$D$37:$D$45,'310 &amp; 491'!$D$47:$D$53,'310 &amp; 491'!$D$55,'310 &amp; 491'!$D$57,'310 &amp; 491'!$D$59,'310 &amp; 491'!$D$61:$D$62,'310 &amp; 491'!$D$64,'310 &amp; 491'!$D$66,'310 &amp; 491'!$D$68:$D$69,'310 &amp; 491'!$D$71,'310 &amp; 491'!$D$73,'310 &amp; 491'!$D$75,'310 &amp; 491'!$D$77,'310 &amp; 491'!$D$79:$D$82,'310 &amp; 491'!$D$84,'310 &amp; 491'!$D$86:$D$89,'310 &amp; 491'!$D$91,'310 &amp; 491'!$D$93:$D$101,'310 &amp; 491'!$D$103,'310 &amp; 491'!$D$105,'310 &amp; 491'!$D$107:$D$108,'310 &amp; 491'!$D$110</definedName>
    <definedName name="OSRRefD22x_0" localSheetId="52">'311'!$D$63:$D$71,'311'!$D$73:$D$79,'311'!$D$81,'311'!$D$83:$D$84,'311'!$D$86,'311'!$D$88,'311'!$D$90:$D$91,'311'!$D$93,'311'!$D$95,'311'!$D$97:$D$99,'311'!$D$101:$D$102,'311'!$D$104:$D$105,'311'!$D$107:$D$108,'311'!$D$110,'311'!$D$112</definedName>
    <definedName name="OSRRefD22x_0" localSheetId="65">'313'!$D$25:$D$32,'313'!$D$34,'313'!$D$36,'313'!$D$38,'313'!$D$40,'313'!$D$42,'313'!$D$44,'313'!$D$46</definedName>
    <definedName name="OSRRefD22x_0" localSheetId="57">'315'!$D$87:$D$94,'315'!$D$96:$D$101,'315'!$D$103,'315'!$D$105:$D$106,'315'!$D$108,'315'!$D$110,'315'!$D$112:$D$113,'315'!$D$115,'315'!$D$117:$D$118,'315'!$D$120,'315'!$D$122:$D$123,'315'!$D$125:$D$126,'315'!$D$128:$D$129,'315'!$D$131:$D$135,'315'!$D$137,'315'!$D$139,'315'!$D$141</definedName>
    <definedName name="OSRRefD22x_0" localSheetId="60">'316'!$D$34:$D$41,'316'!$D$43:$D$46,'316'!$D$48,'316'!$D$50,'316'!$D$52,'316'!$D$54,'316'!$D$56:$D$57,'316'!$D$59,'316'!$D$61:$D$63,'316'!$D$65,'316'!$D$67,'316'!$D$69:$D$74,'316'!$D$76,'316'!$D$78</definedName>
    <definedName name="OSRRefD22x_0" localSheetId="62">'317'!$D$56:$D$64,'317'!$D$66:$D$70,'317'!$D$72,'317'!$D$74,'317'!$D$76,'317'!$D$78:$D$79,'317'!$D$81,'317'!$D$83,'317'!$D$85,'317'!$D$87,'317'!$D$89:$D$92,'317'!$D$94,'317'!$D$96</definedName>
    <definedName name="OSRRefD22x_0" localSheetId="66">'321'!$D$27:$D$35,'321'!$D$37:$D$42,'321'!$D$44,'321'!$D$46,'321'!$D$48,'321'!$D$50,'321'!$D$52,'321'!$D$54:$D$55,'321'!$D$57,'321'!$D$59:$D$61,'321'!$D$63:$D$67,'321'!$D$69,'321'!$D$71,'321'!$D$73</definedName>
    <definedName name="OSRRefD22x_0" localSheetId="67">'322'!$D$21:$D$25,'322'!$D$27,'322'!$D$29,'322'!$D$31,'322'!$D$33:$D$34,'322'!$D$36,'322'!$D$38,'322'!$D$40</definedName>
    <definedName name="OSRRefD22x_0" localSheetId="68">'325'!$D$24:$D$31,'325'!$D$33:$D$35,'325'!$D$37,'325'!$D$39,'325'!$D$41,'325'!$D$43:$D$44,'325'!$D$46,'325'!$D$48,'325'!$D$50,'325'!$D$52,'325'!$D$54:$D$55,'325'!$D$57:$D$60,'325'!$D$62:$D$67,'325'!$D$69,'325'!$D$71,'325'!$D$73</definedName>
    <definedName name="OSRRefD22x_0" localSheetId="58">'326'!$D$52:$D$59,'326'!$D$61:$D$66,'326'!$D$68,'326'!$D$70,'326'!$D$72,'326'!$D$74,'326'!$D$76,'326'!$D$78,'326'!$D$80,'326'!$D$82,'326'!$D$84,'326'!$D$86:$D$88,'326'!$D$90:$D$92,'326'!$D$94:$D$95,'326'!$D$97:$D$100,'326'!$D$102,'326'!$D$104,'326'!$D$106</definedName>
    <definedName name="OSRRefD22x_0" localSheetId="69">'327'!$D$24,'327'!$D$26</definedName>
    <definedName name="OSRRefD22x_0" localSheetId="56">'331'!$D$88:$D$95,'331'!$D$97:$D$102,'331'!$D$104,'331'!$D$106,'331'!$D$108,'331'!$D$110:$D$111,'331'!$D$113,'331'!$D$115,'331'!$D$117:$D$118,'331'!$D$120,'331'!$D$122,'331'!$D$124:$D$125,'331'!$D$127,'331'!$D$129,'331'!$D$131:$D$133,'331'!$D$135:$D$136,'331'!$D$138:$D$140,'331'!$D$142:$D$143,'331'!$D$145:$D$150,'331'!$D$152,'331'!$D$154,'331'!$D$156,'331'!$D$158</definedName>
    <definedName name="OSRRefD22x_0" localSheetId="59">'332'!$D$36:$D$43,'332'!$D$45:$D$48,'332'!$D$50,'332'!$D$52,'332'!$D$54,'332'!$D$56,'332'!$D$58:$D$59,'332'!$D$61,'332'!$D$63:$D$65,'332'!$D$67,'332'!$D$69,'332'!$D$71:$D$76,'332'!$D$78,'332'!$D$80</definedName>
    <definedName name="OSRRefD22x_0" localSheetId="54">'333'!$D$90:$D$97,'333'!$D$99:$D$104,'333'!$D$106,'333'!$D$108,'333'!$D$110,'333'!$D$112:$D$113,'333'!$D$115,'333'!$D$117,'333'!$D$119:$D$120,'333'!$D$122,'333'!$D$124,'333'!$D$126:$D$127,'333'!$D$129,'333'!$D$131,'333'!$D$133:$D$135,'333'!$D$137:$D$138,'333'!$D$140:$D$143,'333'!$D$145:$D$146,'333'!$D$148:$D$153,'333'!$D$155,'333'!$D$157,'333'!$D$159,'333'!$D$161</definedName>
    <definedName name="OSRRefD22x_0" localSheetId="73">'405'!$D$24:$D$31,'405'!$D$33:$D$36,'405'!$D$38,'405'!$D$40,'405'!$D$42,'405'!$D$44:$D$45,'405'!$D$47,'405'!$D$49,'405'!$D$51,'405'!$D$53,'405'!$D$55:$D$56,'405'!$D$58:$D$61,'405'!$D$63,'405'!$D$65:$D$73,'405'!$D$75,'405'!$D$77,'405'!$D$79</definedName>
    <definedName name="OSRRefD22x_0" localSheetId="74">'406'!$D$20,'406'!$D$22,'406'!$D$24,'406'!$D$26,'406'!$D$28</definedName>
    <definedName name="OSRRefD22x_0" localSheetId="75">'411'!$D$20:$D$27,'411'!$D$29:$D$33,'411'!$D$35,'411'!$D$37,'411'!$D$39:$D$40,'411'!$D$42,'411'!$D$44,'411'!$D$46,'411'!$D$48,'411'!$D$50,'411'!$D$52:$D$55,'411'!$D$57:$D$59,'411'!$D$61,'411'!$D$63:$D$64,'411'!$D$66,'411'!$D$68:$D$69,'411'!$D$71</definedName>
    <definedName name="OSRRefD22x_0" localSheetId="76">'412'!$D$20,'412'!$D$22,'412'!$D$24,'412'!$D$26:$D$27,'412'!$D$29,'412'!$D$31</definedName>
    <definedName name="OSRRefD22x_0" localSheetId="77">'413'!$D$20:$D$24,'413'!$D$26,'413'!$D$28,'413'!$D$30,'413'!$D$32,'413'!$D$34</definedName>
    <definedName name="OSRRefD22x_0" localSheetId="78">'414'!$D$22,'414'!$D$24,'414'!$D$26,'414'!$D$28,'414'!$D$30,'414'!$D$32:$D$33</definedName>
    <definedName name="OSRRefD22x_0" localSheetId="79">'415'!$D$24:$D$32,'415'!$D$34:$D$38,'415'!$D$40,'415'!$D$42,'415'!$D$44,'415'!$D$46:$D$47,'415'!$D$49,'415'!$D$51,'415'!$D$53,'415'!$D$55,'415'!$D$57,'415'!$D$59:$D$60,'415'!$D$62:$D$65,'415'!$D$67,'415'!$D$69:$D$74,'415'!$D$76,'415'!$D$78,'415'!$D$80</definedName>
    <definedName name="OSRRefD22x_0" localSheetId="80">'418'!$D$21:$D$28,'418'!$D$30:$D$33,'418'!$D$35,'418'!$D$37,'418'!$D$39:$D$40,'418'!$D$42,'418'!$D$44,'418'!$D$46,'418'!$D$48:$D$49,'418'!$D$51,'418'!$D$53,'418'!$D$55:$D$60,'418'!$D$62,'418'!$D$64</definedName>
    <definedName name="OSRRefD22x_0" localSheetId="81">'420'!$D$22,'420'!$D$24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'425'!$D$22:$D$26,'425'!$D$28,'425'!$D$30,'425'!$D$32,'425'!$D$34,'425'!$D$36:$D$37,'425'!$D$39,'425'!$D$41,'425'!$D$43</definedName>
    <definedName name="OSRRefD22x_0" localSheetId="87">'430'!$D$20:$D$27,'430'!$D$29,'430'!$D$31,'430'!$D$33,'430'!$D$35,'430'!$D$37:$D$38,'430'!$D$40,'430'!$D$42,'430'!$D$44</definedName>
    <definedName name="OSRRefD22x_0" localSheetId="88">'433'!$D$25:$D$33,'433'!$D$35:$D$40,'433'!$D$42,'433'!$D$44,'433'!$D$46,'433'!$D$48,'433'!$D$50,'433'!$D$52,'433'!$D$54,'433'!$D$56,'433'!$D$58,'433'!$D$60:$D$61,'433'!$D$63:$D$65,'433'!$D$67:$D$74,'433'!$D$76,'433'!$D$78</definedName>
    <definedName name="OSRRefD22x_0" localSheetId="89">'435'!$D$23:$D$24,'435'!$D$26,'435'!$D$28,'435'!$D$30,'435'!$D$32,'435'!$D$34</definedName>
    <definedName name="OSRRefD22x_0" localSheetId="90">'444'!$D$25:$D$33,'444'!$D$35:$D$40,'444'!$D$42,'444'!$D$44,'444'!$D$46,'444'!$D$48,'444'!$D$50,'444'!$D$52,'444'!$D$54,'444'!$D$56,'444'!$D$58,'444'!$D$60:$D$61,'444'!$D$63:$D$66,'444'!$D$68,'444'!$D$70:$D$77,'444'!$D$79,'444'!$D$81,'444'!$D$83</definedName>
    <definedName name="OSRRefD22x_0" localSheetId="91">'450'!$D$25:$D$33,'450'!$D$35:$D$39,'450'!$D$41,'450'!$D$43,'450'!$D$45,'450'!$D$47,'450'!$D$49,'450'!$D$51,'450'!$D$53,'450'!$D$55,'450'!$D$57,'450'!$D$59,'450'!$D$61:$D$62,'450'!$D$64:$D$66,'450'!$D$68:$D$73,'450'!$D$75,'450'!$D$77,'450'!$D$79</definedName>
    <definedName name="OSRRefD22x_0" localSheetId="72">'491'!$D$28:$D$36,'491'!$D$38:$D$43,'491'!$D$45,'491'!$D$47,'491'!$D$49,'491'!$D$51:$D$52,'491'!$D$54,'491'!$D$56,'491'!$D$58,'491'!$D$60,'491'!$D$62,'491'!$D$64,'491'!$D$66,'491'!$D$68:$D$71,'491'!$D$73,'491'!$D$75:$D$78,'491'!$D$80,'491'!$D$82:$D$90,'491'!$D$92,'491'!$D$94,'491'!$D$96:$D$97,'491'!$D$99</definedName>
    <definedName name="OSRRefD22x_0" localSheetId="86">'492'!$D$27:$D$35,'492'!$D$37:$D$43,'492'!$D$45,'492'!$D$47,'492'!$D$49,'492'!$D$51,'492'!$D$53,'492'!$D$55,'492'!$D$57,'492'!$D$59,'492'!$D$61,'492'!$D$63,'492'!$D$65:$D$67,'492'!$D$69:$D$72,'492'!$D$74,'492'!$D$76:$D$83,'492'!$D$85,'492'!$D$87,'492'!$D$89:$D$91</definedName>
    <definedName name="OSRRefD22x_0" localSheetId="93">'501'!$D$21:$D$29,'501'!$D$31:$D$36,'501'!$D$38,'501'!$D$40,'501'!$D$42:$D$43,'501'!$D$45,'501'!$D$47,'501'!$D$49:$D$52,'501'!$D$54:$D$55,'501'!$D$57,'501'!$D$59</definedName>
    <definedName name="OSRRefD22x_0" localSheetId="39">'Div 2'!$D$20:$D$30,'Div 2'!$D$32:$D$37,'Div 2'!$D$39,'Div 2'!$D$41,'Div 2'!$D$43,'Div 2'!$D$45,'Div 2'!$D$47,'Div 2'!$D$49,'Div 2'!$D$51,'Div 2'!$D$53:$D$54,'Div 2'!$D$56,'Div 2'!$D$58,'Div 2'!$D$60:$D$62,'Div 2'!$D$64:$D$67,'Div 2'!$D$69,'Div 2'!$D$71:$D$72,'Div 2'!$D$74:$D$78,'Div 2'!$D$80:$D$81,'Div 2'!$D$83,'Div 2'!$D$85:$D$86</definedName>
    <definedName name="OSRRefD22x_0" localSheetId="47">'Div 3'!$D$136:$D$145,'Div 3'!$D$147:$D$153,'Div 3'!$D$155,'Div 3'!$D$157:$D$158,'Div 3'!$D$160,'Div 3'!$D$162:$D$163,'Div 3'!$D$165:$D$166,'Div 3'!$D$168,'Div 3'!$D$170,'Div 3'!$D$172,'Div 3'!$D$174:$D$175,'Div 3'!$D$177,'Div 3'!$D$179,'Div 3'!$D$181,'Div 3'!$D$183:$D$184,'Div 3'!$D$186,'Div 3'!$D$188,'Div 3'!$D$190:$D$193,'Div 3'!$D$195:$D$197,'Div 3'!$D$199:$D$203,'Div 3'!$D$205:$D$206,'Div 3'!$D$208:$D$214,'Div 3'!$D$216:$D$217,'Div 3'!$D$219,'Div 3'!$D$221:$D$223,'Div 3'!$D$225</definedName>
    <definedName name="OSRRefD22x_0" localSheetId="70">'Div 4'!$D$31:$D$39,'Div 4'!$D$41:$D$47,'Div 4'!$D$49,'Div 4'!$D$51,'Div 4'!$D$53,'Div 4'!$D$55:$D$56,'Div 4'!$D$58,'Div 4'!$D$60,'Div 4'!$D$62,'Div 4'!$D$64,'Div 4'!$D$66,'Div 4'!$D$68,'Div 4'!$D$70,'Div 4'!$D$72,'Div 4'!$D$74,'Div 4'!$D$76:$D$79,'Div 4'!$D$81,'Div 4'!$D$83:$D$86,'Div 4'!$D$88:$D$89,'Div 4'!$D$91:$D$99,'Div 4'!$D$101,'Div 4'!$D$103,'Div 4'!$D$105:$D$107,'Div 4'!$D$109</definedName>
    <definedName name="OSRRefD22x_0" localSheetId="92">'Div 5'!$D$21:$D$29,'Div 5'!$D$31:$D$36,'Div 5'!$D$38,'Div 5'!$D$40,'Div 5'!$D$42:$D$43,'Div 5'!$D$45,'Div 5'!$D$47,'Div 5'!$D$49:$D$52,'Div 5'!$D$54:$D$55,'Div 5'!$D$57,'Div 5'!$D$59</definedName>
    <definedName name="OSRRefD22x_0" localSheetId="61">'Div 6'!$D$56:$D$64,'Div 6'!$D$66:$D$70,'Div 6'!$D$72,'Div 6'!$D$74,'Div 6'!$D$76,'Div 6'!$D$78:$D$79,'Div 6'!$D$81,'Div 6'!$D$83,'Div 6'!$D$85,'Div 6'!$D$87,'Div 6'!$D$89:$D$92,'Div 6'!$D$94,'Div 6'!$D$96</definedName>
    <definedName name="OSRRefD22x_0" localSheetId="2">Summary!$D$165:$D$174,Summary!$D$176:$D$182,Summary!$D$184,Summary!$D$186:$D$187,Summary!$D$189,Summary!$D$191:$D$192,Summary!$D$194:$D$195,Summary!$D$197,Summary!$D$199,Summary!$D$201,Summary!$D$203:$D$204,Summary!$D$206,Summary!$D$208,Summary!$D$210,Summary!$D$212:$D$213,Summary!$D$215,Summary!$D$217,Summary!$D$219,Summary!$D$221:$D$224,Summary!$D$226:$D$228,Summary!$D$230:$D$234,Summary!$D$236:$D$237,Summary!$D$239:$D$247,Summary!$D$249:$D$250,Summary!$D$252,Summary!$D$254:$D$256,Summary!$D$258</definedName>
    <definedName name="OSRRefD25x_0" localSheetId="48">'300'!$D$218:$D$222</definedName>
    <definedName name="OSRRefD25x_0" localSheetId="49">'300 &amp; 317'!$D$242:$D$248</definedName>
    <definedName name="OSRRefD25x_0" localSheetId="50">'301'!$D$98</definedName>
    <definedName name="OSRRefD25x_0" localSheetId="51">'308'!$D$115:$D$117</definedName>
    <definedName name="OSRRefD25x_0" localSheetId="71">'310 &amp; 491'!$D$113:$D$115</definedName>
    <definedName name="OSRRefD25x_0" localSheetId="52">'311'!$D$115:$D$117</definedName>
    <definedName name="OSRRefD25x_0" localSheetId="57">'315'!$D$144:$D$146</definedName>
    <definedName name="OSRRefD25x_0" localSheetId="60">'316'!$D$81</definedName>
    <definedName name="OSRRefD25x_0" localSheetId="62">'317'!$D$99:$D$101</definedName>
    <definedName name="OSRRefD25x_0" localSheetId="56">'331'!$D$161:$D$163</definedName>
    <definedName name="OSRRefD25x_0" localSheetId="59">'332'!$D$83:$D$84</definedName>
    <definedName name="OSRRefD25x_0" localSheetId="54">'333'!$D$164:$D$166</definedName>
    <definedName name="OSRRefD25x_0" localSheetId="73">'405'!$D$82</definedName>
    <definedName name="OSRRefD25x_0" localSheetId="75">'411'!$D$74:$D$75</definedName>
    <definedName name="OSRRefD25x_0" localSheetId="79">'415'!$D$83</definedName>
    <definedName name="OSRRefD25x_0" localSheetId="80">'418'!$D$67</definedName>
    <definedName name="OSRRefD25x_0" localSheetId="82">'423'!$D$30</definedName>
    <definedName name="OSRRefD25x_0" localSheetId="85">'455'!$D$21:$D$22</definedName>
    <definedName name="OSRRefD25x_0" localSheetId="72">'491'!$D$102:$D$104</definedName>
    <definedName name="OSRRefD25x_0" localSheetId="93">'501'!$D$62</definedName>
    <definedName name="OSRRefD25x_0" localSheetId="47">'Div 3'!$D$228:$D$232</definedName>
    <definedName name="OSRRefD25x_0" localSheetId="70">'Div 4'!$D$112:$D$114</definedName>
    <definedName name="OSRRefD25x_0" localSheetId="92">'Div 5'!$D$62</definedName>
    <definedName name="OSRRefD25x_0" localSheetId="61">'Div 6'!$D$99:$D$101</definedName>
    <definedName name="OSRRefD25x_0" localSheetId="2">Summary!$D$261:$D$269</definedName>
    <definedName name="OSRRefH13x_0" localSheetId="48">'300'!$H$13:$H$80</definedName>
    <definedName name="OSRRefH13x_0" localSheetId="49">'300 &amp; 317'!$H$13:$H$95</definedName>
    <definedName name="OSRRefH13x_0" localSheetId="55">'307'!$H$13:$H$25</definedName>
    <definedName name="OSRRefH13x_0" localSheetId="51">'308'!$H$13:$H$38</definedName>
    <definedName name="OSRRefH13x_0" localSheetId="64">'309'!$H$13:$H$16</definedName>
    <definedName name="OSRRefH13x_0" localSheetId="63">'310'!$H$13:$H$23</definedName>
    <definedName name="OSRRefH13x_0" localSheetId="71">'310 &amp; 491'!$H$13:$H$26</definedName>
    <definedName name="OSRRefH13x_0" localSheetId="52">'311'!$H$13:$H$38</definedName>
    <definedName name="OSRRefH13x_0" localSheetId="65">'313'!$H$13:$H$16</definedName>
    <definedName name="OSRRefH13x_0" localSheetId="57">'315'!$H$13:$H$54</definedName>
    <definedName name="OSRRefH13x_0" localSheetId="60">'316'!$H$13:$H$25</definedName>
    <definedName name="OSRRefH13x_0" localSheetId="62">'317'!$H$13:$H$34</definedName>
    <definedName name="OSRRefH13x_0" localSheetId="66">'321'!$H$13:$H$16</definedName>
    <definedName name="OSRRefH13x_0" localSheetId="53">'324'!$H$13:$H$16</definedName>
    <definedName name="OSRRefH13x_0" localSheetId="68">'325'!$H$13:$H$14</definedName>
    <definedName name="OSRRefH13x_0" localSheetId="58">'326'!$H$13:$H$36</definedName>
    <definedName name="OSRRefH13x_0" localSheetId="69">'327'!$H$13:$H$14</definedName>
    <definedName name="OSRRefH13x_0" localSheetId="56">'331'!$H$13:$H$54</definedName>
    <definedName name="OSRRefH13x_0" localSheetId="59">'332'!$H$13:$H$25</definedName>
    <definedName name="OSRRefH13x_0" localSheetId="54">'333'!$H$13:$H$56</definedName>
    <definedName name="OSRRefH13x_0" localSheetId="73">'405'!$H$13:$H$14</definedName>
    <definedName name="OSRRefH13x_0" localSheetId="78">'414'!$H$13</definedName>
    <definedName name="OSRRefH13x_0" localSheetId="79">'415'!$H$13:$H$14</definedName>
    <definedName name="OSRRefH13x_0" localSheetId="81">'420'!$H$13:$H$14</definedName>
    <definedName name="OSRRefH13x_0" localSheetId="84">'425'!$H$13</definedName>
    <definedName name="OSRRefH13x_0" localSheetId="88">'433'!$H$13:$H$15</definedName>
    <definedName name="OSRRefH13x_0" localSheetId="89">'435'!$H$13:$H$14</definedName>
    <definedName name="OSRRefH13x_0" localSheetId="90">'444'!$H$13:$H$15</definedName>
    <definedName name="OSRRefH13x_0" localSheetId="91">'450'!$H$13:$H$15</definedName>
    <definedName name="OSRRefH13x_0" localSheetId="72">'491'!$H$13:$H$18</definedName>
    <definedName name="OSRRefH13x_0" localSheetId="86">'492'!$H$13:$H$17</definedName>
    <definedName name="OSRRefH13x_0" localSheetId="93">'501'!$H$13</definedName>
    <definedName name="OSRRefH13x_0" localSheetId="47">'Div 3'!$H$13:$H$85</definedName>
    <definedName name="OSRRefH13x_0" localSheetId="70">'Div 4'!$H$13:$H$21</definedName>
    <definedName name="OSRRefH13x_0" localSheetId="92">'Div 5'!$H$13</definedName>
    <definedName name="OSRRefH13x_0" localSheetId="61">'Div 6'!$H$13:$H$34</definedName>
    <definedName name="OSRRefH13x_0" localSheetId="2">Summary!$H$13:$H$105</definedName>
    <definedName name="OSRRefH16x_0" localSheetId="48">'300'!$H$83:$H$123</definedName>
    <definedName name="OSRRefH16x_0" localSheetId="49">'300 &amp; 317'!$H$98:$H$147</definedName>
    <definedName name="OSRRefH16x_0" localSheetId="50">'301'!$H$15:$H$16</definedName>
    <definedName name="OSRRefH16x_0" localSheetId="55">'307'!$H$28:$H$37</definedName>
    <definedName name="OSRRefH16x_0" localSheetId="51">'308'!$H$41:$H$57</definedName>
    <definedName name="OSRRefH16x_0" localSheetId="64">'309'!$H$19:$H$20</definedName>
    <definedName name="OSRRefH16x_0" localSheetId="63">'310'!$H$26:$H$28</definedName>
    <definedName name="OSRRefH16x_0" localSheetId="71">'310 &amp; 491'!$H$29:$H$31</definedName>
    <definedName name="OSRRefH16x_0" localSheetId="52">'311'!$H$41:$H$57</definedName>
    <definedName name="OSRRefH16x_0" localSheetId="65">'313'!$H$19</definedName>
    <definedName name="OSRRefH16x_0" localSheetId="57">'315'!$H$57:$H$81</definedName>
    <definedName name="OSRRefH16x_0" localSheetId="60">'316'!$H$28</definedName>
    <definedName name="OSRRefH16x_0" localSheetId="62">'317'!$H$37:$H$50</definedName>
    <definedName name="OSRRefH16x_0" localSheetId="66">'321'!$H$19:$H$21</definedName>
    <definedName name="OSRRefH16x_0" localSheetId="67">'322'!$H$15</definedName>
    <definedName name="OSRRefH16x_0" localSheetId="53">'324'!$H$19:$H$21</definedName>
    <definedName name="OSRRefH16x_0" localSheetId="68">'325'!$H$17:$H$18</definedName>
    <definedName name="OSRRefH16x_0" localSheetId="58">'326'!$H$39:$H$46</definedName>
    <definedName name="OSRRefH16x_0" localSheetId="69">'327'!$H$17:$H$18</definedName>
    <definedName name="OSRRefH16x_0" localSheetId="56">'331'!$H$57:$H$82</definedName>
    <definedName name="OSRRefH16x_0" localSheetId="59">'332'!$H$28:$H$30</definedName>
    <definedName name="OSRRefH16x_0" localSheetId="54">'333'!$H$59:$H$84</definedName>
    <definedName name="OSRRefH16x_0" localSheetId="73">'405'!$H$17:$H$18</definedName>
    <definedName name="OSRRefH16x_0" localSheetId="78">'414'!$H$16</definedName>
    <definedName name="OSRRefH16x_0" localSheetId="79">'415'!$H$17:$H$18</definedName>
    <definedName name="OSRRefH16x_0" localSheetId="80">'418'!$H$15</definedName>
    <definedName name="OSRRefH16x_0" localSheetId="84">'425'!$H$16</definedName>
    <definedName name="OSRRefH16x_0" localSheetId="88">'433'!$H$18:$H$19</definedName>
    <definedName name="OSRRefH16x_0" localSheetId="89">'435'!$H$17</definedName>
    <definedName name="OSRRefH16x_0" localSheetId="90">'444'!$H$18:$H$19</definedName>
    <definedName name="OSRRefH16x_0" localSheetId="91">'450'!$H$18:$H$19</definedName>
    <definedName name="OSRRefH16x_0" localSheetId="72">'491'!$H$21:$H$22</definedName>
    <definedName name="OSRRefH16x_0" localSheetId="86">'492'!$H$20:$H$21</definedName>
    <definedName name="OSRRefH16x_0" localSheetId="47">'Div 3'!$H$88:$H$130</definedName>
    <definedName name="OSRRefH16x_0" localSheetId="70">'Div 4'!$H$24:$H$25</definedName>
    <definedName name="OSRRefH16x_0" localSheetId="61">'Div 6'!$H$37:$H$50</definedName>
    <definedName name="OSRRefH16x_0" localSheetId="2">Summary!$H$108:$H$159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'300'!$H$129:$H$138</definedName>
    <definedName name="OSRRefH22_0x_0" localSheetId="49">'300 &amp; 317'!$H$153:$H$162</definedName>
    <definedName name="OSRRefH22_0x_0" localSheetId="50">'301'!$H$22:$H$31</definedName>
    <definedName name="OSRRefH22_0x_0" localSheetId="55">'307'!$H$43:$H$48</definedName>
    <definedName name="OSRRefH22_0x_0" localSheetId="51">'308'!$H$63:$H$71</definedName>
    <definedName name="OSRRefH22_0x_0" localSheetId="64">'309'!$H$26:$H$27</definedName>
    <definedName name="OSRRefH22_0x_0" localSheetId="63">'310'!$H$34:$H$42</definedName>
    <definedName name="OSRRefH22_0x_0" localSheetId="71">'310 &amp; 491'!$H$37:$H$45</definedName>
    <definedName name="OSRRefH22_0x_0" localSheetId="52">'311'!$H$63:$H$71</definedName>
    <definedName name="OSRRefH22_0x_0" localSheetId="65">'313'!$H$25:$H$32</definedName>
    <definedName name="OSRRefH22_0x_0" localSheetId="57">'315'!$H$87:$H$94</definedName>
    <definedName name="OSRRefH22_0x_0" localSheetId="60">'316'!$H$34:$H$41</definedName>
    <definedName name="OSRRefH22_0x_0" localSheetId="62">'317'!$H$56:$H$64</definedName>
    <definedName name="OSRRefH22_0x_0" localSheetId="66">'321'!$H$27:$H$35</definedName>
    <definedName name="OSRRefH22_0x_0" localSheetId="67">'322'!$H$21:$H$25</definedName>
    <definedName name="OSRRefH22_0x_0" localSheetId="68">'325'!$H$24:$H$31</definedName>
    <definedName name="OSRRefH22_0x_0" localSheetId="58">'326'!$H$52:$H$59</definedName>
    <definedName name="OSRRefH22_0x_0" localSheetId="69">'327'!$H$24</definedName>
    <definedName name="OSRRefH22_0x_0" localSheetId="56">'331'!$H$88:$H$95</definedName>
    <definedName name="OSRRefH22_0x_0" localSheetId="59">'332'!$H$36:$H$43</definedName>
    <definedName name="OSRRefH22_0x_0" localSheetId="54">'333'!$H$90:$H$97</definedName>
    <definedName name="OSRRefH22_0x_0" localSheetId="73">'405'!$H$24:$H$31</definedName>
    <definedName name="OSRRefH22_0x_0" localSheetId="74">'406'!$H$20</definedName>
    <definedName name="OSRRefH22_0x_0" localSheetId="75">'411'!$H$20:$H$27</definedName>
    <definedName name="OSRRefH22_0x_0" localSheetId="76">'412'!$H$20</definedName>
    <definedName name="OSRRefH22_0x_0" localSheetId="77">'413'!$H$20:$H$24</definedName>
    <definedName name="OSRRefH22_0x_0" localSheetId="78">'414'!$H$22</definedName>
    <definedName name="OSRRefH22_0x_0" localSheetId="79">'415'!$H$24:$H$32</definedName>
    <definedName name="OSRRefH22_0x_0" localSheetId="80">'418'!$H$21:$H$28</definedName>
    <definedName name="OSRRefH22_0x_0" localSheetId="81">'420'!$H$22</definedName>
    <definedName name="OSRRefH22_0x_0" localSheetId="82">'423'!$H$20:$H$21</definedName>
    <definedName name="OSRRefH22_0x_0" localSheetId="83">'424'!$H$20</definedName>
    <definedName name="OSRRefH22_0x_0" localSheetId="84">'425'!$H$22:$H$26</definedName>
    <definedName name="OSRRefH22_0x_0" localSheetId="87">'430'!$H$20:$H$27</definedName>
    <definedName name="OSRRefH22_0x_0" localSheetId="88">'433'!$H$25:$H$33</definedName>
    <definedName name="OSRRefH22_0x_0" localSheetId="89">'435'!$H$23:$H$24</definedName>
    <definedName name="OSRRefH22_0x_0" localSheetId="90">'444'!$H$25:$H$33</definedName>
    <definedName name="OSRRefH22_0x_0" localSheetId="91">'450'!$H$25:$H$33</definedName>
    <definedName name="OSRRefH22_0x_0" localSheetId="72">'491'!$H$28:$H$36</definedName>
    <definedName name="OSRRefH22_0x_0" localSheetId="86">'492'!$H$27:$H$35</definedName>
    <definedName name="OSRRefH22_0x_0" localSheetId="93">'501'!$H$21:$H$29</definedName>
    <definedName name="OSRRefH22_0x_0" localSheetId="39">'Div 2'!$H$20:$H$30</definedName>
    <definedName name="OSRRefH22_0x_0" localSheetId="47">'Div 3'!$H$136:$H$145</definedName>
    <definedName name="OSRRefH22_0x_0" localSheetId="70">'Div 4'!$H$31:$H$39</definedName>
    <definedName name="OSRRefH22_0x_0" localSheetId="92">'Div 5'!$H$21:$H$29</definedName>
    <definedName name="OSRRefH22_0x_0" localSheetId="61">'Div 6'!$H$56:$H$64</definedName>
    <definedName name="OSRRefH22_0x_0" localSheetId="2">Summary!$H$165:$H$174</definedName>
    <definedName name="OSRRefH22_10x_0" localSheetId="41">'201'!$H$52:$H$54</definedName>
    <definedName name="OSRRefH22_10x_0" localSheetId="42">'202'!$H$54</definedName>
    <definedName name="OSRRefH22_10x_0" localSheetId="43">'203'!$H$56:$H$59</definedName>
    <definedName name="OSRRefH22_10x_0" localSheetId="48">'300'!$H$167:$H$168</definedName>
    <definedName name="OSRRefH22_10x_0" localSheetId="49">'300 &amp; 317'!$H$191:$H$192</definedName>
    <definedName name="OSRRefH22_10x_0" localSheetId="50">'301'!$H$60</definedName>
    <definedName name="OSRRefH22_10x_0" localSheetId="55">'307'!$H$74</definedName>
    <definedName name="OSRRefH22_10x_0" localSheetId="51">'308'!$H$101:$H$102</definedName>
    <definedName name="OSRRefH22_10x_0" localSheetId="64">'309'!$H$50:$H$51</definedName>
    <definedName name="OSRRefH22_10x_0" localSheetId="63">'310'!$H$68</definedName>
    <definedName name="OSRRefH22_10x_0" localSheetId="71">'310 &amp; 491'!$H$73</definedName>
    <definedName name="OSRRefH22_10x_0" localSheetId="52">'311'!$H$101:$H$102</definedName>
    <definedName name="OSRRefH22_10x_0" localSheetId="57">'315'!$H$122:$H$123</definedName>
    <definedName name="OSRRefH22_10x_0" localSheetId="60">'316'!$H$67</definedName>
    <definedName name="OSRRefH22_10x_0" localSheetId="62">'317'!$H$89:$H$92</definedName>
    <definedName name="OSRRefH22_10x_0" localSheetId="66">'321'!$H$63:$H$67</definedName>
    <definedName name="OSRRefH22_10x_0" localSheetId="68">'325'!$H$54:$H$55</definedName>
    <definedName name="OSRRefH22_10x_0" localSheetId="58">'326'!$H$84</definedName>
    <definedName name="OSRRefH22_10x_0" localSheetId="56">'331'!$H$122</definedName>
    <definedName name="OSRRefH22_10x_0" localSheetId="59">'332'!$H$69</definedName>
    <definedName name="OSRRefH22_10x_0" localSheetId="54">'333'!$H$124</definedName>
    <definedName name="OSRRefH22_10x_0" localSheetId="73">'405'!$H$55:$H$56</definedName>
    <definedName name="OSRRefH22_10x_0" localSheetId="75">'411'!$H$52:$H$55</definedName>
    <definedName name="OSRRefH22_10x_0" localSheetId="79">'415'!$H$57</definedName>
    <definedName name="OSRRefH22_10x_0" localSheetId="80">'418'!$H$53</definedName>
    <definedName name="OSRRefH22_10x_0" localSheetId="88">'433'!$H$58</definedName>
    <definedName name="OSRRefH22_10x_0" localSheetId="90">'444'!$H$58</definedName>
    <definedName name="OSRRefH22_10x_0" localSheetId="91">'450'!$H$57</definedName>
    <definedName name="OSRRefH22_10x_0" localSheetId="72">'491'!$H$62</definedName>
    <definedName name="OSRRefH22_10x_0" localSheetId="86">'492'!$H$61</definedName>
    <definedName name="OSRRefH22_10x_0" localSheetId="93">'501'!$H$59</definedName>
    <definedName name="OSRRefH22_10x_0" localSheetId="39">'Div 2'!$H$56</definedName>
    <definedName name="OSRRefH22_10x_0" localSheetId="47">'Div 3'!$H$174:$H$175</definedName>
    <definedName name="OSRRefH22_10x_0" localSheetId="70">'Div 4'!$H$66</definedName>
    <definedName name="OSRRefH22_10x_0" localSheetId="92">'Div 5'!$H$59</definedName>
    <definedName name="OSRRefH22_10x_0" localSheetId="61">'Div 6'!$H$89:$H$92</definedName>
    <definedName name="OSRRefH22_10x_0" localSheetId="2">Summary!$H$203:$H$204</definedName>
    <definedName name="OSRRefH22_11x_0" localSheetId="41">'201'!$H$56</definedName>
    <definedName name="OSRRefH22_11x_0" localSheetId="42">'202'!$H$56</definedName>
    <definedName name="OSRRefH22_11x_0" localSheetId="43">'203'!$H$61</definedName>
    <definedName name="OSRRefH22_11x_0" localSheetId="48">'300'!$H$170</definedName>
    <definedName name="OSRRefH22_11x_0" localSheetId="49">'300 &amp; 317'!$H$194</definedName>
    <definedName name="OSRRefH22_11x_0" localSheetId="50">'301'!$H$62</definedName>
    <definedName name="OSRRefH22_11x_0" localSheetId="55">'307'!$H$76:$H$79</definedName>
    <definedName name="OSRRefH22_11x_0" localSheetId="51">'308'!$H$104:$H$105</definedName>
    <definedName name="OSRRefH22_11x_0" localSheetId="64">'309'!$H$53</definedName>
    <definedName name="OSRRefH22_11x_0" localSheetId="63">'310'!$H$70:$H$71</definedName>
    <definedName name="OSRRefH22_11x_0" localSheetId="71">'310 &amp; 491'!$H$75</definedName>
    <definedName name="OSRRefH22_11x_0" localSheetId="52">'311'!$H$104:$H$105</definedName>
    <definedName name="OSRRefH22_11x_0" localSheetId="57">'315'!$H$125:$H$126</definedName>
    <definedName name="OSRRefH22_11x_0" localSheetId="60">'316'!$H$69:$H$74</definedName>
    <definedName name="OSRRefH22_11x_0" localSheetId="62">'317'!$H$94</definedName>
    <definedName name="OSRRefH22_11x_0" localSheetId="66">'321'!$H$69</definedName>
    <definedName name="OSRRefH22_11x_0" localSheetId="68">'325'!$H$57:$H$60</definedName>
    <definedName name="OSRRefH22_11x_0" localSheetId="58">'326'!$H$86:$H$88</definedName>
    <definedName name="OSRRefH22_11x_0" localSheetId="56">'331'!$H$124:$H$125</definedName>
    <definedName name="OSRRefH22_11x_0" localSheetId="59">'332'!$H$71:$H$76</definedName>
    <definedName name="OSRRefH22_11x_0" localSheetId="54">'333'!$H$126:$H$127</definedName>
    <definedName name="OSRRefH22_11x_0" localSheetId="73">'405'!$H$58:$H$61</definedName>
    <definedName name="OSRRefH22_11x_0" localSheetId="75">'411'!$H$57:$H$59</definedName>
    <definedName name="OSRRefH22_11x_0" localSheetId="79">'415'!$H$59:$H$60</definedName>
    <definedName name="OSRRefH22_11x_0" localSheetId="80">'418'!$H$55:$H$60</definedName>
    <definedName name="OSRRefH22_11x_0" localSheetId="88">'433'!$H$60:$H$61</definedName>
    <definedName name="OSRRefH22_11x_0" localSheetId="90">'444'!$H$60:$H$61</definedName>
    <definedName name="OSRRefH22_11x_0" localSheetId="91">'450'!$H$59</definedName>
    <definedName name="OSRRefH22_11x_0" localSheetId="72">'491'!$H$64</definedName>
    <definedName name="OSRRefH22_11x_0" localSheetId="86">'492'!$H$63</definedName>
    <definedName name="OSRRefH22_11x_0" localSheetId="39">'Div 2'!$H$58</definedName>
    <definedName name="OSRRefH22_11x_0" localSheetId="47">'Div 3'!$H$177</definedName>
    <definedName name="OSRRefH22_11x_0" localSheetId="70">'Div 4'!$H$68</definedName>
    <definedName name="OSRRefH22_11x_0" localSheetId="61">'Div 6'!$H$94</definedName>
    <definedName name="OSRRefH22_11x_0" localSheetId="2">Summary!$H$206</definedName>
    <definedName name="OSRRefH22_12x_0" localSheetId="41">'201'!$H$58:$H$59</definedName>
    <definedName name="OSRRefH22_12x_0" localSheetId="42">'202'!$H$58</definedName>
    <definedName name="OSRRefH22_12x_0" localSheetId="43">'203'!$H$63</definedName>
    <definedName name="OSRRefH22_12x_0" localSheetId="48">'300'!$H$172</definedName>
    <definedName name="OSRRefH22_12x_0" localSheetId="49">'300 &amp; 317'!$H$196</definedName>
    <definedName name="OSRRefH22_12x_0" localSheetId="50">'301'!$H$64</definedName>
    <definedName name="OSRRefH22_12x_0" localSheetId="55">'307'!$H$81</definedName>
    <definedName name="OSRRefH22_12x_0" localSheetId="51">'308'!$H$107:$H$108</definedName>
    <definedName name="OSRRefH22_12x_0" localSheetId="64">'309'!$H$55</definedName>
    <definedName name="OSRRefH22_12x_0" localSheetId="63">'310'!$H$73</definedName>
    <definedName name="OSRRefH22_12x_0" localSheetId="71">'310 &amp; 491'!$H$77</definedName>
    <definedName name="OSRRefH22_12x_0" localSheetId="52">'311'!$H$107:$H$108</definedName>
    <definedName name="OSRRefH22_12x_0" localSheetId="57">'315'!$H$128:$H$129</definedName>
    <definedName name="OSRRefH22_12x_0" localSheetId="60">'316'!$H$76</definedName>
    <definedName name="OSRRefH22_12x_0" localSheetId="62">'317'!$H$96</definedName>
    <definedName name="OSRRefH22_12x_0" localSheetId="66">'321'!$H$71</definedName>
    <definedName name="OSRRefH22_12x_0" localSheetId="68">'325'!$H$62:$H$67</definedName>
    <definedName name="OSRRefH22_12x_0" localSheetId="58">'326'!$H$90:$H$92</definedName>
    <definedName name="OSRRefH22_12x_0" localSheetId="56">'331'!$H$127</definedName>
    <definedName name="OSRRefH22_12x_0" localSheetId="59">'332'!$H$78</definedName>
    <definedName name="OSRRefH22_12x_0" localSheetId="54">'333'!$H$129</definedName>
    <definedName name="OSRRefH22_12x_0" localSheetId="73">'405'!$H$63</definedName>
    <definedName name="OSRRefH22_12x_0" localSheetId="75">'411'!$H$61</definedName>
    <definedName name="OSRRefH22_12x_0" localSheetId="79">'415'!$H$62:$H$65</definedName>
    <definedName name="OSRRefH22_12x_0" localSheetId="80">'418'!$H$62</definedName>
    <definedName name="OSRRefH22_12x_0" localSheetId="88">'433'!$H$63:$H$65</definedName>
    <definedName name="OSRRefH22_12x_0" localSheetId="90">'444'!$H$63:$H$66</definedName>
    <definedName name="OSRRefH22_12x_0" localSheetId="91">'450'!$H$61:$H$62</definedName>
    <definedName name="OSRRefH22_12x_0" localSheetId="72">'491'!$H$66</definedName>
    <definedName name="OSRRefH22_12x_0" localSheetId="86">'492'!$H$65:$H$67</definedName>
    <definedName name="OSRRefH22_12x_0" localSheetId="39">'Div 2'!$H$60:$H$62</definedName>
    <definedName name="OSRRefH22_12x_0" localSheetId="47">'Div 3'!$H$179</definedName>
    <definedName name="OSRRefH22_12x_0" localSheetId="70">'Div 4'!$H$70</definedName>
    <definedName name="OSRRefH22_12x_0" localSheetId="61">'Div 6'!$H$96</definedName>
    <definedName name="OSRRefH22_12x_0" localSheetId="2">Summary!$H$208</definedName>
    <definedName name="OSRRefH22_13x_0" localSheetId="41">'201'!$H$61</definedName>
    <definedName name="OSRRefH22_13x_0" localSheetId="43">'203'!$H$65</definedName>
    <definedName name="OSRRefH22_13x_0" localSheetId="48">'300'!$H$174:$H$175</definedName>
    <definedName name="OSRRefH22_13x_0" localSheetId="49">'300 &amp; 317'!$H$198:$H$199</definedName>
    <definedName name="OSRRefH22_13x_0" localSheetId="50">'301'!$H$66</definedName>
    <definedName name="OSRRefH22_13x_0" localSheetId="55">'307'!$H$83</definedName>
    <definedName name="OSRRefH22_13x_0" localSheetId="51">'308'!$H$110</definedName>
    <definedName name="OSRRefH22_13x_0" localSheetId="63">'310'!$H$75:$H$78</definedName>
    <definedName name="OSRRefH22_13x_0" localSheetId="71">'310 &amp; 491'!$H$79:$H$82</definedName>
    <definedName name="OSRRefH22_13x_0" localSheetId="52">'311'!$H$110</definedName>
    <definedName name="OSRRefH22_13x_0" localSheetId="57">'315'!$H$131:$H$135</definedName>
    <definedName name="OSRRefH22_13x_0" localSheetId="60">'316'!$H$78</definedName>
    <definedName name="OSRRefH22_13x_0" localSheetId="66">'321'!$H$73</definedName>
    <definedName name="OSRRefH22_13x_0" localSheetId="68">'325'!$H$69</definedName>
    <definedName name="OSRRefH22_13x_0" localSheetId="58">'326'!$H$94:$H$95</definedName>
    <definedName name="OSRRefH22_13x_0" localSheetId="56">'331'!$H$129</definedName>
    <definedName name="OSRRefH22_13x_0" localSheetId="59">'332'!$H$80</definedName>
    <definedName name="OSRRefH22_13x_0" localSheetId="54">'333'!$H$131</definedName>
    <definedName name="OSRRefH22_13x_0" localSheetId="73">'405'!$H$65:$H$73</definedName>
    <definedName name="OSRRefH22_13x_0" localSheetId="75">'411'!$H$63:$H$64</definedName>
    <definedName name="OSRRefH22_13x_0" localSheetId="79">'415'!$H$67</definedName>
    <definedName name="OSRRefH22_13x_0" localSheetId="80">'418'!$H$64</definedName>
    <definedName name="OSRRefH22_13x_0" localSheetId="88">'433'!$H$67:$H$74</definedName>
    <definedName name="OSRRefH22_13x_0" localSheetId="90">'444'!$H$68</definedName>
    <definedName name="OSRRefH22_13x_0" localSheetId="91">'450'!$H$64:$H$66</definedName>
    <definedName name="OSRRefH22_13x_0" localSheetId="72">'491'!$H$68:$H$71</definedName>
    <definedName name="OSRRefH22_13x_0" localSheetId="86">'492'!$H$69:$H$72</definedName>
    <definedName name="OSRRefH22_13x_0" localSheetId="39">'Div 2'!$H$64:$H$67</definedName>
    <definedName name="OSRRefH22_13x_0" localSheetId="47">'Div 3'!$H$181</definedName>
    <definedName name="OSRRefH22_13x_0" localSheetId="70">'Div 4'!$H$72</definedName>
    <definedName name="OSRRefH22_13x_0" localSheetId="2">Summary!$H$210</definedName>
    <definedName name="OSRRefH22_14x_0" localSheetId="41">'201'!$H$63</definedName>
    <definedName name="OSRRefH22_14x_0" localSheetId="48">'300'!$H$177</definedName>
    <definedName name="OSRRefH22_14x_0" localSheetId="49">'300 &amp; 317'!$H$201</definedName>
    <definedName name="OSRRefH22_14x_0" localSheetId="50">'301'!$H$68</definedName>
    <definedName name="OSRRefH22_14x_0" localSheetId="51">'308'!$H$112</definedName>
    <definedName name="OSRRefH22_14x_0" localSheetId="63">'310'!$H$80:$H$85</definedName>
    <definedName name="OSRRefH22_14x_0" localSheetId="71">'310 &amp; 491'!$H$84</definedName>
    <definedName name="OSRRefH22_14x_0" localSheetId="52">'311'!$H$112</definedName>
    <definedName name="OSRRefH22_14x_0" localSheetId="57">'315'!$H$137</definedName>
    <definedName name="OSRRefH22_14x_0" localSheetId="68">'325'!$H$71</definedName>
    <definedName name="OSRRefH22_14x_0" localSheetId="58">'326'!$H$97:$H$100</definedName>
    <definedName name="OSRRefH22_14x_0" localSheetId="56">'331'!$H$131:$H$133</definedName>
    <definedName name="OSRRefH22_14x_0" localSheetId="54">'333'!$H$133:$H$135</definedName>
    <definedName name="OSRRefH22_14x_0" localSheetId="73">'405'!$H$75</definedName>
    <definedName name="OSRRefH22_14x_0" localSheetId="75">'411'!$H$66</definedName>
    <definedName name="OSRRefH22_14x_0" localSheetId="79">'415'!$H$69:$H$74</definedName>
    <definedName name="OSRRefH22_14x_0" localSheetId="88">'433'!$H$76</definedName>
    <definedName name="OSRRefH22_14x_0" localSheetId="90">'444'!$H$70:$H$77</definedName>
    <definedName name="OSRRefH22_14x_0" localSheetId="91">'450'!$H$68:$H$73</definedName>
    <definedName name="OSRRefH22_14x_0" localSheetId="72">'491'!$H$73</definedName>
    <definedName name="OSRRefH22_14x_0" localSheetId="86">'492'!$H$74</definedName>
    <definedName name="OSRRefH22_14x_0" localSheetId="39">'Div 2'!$H$69</definedName>
    <definedName name="OSRRefH22_14x_0" localSheetId="47">'Div 3'!$H$183:$H$184</definedName>
    <definedName name="OSRRefH22_14x_0" localSheetId="70">'Div 4'!$H$74</definedName>
    <definedName name="OSRRefH22_14x_0" localSheetId="2">Summary!$H$212:$H$213</definedName>
    <definedName name="OSRRefH22_15x_0" localSheetId="48">'300'!$H$179</definedName>
    <definedName name="OSRRefH22_15x_0" localSheetId="49">'300 &amp; 317'!$H$203</definedName>
    <definedName name="OSRRefH22_15x_0" localSheetId="50">'301'!$H$70:$H$73</definedName>
    <definedName name="OSRRefH22_15x_0" localSheetId="63">'310'!$H$87</definedName>
    <definedName name="OSRRefH22_15x_0" localSheetId="71">'310 &amp; 491'!$H$86:$H$89</definedName>
    <definedName name="OSRRefH22_15x_0" localSheetId="57">'315'!$H$139</definedName>
    <definedName name="OSRRefH22_15x_0" localSheetId="68">'325'!$H$73</definedName>
    <definedName name="OSRRefH22_15x_0" localSheetId="58">'326'!$H$102</definedName>
    <definedName name="OSRRefH22_15x_0" localSheetId="56">'331'!$H$135:$H$136</definedName>
    <definedName name="OSRRefH22_15x_0" localSheetId="54">'333'!$H$137:$H$138</definedName>
    <definedName name="OSRRefH22_15x_0" localSheetId="73">'405'!$H$77</definedName>
    <definedName name="OSRRefH22_15x_0" localSheetId="75">'411'!$H$68:$H$69</definedName>
    <definedName name="OSRRefH22_15x_0" localSheetId="79">'415'!$H$76</definedName>
    <definedName name="OSRRefH22_15x_0" localSheetId="88">'433'!$H$78</definedName>
    <definedName name="OSRRefH22_15x_0" localSheetId="90">'444'!$H$79</definedName>
    <definedName name="OSRRefH22_15x_0" localSheetId="91">'450'!$H$75</definedName>
    <definedName name="OSRRefH22_15x_0" localSheetId="72">'491'!$H$75:$H$78</definedName>
    <definedName name="OSRRefH22_15x_0" localSheetId="86">'492'!$H$76:$H$83</definedName>
    <definedName name="OSRRefH22_15x_0" localSheetId="39">'Div 2'!$H$71:$H$72</definedName>
    <definedName name="OSRRefH22_15x_0" localSheetId="47">'Div 3'!$H$186</definedName>
    <definedName name="OSRRefH22_15x_0" localSheetId="70">'Div 4'!$H$76:$H$79</definedName>
    <definedName name="OSRRefH22_15x_0" localSheetId="2">Summary!$H$215</definedName>
    <definedName name="OSRRefH22_16x_0" localSheetId="48">'300'!$H$181:$H$184</definedName>
    <definedName name="OSRRefH22_16x_0" localSheetId="49">'300 &amp; 317'!$H$205:$H$208</definedName>
    <definedName name="OSRRefH22_16x_0" localSheetId="50">'301'!$H$75:$H$77</definedName>
    <definedName name="OSRRefH22_16x_0" localSheetId="63">'310'!$H$89</definedName>
    <definedName name="OSRRefH22_16x_0" localSheetId="71">'310 &amp; 491'!$H$91</definedName>
    <definedName name="OSRRefH22_16x_0" localSheetId="57">'315'!$H$141</definedName>
    <definedName name="OSRRefH22_16x_0" localSheetId="58">'326'!$H$104</definedName>
    <definedName name="OSRRefH22_16x_0" localSheetId="56">'331'!$H$138:$H$140</definedName>
    <definedName name="OSRRefH22_16x_0" localSheetId="54">'333'!$H$140:$H$143</definedName>
    <definedName name="OSRRefH22_16x_0" localSheetId="73">'405'!$H$79</definedName>
    <definedName name="OSRRefH22_16x_0" localSheetId="75">'411'!$H$71</definedName>
    <definedName name="OSRRefH22_16x_0" localSheetId="79">'415'!$H$78</definedName>
    <definedName name="OSRRefH22_16x_0" localSheetId="90">'444'!$H$81</definedName>
    <definedName name="OSRRefH22_16x_0" localSheetId="91">'450'!$H$77</definedName>
    <definedName name="OSRRefH22_16x_0" localSheetId="72">'491'!$H$80</definedName>
    <definedName name="OSRRefH22_16x_0" localSheetId="86">'492'!$H$85</definedName>
    <definedName name="OSRRefH22_16x_0" localSheetId="39">'Div 2'!$H$74:$H$78</definedName>
    <definedName name="OSRRefH22_16x_0" localSheetId="47">'Div 3'!$H$188</definedName>
    <definedName name="OSRRefH22_16x_0" localSheetId="70">'Div 4'!$H$81</definedName>
    <definedName name="OSRRefH22_16x_0" localSheetId="2">Summary!$H$217</definedName>
    <definedName name="OSRRefH22_17x_0" localSheetId="48">'300'!$H$186:$H$188</definedName>
    <definedName name="OSRRefH22_17x_0" localSheetId="49">'300 &amp; 317'!$H$210:$H$212</definedName>
    <definedName name="OSRRefH22_17x_0" localSheetId="50">'301'!$H$79</definedName>
    <definedName name="OSRRefH22_17x_0" localSheetId="63">'310'!$H$91</definedName>
    <definedName name="OSRRefH22_17x_0" localSheetId="71">'310 &amp; 491'!$H$93:$H$101</definedName>
    <definedName name="OSRRefH22_17x_0" localSheetId="58">'326'!$H$106</definedName>
    <definedName name="OSRRefH22_17x_0" localSheetId="56">'331'!$H$142:$H$143</definedName>
    <definedName name="OSRRefH22_17x_0" localSheetId="54">'333'!$H$145:$H$146</definedName>
    <definedName name="OSRRefH22_17x_0" localSheetId="79">'415'!$H$80</definedName>
    <definedName name="OSRRefH22_17x_0" localSheetId="90">'444'!$H$83</definedName>
    <definedName name="OSRRefH22_17x_0" localSheetId="91">'450'!$H$79</definedName>
    <definedName name="OSRRefH22_17x_0" localSheetId="72">'491'!$H$82:$H$90</definedName>
    <definedName name="OSRRefH22_17x_0" localSheetId="86">'492'!$H$87</definedName>
    <definedName name="OSRRefH22_17x_0" localSheetId="39">'Div 2'!$H$80:$H$81</definedName>
    <definedName name="OSRRefH22_17x_0" localSheetId="47">'Div 3'!$H$190:$H$193</definedName>
    <definedName name="OSRRefH22_17x_0" localSheetId="70">'Div 4'!$H$83:$H$86</definedName>
    <definedName name="OSRRefH22_17x_0" localSheetId="2">Summary!$H$219</definedName>
    <definedName name="OSRRefH22_18x_0" localSheetId="48">'300'!$H$190:$H$193</definedName>
    <definedName name="OSRRefH22_18x_0" localSheetId="49">'300 &amp; 317'!$H$214:$H$217</definedName>
    <definedName name="OSRRefH22_18x_0" localSheetId="50">'301'!$H$81:$H$86</definedName>
    <definedName name="OSRRefH22_18x_0" localSheetId="71">'310 &amp; 491'!$H$103</definedName>
    <definedName name="OSRRefH22_18x_0" localSheetId="56">'331'!$H$145:$H$150</definedName>
    <definedName name="OSRRefH22_18x_0" localSheetId="54">'333'!$H$148:$H$153</definedName>
    <definedName name="OSRRefH22_18x_0" localSheetId="72">'491'!$H$92</definedName>
    <definedName name="OSRRefH22_18x_0" localSheetId="86">'492'!$H$89:$H$91</definedName>
    <definedName name="OSRRefH22_18x_0" localSheetId="39">'Div 2'!$H$83</definedName>
    <definedName name="OSRRefH22_18x_0" localSheetId="47">'Div 3'!$H$195:$H$197</definedName>
    <definedName name="OSRRefH22_18x_0" localSheetId="70">'Div 4'!$H$88:$H$89</definedName>
    <definedName name="OSRRefH22_18x_0" localSheetId="2">Summary!$H$221:$H$224</definedName>
    <definedName name="OSRRefH22_19x_0" localSheetId="48">'300'!$H$195:$H$196</definedName>
    <definedName name="OSRRefH22_19x_0" localSheetId="49">'300 &amp; 317'!$H$219:$H$220</definedName>
    <definedName name="OSRRefH22_19x_0" localSheetId="50">'301'!$H$88</definedName>
    <definedName name="OSRRefH22_19x_0" localSheetId="71">'310 &amp; 491'!$H$105</definedName>
    <definedName name="OSRRefH22_19x_0" localSheetId="56">'331'!$H$152</definedName>
    <definedName name="OSRRefH22_19x_0" localSheetId="54">'333'!$H$155</definedName>
    <definedName name="OSRRefH22_19x_0" localSheetId="72">'491'!$H$94</definedName>
    <definedName name="OSRRefH22_19x_0" localSheetId="39">'Div 2'!$H$85:$H$86</definedName>
    <definedName name="OSRRefH22_19x_0" localSheetId="47">'Div 3'!$H$199:$H$203</definedName>
    <definedName name="OSRRefH22_19x_0" localSheetId="70">'Div 4'!$H$91:$H$99</definedName>
    <definedName name="OSRRefH22_19x_0" localSheetId="2">Summary!$H$226:$H$228</definedName>
    <definedName name="OSRRefH22_1x_0" localSheetId="40">'200'!$H$22</definedName>
    <definedName name="OSRRefH22_1x_0" localSheetId="41">'201'!$H$29:$H$32</definedName>
    <definedName name="OSRRefH22_1x_0" localSheetId="42">'202'!$H$29:$H$31</definedName>
    <definedName name="OSRRefH22_1x_0" localSheetId="43">'203'!$H$31:$H$35</definedName>
    <definedName name="OSRRefH22_1x_0" localSheetId="44">'204'!$H$30:$H$32</definedName>
    <definedName name="OSRRefH22_1x_0" localSheetId="45">'205'!$H$29</definedName>
    <definedName name="OSRRefH22_1x_0" localSheetId="46">'206'!$H$29:$H$32</definedName>
    <definedName name="OSRRefH22_1x_0" localSheetId="48">'300'!$H$140:$H$146</definedName>
    <definedName name="OSRRefH22_1x_0" localSheetId="49">'300 &amp; 317'!$H$164:$H$170</definedName>
    <definedName name="OSRRefH22_1x_0" localSheetId="50">'301'!$H$33:$H$39</definedName>
    <definedName name="OSRRefH22_1x_0" localSheetId="55">'307'!$H$50:$H$53</definedName>
    <definedName name="OSRRefH22_1x_0" localSheetId="51">'308'!$H$73:$H$79</definedName>
    <definedName name="OSRRefH22_1x_0" localSheetId="64">'309'!$H$29:$H$30</definedName>
    <definedName name="OSRRefH22_1x_0" localSheetId="63">'310'!$H$44:$H$49</definedName>
    <definedName name="OSRRefH22_1x_0" localSheetId="71">'310 &amp; 491'!$H$47:$H$53</definedName>
    <definedName name="OSRRefH22_1x_0" localSheetId="52">'311'!$H$73:$H$79</definedName>
    <definedName name="OSRRefH22_1x_0" localSheetId="65">'313'!$H$34</definedName>
    <definedName name="OSRRefH22_1x_0" localSheetId="57">'315'!$H$96:$H$101</definedName>
    <definedName name="OSRRefH22_1x_0" localSheetId="60">'316'!$H$43:$H$46</definedName>
    <definedName name="OSRRefH22_1x_0" localSheetId="62">'317'!$H$66:$H$70</definedName>
    <definedName name="OSRRefH22_1x_0" localSheetId="66">'321'!$H$37:$H$42</definedName>
    <definedName name="OSRRefH22_1x_0" localSheetId="67">'322'!$H$27</definedName>
    <definedName name="OSRRefH22_1x_0" localSheetId="68">'325'!$H$33:$H$35</definedName>
    <definedName name="OSRRefH22_1x_0" localSheetId="58">'326'!$H$61:$H$66</definedName>
    <definedName name="OSRRefH22_1x_0" localSheetId="69">'327'!$H$26</definedName>
    <definedName name="OSRRefH22_1x_0" localSheetId="56">'331'!$H$97:$H$102</definedName>
    <definedName name="OSRRefH22_1x_0" localSheetId="59">'332'!$H$45:$H$48</definedName>
    <definedName name="OSRRefH22_1x_0" localSheetId="54">'333'!$H$99:$H$104</definedName>
    <definedName name="OSRRefH22_1x_0" localSheetId="73">'405'!$H$33:$H$36</definedName>
    <definedName name="OSRRefH22_1x_0" localSheetId="74">'406'!$H$22</definedName>
    <definedName name="OSRRefH22_1x_0" localSheetId="75">'411'!$H$29:$H$33</definedName>
    <definedName name="OSRRefH22_1x_0" localSheetId="76">'412'!$H$22</definedName>
    <definedName name="OSRRefH22_1x_0" localSheetId="77">'413'!$H$26</definedName>
    <definedName name="OSRRefH22_1x_0" localSheetId="78">'414'!$H$24</definedName>
    <definedName name="OSRRefH22_1x_0" localSheetId="79">'415'!$H$34:$H$38</definedName>
    <definedName name="OSRRefH22_1x_0" localSheetId="80">'418'!$H$30:$H$33</definedName>
    <definedName name="OSRRefH22_1x_0" localSheetId="81">'420'!$H$24</definedName>
    <definedName name="OSRRefH22_1x_0" localSheetId="82">'423'!$H$23</definedName>
    <definedName name="OSRRefH22_1x_0" localSheetId="83">'424'!$H$22</definedName>
    <definedName name="OSRRefH22_1x_0" localSheetId="84">'425'!$H$28</definedName>
    <definedName name="OSRRefH22_1x_0" localSheetId="87">'430'!$H$29</definedName>
    <definedName name="OSRRefH22_1x_0" localSheetId="88">'433'!$H$35:$H$40</definedName>
    <definedName name="OSRRefH22_1x_0" localSheetId="89">'435'!$H$26</definedName>
    <definedName name="OSRRefH22_1x_0" localSheetId="90">'444'!$H$35:$H$40</definedName>
    <definedName name="OSRRefH22_1x_0" localSheetId="91">'450'!$H$35:$H$39</definedName>
    <definedName name="OSRRefH22_1x_0" localSheetId="72">'491'!$H$38:$H$43</definedName>
    <definedName name="OSRRefH22_1x_0" localSheetId="86">'492'!$H$37:$H$43</definedName>
    <definedName name="OSRRefH22_1x_0" localSheetId="93">'501'!$H$31:$H$36</definedName>
    <definedName name="OSRRefH22_1x_0" localSheetId="39">'Div 2'!$H$32:$H$37</definedName>
    <definedName name="OSRRefH22_1x_0" localSheetId="47">'Div 3'!$H$147:$H$153</definedName>
    <definedName name="OSRRefH22_1x_0" localSheetId="70">'Div 4'!$H$41:$H$47</definedName>
    <definedName name="OSRRefH22_1x_0" localSheetId="92">'Div 5'!$H$31:$H$36</definedName>
    <definedName name="OSRRefH22_1x_0" localSheetId="61">'Div 6'!$H$66:$H$70</definedName>
    <definedName name="OSRRefH22_1x_0" localSheetId="2">Summary!$H$176:$H$182</definedName>
    <definedName name="OSRRefH22_20x_0" localSheetId="48">'300'!$H$198:$H$204</definedName>
    <definedName name="OSRRefH22_20x_0" localSheetId="49">'300 &amp; 317'!$H$222:$H$228</definedName>
    <definedName name="OSRRefH22_20x_0" localSheetId="50">'301'!$H$90</definedName>
    <definedName name="OSRRefH22_20x_0" localSheetId="71">'310 &amp; 491'!$H$107:$H$108</definedName>
    <definedName name="OSRRefH22_20x_0" localSheetId="56">'331'!$H$154</definedName>
    <definedName name="OSRRefH22_20x_0" localSheetId="54">'333'!$H$157</definedName>
    <definedName name="OSRRefH22_20x_0" localSheetId="72">'491'!$H$96:$H$97</definedName>
    <definedName name="OSRRefH22_20x_0" localSheetId="47">'Div 3'!$H$205:$H$206</definedName>
    <definedName name="OSRRefH22_20x_0" localSheetId="70">'Div 4'!$H$101</definedName>
    <definedName name="OSRRefH22_20x_0" localSheetId="2">Summary!$H$230:$H$234</definedName>
    <definedName name="OSRRefH22_21x_0" localSheetId="48">'300'!$H$206:$H$207</definedName>
    <definedName name="OSRRefH22_21x_0" localSheetId="49">'300 &amp; 317'!$H$230:$H$231</definedName>
    <definedName name="OSRRefH22_21x_0" localSheetId="50">'301'!$H$92:$H$93</definedName>
    <definedName name="OSRRefH22_21x_0" localSheetId="71">'310 &amp; 491'!$H$110</definedName>
    <definedName name="OSRRefH22_21x_0" localSheetId="56">'331'!$H$156</definedName>
    <definedName name="OSRRefH22_21x_0" localSheetId="54">'333'!$H$159</definedName>
    <definedName name="OSRRefH22_21x_0" localSheetId="72">'491'!$H$99</definedName>
    <definedName name="OSRRefH22_21x_0" localSheetId="47">'Div 3'!$H$208:$H$214</definedName>
    <definedName name="OSRRefH22_21x_0" localSheetId="70">'Div 4'!$H$103</definedName>
    <definedName name="OSRRefH22_21x_0" localSheetId="2">Summary!$H$236:$H$237</definedName>
    <definedName name="OSRRefH22_22x_0" localSheetId="48">'300'!$H$209</definedName>
    <definedName name="OSRRefH22_22x_0" localSheetId="49">'300 &amp; 317'!$H$233</definedName>
    <definedName name="OSRRefH22_22x_0" localSheetId="50">'301'!$H$95</definedName>
    <definedName name="OSRRefH22_22x_0" localSheetId="56">'331'!$H$158</definedName>
    <definedName name="OSRRefH22_22x_0" localSheetId="54">'333'!$H$161</definedName>
    <definedName name="OSRRefH22_22x_0" localSheetId="47">'Div 3'!$H$216:$H$217</definedName>
    <definedName name="OSRRefH22_22x_0" localSheetId="70">'Div 4'!$H$105:$H$107</definedName>
    <definedName name="OSRRefH22_22x_0" localSheetId="2">Summary!$H$239:$H$247</definedName>
    <definedName name="OSRRefH22_23x_0" localSheetId="48">'300'!$H$211:$H$213</definedName>
    <definedName name="OSRRefH22_23x_0" localSheetId="49">'300 &amp; 317'!$H$235:$H$237</definedName>
    <definedName name="OSRRefH22_23x_0" localSheetId="47">'Div 3'!$H$219</definedName>
    <definedName name="OSRRefH22_23x_0" localSheetId="70">'Div 4'!$H$109</definedName>
    <definedName name="OSRRefH22_23x_0" localSheetId="2">Summary!$H$249:$H$250</definedName>
    <definedName name="OSRRefH22_24x_0" localSheetId="48">'300'!$H$215</definedName>
    <definedName name="OSRRefH22_24x_0" localSheetId="49">'300 &amp; 317'!$H$239</definedName>
    <definedName name="OSRRefH22_24x_0" localSheetId="47">'Div 3'!$H$221:$H$223</definedName>
    <definedName name="OSRRefH22_24x_0" localSheetId="2">Summary!$H$252</definedName>
    <definedName name="OSRRefH22_25x_0" localSheetId="47">'Div 3'!$H$225</definedName>
    <definedName name="OSRRefH22_25x_0" localSheetId="2">Summary!$H$254:$H$256</definedName>
    <definedName name="OSRRefH22_26x_0" localSheetId="2">Summary!$H$258</definedName>
    <definedName name="OSRRefH22_2x_0" localSheetId="40">'200'!$H$24</definedName>
    <definedName name="OSRRefH22_2x_0" localSheetId="41">'201'!$H$34</definedName>
    <definedName name="OSRRefH22_2x_0" localSheetId="42">'202'!$H$33</definedName>
    <definedName name="OSRRefH22_2x_0" localSheetId="43">'203'!$H$37</definedName>
    <definedName name="OSRRefH22_2x_0" localSheetId="44">'204'!$H$34</definedName>
    <definedName name="OSRRefH22_2x_0" localSheetId="45">'205'!$H$31</definedName>
    <definedName name="OSRRefH22_2x_0" localSheetId="46">'206'!$H$34</definedName>
    <definedName name="OSRRefH22_2x_0" localSheetId="48">'300'!$H$148</definedName>
    <definedName name="OSRRefH22_2x_0" localSheetId="49">'300 &amp; 317'!$H$172</definedName>
    <definedName name="OSRRefH22_2x_0" localSheetId="50">'301'!$H$41</definedName>
    <definedName name="OSRRefH22_2x_0" localSheetId="55">'307'!$H$55</definedName>
    <definedName name="OSRRefH22_2x_0" localSheetId="51">'308'!$H$81</definedName>
    <definedName name="OSRRefH22_2x_0" localSheetId="64">'309'!$H$32</definedName>
    <definedName name="OSRRefH22_2x_0" localSheetId="63">'310'!$H$51</definedName>
    <definedName name="OSRRefH22_2x_0" localSheetId="71">'310 &amp; 491'!$H$55</definedName>
    <definedName name="OSRRefH22_2x_0" localSheetId="52">'311'!$H$81</definedName>
    <definedName name="OSRRefH22_2x_0" localSheetId="65">'313'!$H$36</definedName>
    <definedName name="OSRRefH22_2x_0" localSheetId="57">'315'!$H$103</definedName>
    <definedName name="OSRRefH22_2x_0" localSheetId="60">'316'!$H$48</definedName>
    <definedName name="OSRRefH22_2x_0" localSheetId="62">'317'!$H$72</definedName>
    <definedName name="OSRRefH22_2x_0" localSheetId="66">'321'!$H$44</definedName>
    <definedName name="OSRRefH22_2x_0" localSheetId="67">'322'!$H$29</definedName>
    <definedName name="OSRRefH22_2x_0" localSheetId="68">'325'!$H$37</definedName>
    <definedName name="OSRRefH22_2x_0" localSheetId="58">'326'!$H$68</definedName>
    <definedName name="OSRRefH22_2x_0" localSheetId="56">'331'!$H$104</definedName>
    <definedName name="OSRRefH22_2x_0" localSheetId="59">'332'!$H$50</definedName>
    <definedName name="OSRRefH22_2x_0" localSheetId="54">'333'!$H$106</definedName>
    <definedName name="OSRRefH22_2x_0" localSheetId="73">'405'!$H$38</definedName>
    <definedName name="OSRRefH22_2x_0" localSheetId="74">'406'!$H$24</definedName>
    <definedName name="OSRRefH22_2x_0" localSheetId="75">'411'!$H$35</definedName>
    <definedName name="OSRRefH22_2x_0" localSheetId="76">'412'!$H$24</definedName>
    <definedName name="OSRRefH22_2x_0" localSheetId="77">'413'!$H$28</definedName>
    <definedName name="OSRRefH22_2x_0" localSheetId="78">'414'!$H$26</definedName>
    <definedName name="OSRRefH22_2x_0" localSheetId="79">'415'!$H$40</definedName>
    <definedName name="OSRRefH22_2x_0" localSheetId="80">'418'!$H$35</definedName>
    <definedName name="OSRRefH22_2x_0" localSheetId="82">'423'!$H$25</definedName>
    <definedName name="OSRRefH22_2x_0" localSheetId="83">'424'!$H$24</definedName>
    <definedName name="OSRRefH22_2x_0" localSheetId="84">'425'!$H$30</definedName>
    <definedName name="OSRRefH22_2x_0" localSheetId="87">'430'!$H$31</definedName>
    <definedName name="OSRRefH22_2x_0" localSheetId="88">'433'!$H$42</definedName>
    <definedName name="OSRRefH22_2x_0" localSheetId="89">'435'!$H$28</definedName>
    <definedName name="OSRRefH22_2x_0" localSheetId="90">'444'!$H$42</definedName>
    <definedName name="OSRRefH22_2x_0" localSheetId="91">'450'!$H$41</definedName>
    <definedName name="OSRRefH22_2x_0" localSheetId="72">'491'!$H$45</definedName>
    <definedName name="OSRRefH22_2x_0" localSheetId="86">'492'!$H$45</definedName>
    <definedName name="OSRRefH22_2x_0" localSheetId="93">'501'!$H$38</definedName>
    <definedName name="OSRRefH22_2x_0" localSheetId="39">'Div 2'!$H$39</definedName>
    <definedName name="OSRRefH22_2x_0" localSheetId="47">'Div 3'!$H$155</definedName>
    <definedName name="OSRRefH22_2x_0" localSheetId="70">'Div 4'!$H$49</definedName>
    <definedName name="OSRRefH22_2x_0" localSheetId="92">'Div 5'!$H$38</definedName>
    <definedName name="OSRRefH22_2x_0" localSheetId="61">'Div 6'!$H$72</definedName>
    <definedName name="OSRRefH22_2x_0" localSheetId="2">Summary!$H$184</definedName>
    <definedName name="OSRRefH22_3x_0" localSheetId="40">'200'!$H$26</definedName>
    <definedName name="OSRRefH22_3x_0" localSheetId="41">'201'!$H$36</definedName>
    <definedName name="OSRRefH22_3x_0" localSheetId="42">'202'!$H$35</definedName>
    <definedName name="OSRRefH22_3x_0" localSheetId="43">'203'!$H$39</definedName>
    <definedName name="OSRRefH22_3x_0" localSheetId="44">'204'!$H$36</definedName>
    <definedName name="OSRRefH22_3x_0" localSheetId="45">'205'!$H$33</definedName>
    <definedName name="OSRRefH22_3x_0" localSheetId="46">'206'!$H$36</definedName>
    <definedName name="OSRRefH22_3x_0" localSheetId="48">'300'!$H$150:$H$151</definedName>
    <definedName name="OSRRefH22_3x_0" localSheetId="49">'300 &amp; 317'!$H$174:$H$175</definedName>
    <definedName name="OSRRefH22_3x_0" localSheetId="50">'301'!$H$43:$H$44</definedName>
    <definedName name="OSRRefH22_3x_0" localSheetId="55">'307'!$H$57</definedName>
    <definedName name="OSRRefH22_3x_0" localSheetId="51">'308'!$H$83:$H$84</definedName>
    <definedName name="OSRRefH22_3x_0" localSheetId="64">'309'!$H$34</definedName>
    <definedName name="OSRRefH22_3x_0" localSheetId="63">'310'!$H$53</definedName>
    <definedName name="OSRRefH22_3x_0" localSheetId="71">'310 &amp; 491'!$H$57</definedName>
    <definedName name="OSRRefH22_3x_0" localSheetId="52">'311'!$H$83:$H$84</definedName>
    <definedName name="OSRRefH22_3x_0" localSheetId="65">'313'!$H$38</definedName>
    <definedName name="OSRRefH22_3x_0" localSheetId="57">'315'!$H$105:$H$106</definedName>
    <definedName name="OSRRefH22_3x_0" localSheetId="60">'316'!$H$50</definedName>
    <definedName name="OSRRefH22_3x_0" localSheetId="62">'317'!$H$74</definedName>
    <definedName name="OSRRefH22_3x_0" localSheetId="66">'321'!$H$46</definedName>
    <definedName name="OSRRefH22_3x_0" localSheetId="67">'322'!$H$31</definedName>
    <definedName name="OSRRefH22_3x_0" localSheetId="68">'325'!$H$39</definedName>
    <definedName name="OSRRefH22_3x_0" localSheetId="58">'326'!$H$70</definedName>
    <definedName name="OSRRefH22_3x_0" localSheetId="56">'331'!$H$106</definedName>
    <definedName name="OSRRefH22_3x_0" localSheetId="59">'332'!$H$52</definedName>
    <definedName name="OSRRefH22_3x_0" localSheetId="54">'333'!$H$108</definedName>
    <definedName name="OSRRefH22_3x_0" localSheetId="73">'405'!$H$40</definedName>
    <definedName name="OSRRefH22_3x_0" localSheetId="74">'406'!$H$26</definedName>
    <definedName name="OSRRefH22_3x_0" localSheetId="75">'411'!$H$37</definedName>
    <definedName name="OSRRefH22_3x_0" localSheetId="76">'412'!$H$26:$H$27</definedName>
    <definedName name="OSRRefH22_3x_0" localSheetId="77">'413'!$H$30</definedName>
    <definedName name="OSRRefH22_3x_0" localSheetId="78">'414'!$H$28</definedName>
    <definedName name="OSRRefH22_3x_0" localSheetId="79">'415'!$H$42</definedName>
    <definedName name="OSRRefH22_3x_0" localSheetId="80">'418'!$H$37</definedName>
    <definedName name="OSRRefH22_3x_0" localSheetId="82">'423'!$H$27</definedName>
    <definedName name="OSRRefH22_3x_0" localSheetId="83">'424'!$H$26</definedName>
    <definedName name="OSRRefH22_3x_0" localSheetId="84">'425'!$H$32</definedName>
    <definedName name="OSRRefH22_3x_0" localSheetId="87">'430'!$H$33</definedName>
    <definedName name="OSRRefH22_3x_0" localSheetId="88">'433'!$H$44</definedName>
    <definedName name="OSRRefH22_3x_0" localSheetId="89">'435'!$H$30</definedName>
    <definedName name="OSRRefH22_3x_0" localSheetId="90">'444'!$H$44</definedName>
    <definedName name="OSRRefH22_3x_0" localSheetId="91">'450'!$H$43</definedName>
    <definedName name="OSRRefH22_3x_0" localSheetId="72">'491'!$H$47</definedName>
    <definedName name="OSRRefH22_3x_0" localSheetId="86">'492'!$H$47</definedName>
    <definedName name="OSRRefH22_3x_0" localSheetId="93">'501'!$H$40</definedName>
    <definedName name="OSRRefH22_3x_0" localSheetId="39">'Div 2'!$H$41</definedName>
    <definedName name="OSRRefH22_3x_0" localSheetId="47">'Div 3'!$H$157:$H$158</definedName>
    <definedName name="OSRRefH22_3x_0" localSheetId="70">'Div 4'!$H$51</definedName>
    <definedName name="OSRRefH22_3x_0" localSheetId="92">'Div 5'!$H$40</definedName>
    <definedName name="OSRRefH22_3x_0" localSheetId="61">'Div 6'!$H$74</definedName>
    <definedName name="OSRRefH22_3x_0" localSheetId="2">Summary!$H$186:$H$187</definedName>
    <definedName name="OSRRefH22_4x_0" localSheetId="41">'201'!$H$38</definedName>
    <definedName name="OSRRefH22_4x_0" localSheetId="42">'202'!$H$37</definedName>
    <definedName name="OSRRefH22_4x_0" localSheetId="43">'203'!$H$41</definedName>
    <definedName name="OSRRefH22_4x_0" localSheetId="44">'204'!$H$38</definedName>
    <definedName name="OSRRefH22_4x_0" localSheetId="45">'205'!$H$35:$H$36</definedName>
    <definedName name="OSRRefH22_4x_0" localSheetId="46">'206'!$H$38</definedName>
    <definedName name="OSRRefH22_4x_0" localSheetId="48">'300'!$H$153</definedName>
    <definedName name="OSRRefH22_4x_0" localSheetId="49">'300 &amp; 317'!$H$177</definedName>
    <definedName name="OSRRefH22_4x_0" localSheetId="50">'301'!$H$46</definedName>
    <definedName name="OSRRefH22_4x_0" localSheetId="55">'307'!$H$59:$H$60</definedName>
    <definedName name="OSRRefH22_4x_0" localSheetId="51">'308'!$H$86</definedName>
    <definedName name="OSRRefH22_4x_0" localSheetId="64">'309'!$H$36</definedName>
    <definedName name="OSRRefH22_4x_0" localSheetId="63">'310'!$H$55</definedName>
    <definedName name="OSRRefH22_4x_0" localSheetId="71">'310 &amp; 491'!$H$59</definedName>
    <definedName name="OSRRefH22_4x_0" localSheetId="52">'311'!$H$86</definedName>
    <definedName name="OSRRefH22_4x_0" localSheetId="65">'313'!$H$40</definedName>
    <definedName name="OSRRefH22_4x_0" localSheetId="57">'315'!$H$108</definedName>
    <definedName name="OSRRefH22_4x_0" localSheetId="60">'316'!$H$52</definedName>
    <definedName name="OSRRefH22_4x_0" localSheetId="62">'317'!$H$76</definedName>
    <definedName name="OSRRefH22_4x_0" localSheetId="66">'321'!$H$48</definedName>
    <definedName name="OSRRefH22_4x_0" localSheetId="67">'322'!$H$33:$H$34</definedName>
    <definedName name="OSRRefH22_4x_0" localSheetId="68">'325'!$H$41</definedName>
    <definedName name="OSRRefH22_4x_0" localSheetId="58">'326'!$H$72</definedName>
    <definedName name="OSRRefH22_4x_0" localSheetId="56">'331'!$H$108</definedName>
    <definedName name="OSRRefH22_4x_0" localSheetId="59">'332'!$H$54</definedName>
    <definedName name="OSRRefH22_4x_0" localSheetId="54">'333'!$H$110</definedName>
    <definedName name="OSRRefH22_4x_0" localSheetId="73">'405'!$H$42</definedName>
    <definedName name="OSRRefH22_4x_0" localSheetId="74">'406'!$H$28</definedName>
    <definedName name="OSRRefH22_4x_0" localSheetId="75">'411'!$H$39:$H$40</definedName>
    <definedName name="OSRRefH22_4x_0" localSheetId="76">'412'!$H$29</definedName>
    <definedName name="OSRRefH22_4x_0" localSheetId="77">'413'!$H$32</definedName>
    <definedName name="OSRRefH22_4x_0" localSheetId="78">'414'!$H$30</definedName>
    <definedName name="OSRRefH22_4x_0" localSheetId="79">'415'!$H$44</definedName>
    <definedName name="OSRRefH22_4x_0" localSheetId="80">'418'!$H$39:$H$40</definedName>
    <definedName name="OSRRefH22_4x_0" localSheetId="84">'425'!$H$34</definedName>
    <definedName name="OSRRefH22_4x_0" localSheetId="87">'430'!$H$35</definedName>
    <definedName name="OSRRefH22_4x_0" localSheetId="88">'433'!$H$46</definedName>
    <definedName name="OSRRefH22_4x_0" localSheetId="89">'435'!$H$32</definedName>
    <definedName name="OSRRefH22_4x_0" localSheetId="90">'444'!$H$46</definedName>
    <definedName name="OSRRefH22_4x_0" localSheetId="91">'450'!$H$45</definedName>
    <definedName name="OSRRefH22_4x_0" localSheetId="72">'491'!$H$49</definedName>
    <definedName name="OSRRefH22_4x_0" localSheetId="86">'492'!$H$49</definedName>
    <definedName name="OSRRefH22_4x_0" localSheetId="93">'501'!$H$42:$H$43</definedName>
    <definedName name="OSRRefH22_4x_0" localSheetId="39">'Div 2'!$H$43</definedName>
    <definedName name="OSRRefH22_4x_0" localSheetId="47">'Div 3'!$H$160</definedName>
    <definedName name="OSRRefH22_4x_0" localSheetId="70">'Div 4'!$H$53</definedName>
    <definedName name="OSRRefH22_4x_0" localSheetId="92">'Div 5'!$H$42:$H$43</definedName>
    <definedName name="OSRRefH22_4x_0" localSheetId="61">'Div 6'!$H$76</definedName>
    <definedName name="OSRRefH22_4x_0" localSheetId="2">Summary!$H$189</definedName>
    <definedName name="OSRRefH22_5x_0" localSheetId="41">'201'!$H$40</definedName>
    <definedName name="OSRRefH22_5x_0" localSheetId="42">'202'!$H$39:$H$40</definedName>
    <definedName name="OSRRefH22_5x_0" localSheetId="43">'203'!$H$43</definedName>
    <definedName name="OSRRefH22_5x_0" localSheetId="44">'204'!$H$40:$H$43</definedName>
    <definedName name="OSRRefH22_5x_0" localSheetId="45">'205'!$H$38:$H$40</definedName>
    <definedName name="OSRRefH22_5x_0" localSheetId="46">'206'!$H$40</definedName>
    <definedName name="OSRRefH22_5x_0" localSheetId="48">'300'!$H$155:$H$156</definedName>
    <definedName name="OSRRefH22_5x_0" localSheetId="49">'300 &amp; 317'!$H$179:$H$180</definedName>
    <definedName name="OSRRefH22_5x_0" localSheetId="50">'301'!$H$48:$H$49</definedName>
    <definedName name="OSRRefH22_5x_0" localSheetId="55">'307'!$H$62</definedName>
    <definedName name="OSRRefH22_5x_0" localSheetId="51">'308'!$H$88</definedName>
    <definedName name="OSRRefH22_5x_0" localSheetId="64">'309'!$H$38</definedName>
    <definedName name="OSRRefH22_5x_0" localSheetId="63">'310'!$H$57:$H$58</definedName>
    <definedName name="OSRRefH22_5x_0" localSheetId="71">'310 &amp; 491'!$H$61:$H$62</definedName>
    <definedName name="OSRRefH22_5x_0" localSheetId="52">'311'!$H$88</definedName>
    <definedName name="OSRRefH22_5x_0" localSheetId="65">'313'!$H$42</definedName>
    <definedName name="OSRRefH22_5x_0" localSheetId="57">'315'!$H$110</definedName>
    <definedName name="OSRRefH22_5x_0" localSheetId="60">'316'!$H$54</definedName>
    <definedName name="OSRRefH22_5x_0" localSheetId="62">'317'!$H$78:$H$79</definedName>
    <definedName name="OSRRefH22_5x_0" localSheetId="66">'321'!$H$50</definedName>
    <definedName name="OSRRefH22_5x_0" localSheetId="67">'322'!$H$36</definedName>
    <definedName name="OSRRefH22_5x_0" localSheetId="68">'325'!$H$43:$H$44</definedName>
    <definedName name="OSRRefH22_5x_0" localSheetId="58">'326'!$H$74</definedName>
    <definedName name="OSRRefH22_5x_0" localSheetId="56">'331'!$H$110:$H$111</definedName>
    <definedName name="OSRRefH22_5x_0" localSheetId="59">'332'!$H$56</definedName>
    <definedName name="OSRRefH22_5x_0" localSheetId="54">'333'!$H$112:$H$113</definedName>
    <definedName name="OSRRefH22_5x_0" localSheetId="73">'405'!$H$44:$H$45</definedName>
    <definedName name="OSRRefH22_5x_0" localSheetId="75">'411'!$H$42</definedName>
    <definedName name="OSRRefH22_5x_0" localSheetId="76">'412'!$H$31</definedName>
    <definedName name="OSRRefH22_5x_0" localSheetId="77">'413'!$H$34</definedName>
    <definedName name="OSRRefH22_5x_0" localSheetId="78">'414'!$H$32:$H$33</definedName>
    <definedName name="OSRRefH22_5x_0" localSheetId="79">'415'!$H$46:$H$47</definedName>
    <definedName name="OSRRefH22_5x_0" localSheetId="80">'418'!$H$42</definedName>
    <definedName name="OSRRefH22_5x_0" localSheetId="84">'425'!$H$36:$H$37</definedName>
    <definedName name="OSRRefH22_5x_0" localSheetId="87">'430'!$H$37:$H$38</definedName>
    <definedName name="OSRRefH22_5x_0" localSheetId="88">'433'!$H$48</definedName>
    <definedName name="OSRRefH22_5x_0" localSheetId="89">'435'!$H$34</definedName>
    <definedName name="OSRRefH22_5x_0" localSheetId="90">'444'!$H$48</definedName>
    <definedName name="OSRRefH22_5x_0" localSheetId="91">'450'!$H$47</definedName>
    <definedName name="OSRRefH22_5x_0" localSheetId="72">'491'!$H$51:$H$52</definedName>
    <definedName name="OSRRefH22_5x_0" localSheetId="86">'492'!$H$51</definedName>
    <definedName name="OSRRefH22_5x_0" localSheetId="93">'501'!$H$45</definedName>
    <definedName name="OSRRefH22_5x_0" localSheetId="39">'Div 2'!$H$45</definedName>
    <definedName name="OSRRefH22_5x_0" localSheetId="47">'Div 3'!$H$162:$H$163</definedName>
    <definedName name="OSRRefH22_5x_0" localSheetId="70">'Div 4'!$H$55:$H$56</definedName>
    <definedName name="OSRRefH22_5x_0" localSheetId="92">'Div 5'!$H$45</definedName>
    <definedName name="OSRRefH22_5x_0" localSheetId="61">'Div 6'!$H$78:$H$79</definedName>
    <definedName name="OSRRefH22_5x_0" localSheetId="2">Summary!$H$191:$H$192</definedName>
    <definedName name="OSRRefH22_6x_0" localSheetId="41">'201'!$H$42</definedName>
    <definedName name="OSRRefH22_6x_0" localSheetId="42">'202'!$H$42</definedName>
    <definedName name="OSRRefH22_6x_0" localSheetId="43">'203'!$H$45</definedName>
    <definedName name="OSRRefH22_6x_0" localSheetId="44">'204'!$H$45</definedName>
    <definedName name="OSRRefH22_6x_0" localSheetId="45">'205'!$H$42</definedName>
    <definedName name="OSRRefH22_6x_0" localSheetId="46">'206'!$H$42</definedName>
    <definedName name="OSRRefH22_6x_0" localSheetId="48">'300'!$H$158:$H$159</definedName>
    <definedName name="OSRRefH22_6x_0" localSheetId="49">'300 &amp; 317'!$H$182:$H$183</definedName>
    <definedName name="OSRRefH22_6x_0" localSheetId="50">'301'!$H$51:$H$52</definedName>
    <definedName name="OSRRefH22_6x_0" localSheetId="55">'307'!$H$64</definedName>
    <definedName name="OSRRefH22_6x_0" localSheetId="51">'308'!$H$90:$H$91</definedName>
    <definedName name="OSRRefH22_6x_0" localSheetId="64">'309'!$H$40</definedName>
    <definedName name="OSRRefH22_6x_0" localSheetId="63">'310'!$H$60</definedName>
    <definedName name="OSRRefH22_6x_0" localSheetId="71">'310 &amp; 491'!$H$64</definedName>
    <definedName name="OSRRefH22_6x_0" localSheetId="52">'311'!$H$90:$H$91</definedName>
    <definedName name="OSRRefH22_6x_0" localSheetId="65">'313'!$H$44</definedName>
    <definedName name="OSRRefH22_6x_0" localSheetId="57">'315'!$H$112:$H$113</definedName>
    <definedName name="OSRRefH22_6x_0" localSheetId="60">'316'!$H$56:$H$57</definedName>
    <definedName name="OSRRefH22_6x_0" localSheetId="62">'317'!$H$81</definedName>
    <definedName name="OSRRefH22_6x_0" localSheetId="66">'321'!$H$52</definedName>
    <definedName name="OSRRefH22_6x_0" localSheetId="67">'322'!$H$38</definedName>
    <definedName name="OSRRefH22_6x_0" localSheetId="68">'325'!$H$46</definedName>
    <definedName name="OSRRefH22_6x_0" localSheetId="58">'326'!$H$76</definedName>
    <definedName name="OSRRefH22_6x_0" localSheetId="56">'331'!$H$113</definedName>
    <definedName name="OSRRefH22_6x_0" localSheetId="59">'332'!$H$58:$H$59</definedName>
    <definedName name="OSRRefH22_6x_0" localSheetId="54">'333'!$H$115</definedName>
    <definedName name="OSRRefH22_6x_0" localSheetId="73">'405'!$H$47</definedName>
    <definedName name="OSRRefH22_6x_0" localSheetId="75">'411'!$H$44</definedName>
    <definedName name="OSRRefH22_6x_0" localSheetId="79">'415'!$H$49</definedName>
    <definedName name="OSRRefH22_6x_0" localSheetId="80">'418'!$H$44</definedName>
    <definedName name="OSRRefH22_6x_0" localSheetId="84">'425'!$H$39</definedName>
    <definedName name="OSRRefH22_6x_0" localSheetId="87">'430'!$H$40</definedName>
    <definedName name="OSRRefH22_6x_0" localSheetId="88">'433'!$H$50</definedName>
    <definedName name="OSRRefH22_6x_0" localSheetId="90">'444'!$H$50</definedName>
    <definedName name="OSRRefH22_6x_0" localSheetId="91">'450'!$H$49</definedName>
    <definedName name="OSRRefH22_6x_0" localSheetId="72">'491'!$H$54</definedName>
    <definedName name="OSRRefH22_6x_0" localSheetId="86">'492'!$H$53</definedName>
    <definedName name="OSRRefH22_6x_0" localSheetId="93">'501'!$H$47</definedName>
    <definedName name="OSRRefH22_6x_0" localSheetId="39">'Div 2'!$H$47</definedName>
    <definedName name="OSRRefH22_6x_0" localSheetId="47">'Div 3'!$H$165:$H$166</definedName>
    <definedName name="OSRRefH22_6x_0" localSheetId="70">'Div 4'!$H$58</definedName>
    <definedName name="OSRRefH22_6x_0" localSheetId="92">'Div 5'!$H$47</definedName>
    <definedName name="OSRRefH22_6x_0" localSheetId="61">'Div 6'!$H$81</definedName>
    <definedName name="OSRRefH22_6x_0" localSheetId="2">Summary!$H$194:$H$195</definedName>
    <definedName name="OSRRefH22_7x_0" localSheetId="41">'201'!$H$44</definedName>
    <definedName name="OSRRefH22_7x_0" localSheetId="42">'202'!$H$44:$H$46</definedName>
    <definedName name="OSRRefH22_7x_0" localSheetId="43">'203'!$H$47:$H$48</definedName>
    <definedName name="OSRRefH22_7x_0" localSheetId="44">'204'!$H$47:$H$48</definedName>
    <definedName name="OSRRefH22_7x_0" localSheetId="48">'300'!$H$161</definedName>
    <definedName name="OSRRefH22_7x_0" localSheetId="49">'300 &amp; 317'!$H$185</definedName>
    <definedName name="OSRRefH22_7x_0" localSheetId="50">'301'!$H$54</definedName>
    <definedName name="OSRRefH22_7x_0" localSheetId="55">'307'!$H$66</definedName>
    <definedName name="OSRRefH22_7x_0" localSheetId="51">'308'!$H$93</definedName>
    <definedName name="OSRRefH22_7x_0" localSheetId="64">'309'!$H$42</definedName>
    <definedName name="OSRRefH22_7x_0" localSheetId="63">'310'!$H$62</definedName>
    <definedName name="OSRRefH22_7x_0" localSheetId="71">'310 &amp; 491'!$H$66</definedName>
    <definedName name="OSRRefH22_7x_0" localSheetId="52">'311'!$H$93</definedName>
    <definedName name="OSRRefH22_7x_0" localSheetId="65">'313'!$H$46</definedName>
    <definedName name="OSRRefH22_7x_0" localSheetId="57">'315'!$H$115</definedName>
    <definedName name="OSRRefH22_7x_0" localSheetId="60">'316'!$H$59</definedName>
    <definedName name="OSRRefH22_7x_0" localSheetId="62">'317'!$H$83</definedName>
    <definedName name="OSRRefH22_7x_0" localSheetId="66">'321'!$H$54:$H$55</definedName>
    <definedName name="OSRRefH22_7x_0" localSheetId="67">'322'!$H$40</definedName>
    <definedName name="OSRRefH22_7x_0" localSheetId="68">'325'!$H$48</definedName>
    <definedName name="OSRRefH22_7x_0" localSheetId="58">'326'!$H$78</definedName>
    <definedName name="OSRRefH22_7x_0" localSheetId="56">'331'!$H$115</definedName>
    <definedName name="OSRRefH22_7x_0" localSheetId="59">'332'!$H$61</definedName>
    <definedName name="OSRRefH22_7x_0" localSheetId="54">'333'!$H$117</definedName>
    <definedName name="OSRRefH22_7x_0" localSheetId="73">'405'!$H$49</definedName>
    <definedName name="OSRRefH22_7x_0" localSheetId="75">'411'!$H$46</definedName>
    <definedName name="OSRRefH22_7x_0" localSheetId="79">'415'!$H$51</definedName>
    <definedName name="OSRRefH22_7x_0" localSheetId="80">'418'!$H$46</definedName>
    <definedName name="OSRRefH22_7x_0" localSheetId="84">'425'!$H$41</definedName>
    <definedName name="OSRRefH22_7x_0" localSheetId="87">'430'!$H$42</definedName>
    <definedName name="OSRRefH22_7x_0" localSheetId="88">'433'!$H$52</definedName>
    <definedName name="OSRRefH22_7x_0" localSheetId="90">'444'!$H$52</definedName>
    <definedName name="OSRRefH22_7x_0" localSheetId="91">'450'!$H$51</definedName>
    <definedName name="OSRRefH22_7x_0" localSheetId="72">'491'!$H$56</definedName>
    <definedName name="OSRRefH22_7x_0" localSheetId="86">'492'!$H$55</definedName>
    <definedName name="OSRRefH22_7x_0" localSheetId="93">'501'!$H$49:$H$52</definedName>
    <definedName name="OSRRefH22_7x_0" localSheetId="39">'Div 2'!$H$49</definedName>
    <definedName name="OSRRefH22_7x_0" localSheetId="47">'Div 3'!$H$168</definedName>
    <definedName name="OSRRefH22_7x_0" localSheetId="70">'Div 4'!$H$60</definedName>
    <definedName name="OSRRefH22_7x_0" localSheetId="92">'Div 5'!$H$49:$H$52</definedName>
    <definedName name="OSRRefH22_7x_0" localSheetId="61">'Div 6'!$H$83</definedName>
    <definedName name="OSRRefH22_7x_0" localSheetId="2">Summary!$H$197</definedName>
    <definedName name="OSRRefH22_8x_0" localSheetId="41">'201'!$H$46</definedName>
    <definedName name="OSRRefH22_8x_0" localSheetId="42">'202'!$H$48</definedName>
    <definedName name="OSRRefH22_8x_0" localSheetId="43">'203'!$H$50:$H$51</definedName>
    <definedName name="OSRRefH22_8x_0" localSheetId="44">'204'!$H$50</definedName>
    <definedName name="OSRRefH22_8x_0" localSheetId="48">'300'!$H$163</definedName>
    <definedName name="OSRRefH22_8x_0" localSheetId="49">'300 &amp; 317'!$H$187</definedName>
    <definedName name="OSRRefH22_8x_0" localSheetId="50">'301'!$H$56</definedName>
    <definedName name="OSRRefH22_8x_0" localSheetId="55">'307'!$H$68:$H$69</definedName>
    <definedName name="OSRRefH22_8x_0" localSheetId="51">'308'!$H$95</definedName>
    <definedName name="OSRRefH22_8x_0" localSheetId="64">'309'!$H$44:$H$45</definedName>
    <definedName name="OSRRefH22_8x_0" localSheetId="63">'310'!$H$64</definedName>
    <definedName name="OSRRefH22_8x_0" localSheetId="71">'310 &amp; 491'!$H$68:$H$69</definedName>
    <definedName name="OSRRefH22_8x_0" localSheetId="52">'311'!$H$95</definedName>
    <definedName name="OSRRefH22_8x_0" localSheetId="57">'315'!$H$117:$H$118</definedName>
    <definedName name="OSRRefH22_8x_0" localSheetId="60">'316'!$H$61:$H$63</definedName>
    <definedName name="OSRRefH22_8x_0" localSheetId="62">'317'!$H$85</definedName>
    <definedName name="OSRRefH22_8x_0" localSheetId="66">'321'!$H$57</definedName>
    <definedName name="OSRRefH22_8x_0" localSheetId="68">'325'!$H$50</definedName>
    <definedName name="OSRRefH22_8x_0" localSheetId="58">'326'!$H$80</definedName>
    <definedName name="OSRRefH22_8x_0" localSheetId="56">'331'!$H$117:$H$118</definedName>
    <definedName name="OSRRefH22_8x_0" localSheetId="59">'332'!$H$63:$H$65</definedName>
    <definedName name="OSRRefH22_8x_0" localSheetId="54">'333'!$H$119:$H$120</definedName>
    <definedName name="OSRRefH22_8x_0" localSheetId="73">'405'!$H$51</definedName>
    <definedName name="OSRRefH22_8x_0" localSheetId="75">'411'!$H$48</definedName>
    <definedName name="OSRRefH22_8x_0" localSheetId="79">'415'!$H$53</definedName>
    <definedName name="OSRRefH22_8x_0" localSheetId="80">'418'!$H$48:$H$49</definedName>
    <definedName name="OSRRefH22_8x_0" localSheetId="84">'425'!$H$43</definedName>
    <definedName name="OSRRefH22_8x_0" localSheetId="87">'430'!$H$44</definedName>
    <definedName name="OSRRefH22_8x_0" localSheetId="88">'433'!$H$54</definedName>
    <definedName name="OSRRefH22_8x_0" localSheetId="90">'444'!$H$54</definedName>
    <definedName name="OSRRefH22_8x_0" localSheetId="91">'450'!$H$53</definedName>
    <definedName name="OSRRefH22_8x_0" localSheetId="72">'491'!$H$58</definedName>
    <definedName name="OSRRefH22_8x_0" localSheetId="86">'492'!$H$57</definedName>
    <definedName name="OSRRefH22_8x_0" localSheetId="93">'501'!$H$54:$H$55</definedName>
    <definedName name="OSRRefH22_8x_0" localSheetId="39">'Div 2'!$H$51</definedName>
    <definedName name="OSRRefH22_8x_0" localSheetId="47">'Div 3'!$H$170</definedName>
    <definedName name="OSRRefH22_8x_0" localSheetId="70">'Div 4'!$H$62</definedName>
    <definedName name="OSRRefH22_8x_0" localSheetId="92">'Div 5'!$H$54:$H$55</definedName>
    <definedName name="OSRRefH22_8x_0" localSheetId="61">'Div 6'!$H$85</definedName>
    <definedName name="OSRRefH22_8x_0" localSheetId="2">Summary!$H$199</definedName>
    <definedName name="OSRRefH22_9x_0" localSheetId="41">'201'!$H$48:$H$50</definedName>
    <definedName name="OSRRefH22_9x_0" localSheetId="42">'202'!$H$50:$H$52</definedName>
    <definedName name="OSRRefH22_9x_0" localSheetId="43">'203'!$H$53:$H$54</definedName>
    <definedName name="OSRRefH22_9x_0" localSheetId="44">'204'!$H$52</definedName>
    <definedName name="OSRRefH22_9x_0" localSheetId="48">'300'!$H$165</definedName>
    <definedName name="OSRRefH22_9x_0" localSheetId="49">'300 &amp; 317'!$H$189</definedName>
    <definedName name="OSRRefH22_9x_0" localSheetId="50">'301'!$H$58</definedName>
    <definedName name="OSRRefH22_9x_0" localSheetId="55">'307'!$H$71:$H$72</definedName>
    <definedName name="OSRRefH22_9x_0" localSheetId="51">'308'!$H$97:$H$99</definedName>
    <definedName name="OSRRefH22_9x_0" localSheetId="64">'309'!$H$47:$H$48</definedName>
    <definedName name="OSRRefH22_9x_0" localSheetId="63">'310'!$H$66</definedName>
    <definedName name="OSRRefH22_9x_0" localSheetId="71">'310 &amp; 491'!$H$71</definedName>
    <definedName name="OSRRefH22_9x_0" localSheetId="52">'311'!$H$97:$H$99</definedName>
    <definedName name="OSRRefH22_9x_0" localSheetId="57">'315'!$H$120</definedName>
    <definedName name="OSRRefH22_9x_0" localSheetId="60">'316'!$H$65</definedName>
    <definedName name="OSRRefH22_9x_0" localSheetId="62">'317'!$H$87</definedName>
    <definedName name="OSRRefH22_9x_0" localSheetId="66">'321'!$H$59:$H$61</definedName>
    <definedName name="OSRRefH22_9x_0" localSheetId="68">'325'!$H$52</definedName>
    <definedName name="OSRRefH22_9x_0" localSheetId="58">'326'!$H$82</definedName>
    <definedName name="OSRRefH22_9x_0" localSheetId="56">'331'!$H$120</definedName>
    <definedName name="OSRRefH22_9x_0" localSheetId="59">'332'!$H$67</definedName>
    <definedName name="OSRRefH22_9x_0" localSheetId="54">'333'!$H$122</definedName>
    <definedName name="OSRRefH22_9x_0" localSheetId="73">'405'!$H$53</definedName>
    <definedName name="OSRRefH22_9x_0" localSheetId="75">'411'!$H$50</definedName>
    <definedName name="OSRRefH22_9x_0" localSheetId="79">'415'!$H$55</definedName>
    <definedName name="OSRRefH22_9x_0" localSheetId="80">'418'!$H$51</definedName>
    <definedName name="OSRRefH22_9x_0" localSheetId="88">'433'!$H$56</definedName>
    <definedName name="OSRRefH22_9x_0" localSheetId="90">'444'!$H$56</definedName>
    <definedName name="OSRRefH22_9x_0" localSheetId="91">'450'!$H$55</definedName>
    <definedName name="OSRRefH22_9x_0" localSheetId="72">'491'!$H$60</definedName>
    <definedName name="OSRRefH22_9x_0" localSheetId="86">'492'!$H$59</definedName>
    <definedName name="OSRRefH22_9x_0" localSheetId="93">'501'!$H$57</definedName>
    <definedName name="OSRRefH22_9x_0" localSheetId="39">'Div 2'!$H$53:$H$54</definedName>
    <definedName name="OSRRefH22_9x_0" localSheetId="47">'Div 3'!$H$172</definedName>
    <definedName name="OSRRefH22_9x_0" localSheetId="70">'Div 4'!$H$64</definedName>
    <definedName name="OSRRefH22_9x_0" localSheetId="92">'Div 5'!$H$57</definedName>
    <definedName name="OSRRefH22_9x_0" localSheetId="61">'Div 6'!$H$87</definedName>
    <definedName name="OSRRefH22_9x_0" localSheetId="2">Summary!$H$201</definedName>
    <definedName name="OSRRefH22x_0" localSheetId="40">'200'!$H$20,'200'!$H$22,'200'!$H$24,'200'!$H$26</definedName>
    <definedName name="OSRRefH22x_0" localSheetId="41">'201'!$H$20:$H$27,'201'!$H$29:$H$32,'201'!$H$34,'201'!$H$36,'201'!$H$38,'201'!$H$40,'201'!$H$42,'201'!$H$44,'201'!$H$46,'201'!$H$48:$H$50,'201'!$H$52:$H$54,'201'!$H$56,'201'!$H$58:$H$59,'201'!$H$61,'201'!$H$63</definedName>
    <definedName name="OSRRefH22x_0" localSheetId="42">'202'!$H$20:$H$27,'202'!$H$29:$H$31,'202'!$H$33,'202'!$H$35,'202'!$H$37,'202'!$H$39:$H$40,'202'!$H$42,'202'!$H$44:$H$46,'202'!$H$48,'202'!$H$50:$H$52,'202'!$H$54,'202'!$H$56,'202'!$H$58</definedName>
    <definedName name="OSRRefH22x_0" localSheetId="43">'203'!$H$20:$H$29,'203'!$H$31:$H$35,'203'!$H$37,'203'!$H$39,'203'!$H$41,'203'!$H$43,'203'!$H$45,'203'!$H$47:$H$48,'203'!$H$50:$H$51,'203'!$H$53:$H$54,'203'!$H$56:$H$59,'203'!$H$61,'203'!$H$63,'203'!$H$65</definedName>
    <definedName name="OSRRefH22x_0" localSheetId="44">'204'!$H$20:$H$28,'204'!$H$30:$H$32,'204'!$H$34,'204'!$H$36,'204'!$H$38,'204'!$H$40:$H$43,'204'!$H$45,'204'!$H$47:$H$48,'204'!$H$50,'204'!$H$52</definedName>
    <definedName name="OSRRefH22x_0" localSheetId="45">'205'!$H$20:$H$27,'205'!$H$29,'205'!$H$31,'205'!$H$33,'205'!$H$35:$H$36,'205'!$H$38:$H$40,'205'!$H$42</definedName>
    <definedName name="OSRRefH22x_0" localSheetId="46">'206'!$H$20:$H$27,'206'!$H$29:$H$32,'206'!$H$34,'206'!$H$36,'206'!$H$38,'206'!$H$40,'206'!$H$42</definedName>
    <definedName name="OSRRefH22x_0" localSheetId="48">'300'!$H$129:$H$138,'300'!$H$140:$H$146,'300'!$H$148,'300'!$H$150:$H$151,'300'!$H$153,'300'!$H$155:$H$156,'300'!$H$158:$H$159,'300'!$H$161,'300'!$H$163,'300'!$H$165,'300'!$H$167:$H$168,'300'!$H$170,'300'!$H$172,'300'!$H$174:$H$175,'300'!$H$177,'300'!$H$179,'300'!$H$181:$H$184,'300'!$H$186:$H$188,'300'!$H$190:$H$193,'300'!$H$195:$H$196,'300'!$H$198:$H$204,'300'!$H$206:$H$207,'300'!$H$209,'300'!$H$211:$H$213,'300'!$H$215</definedName>
    <definedName name="OSRRefH22x_0" localSheetId="49">'300 &amp; 317'!$H$153:$H$162,'300 &amp; 317'!$H$164:$H$170,'300 &amp; 317'!$H$172,'300 &amp; 317'!$H$174:$H$175,'300 &amp; 317'!$H$177,'300 &amp; 317'!$H$179:$H$180,'300 &amp; 317'!$H$182:$H$183,'300 &amp; 317'!$H$185,'300 &amp; 317'!$H$187,'300 &amp; 317'!$H$189,'300 &amp; 317'!$H$191:$H$192,'300 &amp; 317'!$H$194,'300 &amp; 317'!$H$196,'300 &amp; 317'!$H$198:$H$199,'300 &amp; 317'!$H$201,'300 &amp; 317'!$H$203,'300 &amp; 317'!$H$205:$H$208,'300 &amp; 317'!$H$210:$H$212,'300 &amp; 317'!$H$214:$H$217,'300 &amp; 317'!$H$219:$H$220,'300 &amp; 317'!$H$222:$H$228,'300 &amp; 317'!$H$230:$H$231,'300 &amp; 317'!$H$233,'300 &amp; 317'!$H$235:$H$237,'300 &amp; 317'!$H$239</definedName>
    <definedName name="OSRRefH22x_0" localSheetId="50">'301'!$H$22:$H$31,'301'!$H$33:$H$39,'301'!$H$41,'301'!$H$43:$H$44,'301'!$H$46,'301'!$H$48:$H$49,'301'!$H$51:$H$52,'301'!$H$54,'301'!$H$56,'301'!$H$58,'301'!$H$60,'301'!$H$62,'301'!$H$64,'301'!$H$66,'301'!$H$68,'301'!$H$70:$H$73,'301'!$H$75:$H$77,'301'!$H$79,'301'!$H$81:$H$86,'301'!$H$88,'301'!$H$90,'301'!$H$92:$H$93,'301'!$H$95</definedName>
    <definedName name="OSRRefH22x_0" localSheetId="55">'307'!$H$43:$H$48,'307'!$H$50:$H$53,'307'!$H$55,'307'!$H$57,'307'!$H$59:$H$60,'307'!$H$62,'307'!$H$64,'307'!$H$66,'307'!$H$68:$H$69,'307'!$H$71:$H$72,'307'!$H$74,'307'!$H$76:$H$79,'307'!$H$81,'307'!$H$83</definedName>
    <definedName name="OSRRefH22x_0" localSheetId="51">'308'!$H$63:$H$71,'308'!$H$73:$H$79,'308'!$H$81,'308'!$H$83:$H$84,'308'!$H$86,'308'!$H$88,'308'!$H$90:$H$91,'308'!$H$93,'308'!$H$95,'308'!$H$97:$H$99,'308'!$H$101:$H$102,'308'!$H$104:$H$105,'308'!$H$107:$H$108,'308'!$H$110,'308'!$H$112</definedName>
    <definedName name="OSRRefH22x_0" localSheetId="64">'309'!$H$26:$H$27,'309'!$H$29:$H$30,'309'!$H$32,'309'!$H$34,'309'!$H$36,'309'!$H$38,'309'!$H$40,'309'!$H$42,'309'!$H$44:$H$45,'309'!$H$47:$H$48,'309'!$H$50:$H$51,'309'!$H$53,'309'!$H$55</definedName>
    <definedName name="OSRRefH22x_0" localSheetId="63">'310'!$H$34:$H$42,'310'!$H$44:$H$49,'310'!$H$51,'310'!$H$53,'310'!$H$55,'310'!$H$57:$H$58,'310'!$H$60,'310'!$H$62,'310'!$H$64,'310'!$H$66,'310'!$H$68,'310'!$H$70:$H$71,'310'!$H$73,'310'!$H$75:$H$78,'310'!$H$80:$H$85,'310'!$H$87,'310'!$H$89,'310'!$H$91</definedName>
    <definedName name="OSRRefH22x_0" localSheetId="71">'310 &amp; 491'!$H$37:$H$45,'310 &amp; 491'!$H$47:$H$53,'310 &amp; 491'!$H$55,'310 &amp; 491'!$H$57,'310 &amp; 491'!$H$59,'310 &amp; 491'!$H$61:$H$62,'310 &amp; 491'!$H$64,'310 &amp; 491'!$H$66,'310 &amp; 491'!$H$68:$H$69,'310 &amp; 491'!$H$71,'310 &amp; 491'!$H$73,'310 &amp; 491'!$H$75,'310 &amp; 491'!$H$77,'310 &amp; 491'!$H$79:$H$82,'310 &amp; 491'!$H$84,'310 &amp; 491'!$H$86:$H$89,'310 &amp; 491'!$H$91,'310 &amp; 491'!$H$93:$H$101,'310 &amp; 491'!$H$103,'310 &amp; 491'!$H$105,'310 &amp; 491'!$H$107:$H$108,'310 &amp; 491'!$H$110</definedName>
    <definedName name="OSRRefH22x_0" localSheetId="52">'311'!$H$63:$H$71,'311'!$H$73:$H$79,'311'!$H$81,'311'!$H$83:$H$84,'311'!$H$86,'311'!$H$88,'311'!$H$90:$H$91,'311'!$H$93,'311'!$H$95,'311'!$H$97:$H$99,'311'!$H$101:$H$102,'311'!$H$104:$H$105,'311'!$H$107:$H$108,'311'!$H$110,'311'!$H$112</definedName>
    <definedName name="OSRRefH22x_0" localSheetId="65">'313'!$H$25:$H$32,'313'!$H$34,'313'!$H$36,'313'!$H$38,'313'!$H$40,'313'!$H$42,'313'!$H$44,'313'!$H$46</definedName>
    <definedName name="OSRRefH22x_0" localSheetId="57">'315'!$H$87:$H$94,'315'!$H$96:$H$101,'315'!$H$103,'315'!$H$105:$H$106,'315'!$H$108,'315'!$H$110,'315'!$H$112:$H$113,'315'!$H$115,'315'!$H$117:$H$118,'315'!$H$120,'315'!$H$122:$H$123,'315'!$H$125:$H$126,'315'!$H$128:$H$129,'315'!$H$131:$H$135,'315'!$H$137,'315'!$H$139,'315'!$H$141</definedName>
    <definedName name="OSRRefH22x_0" localSheetId="60">'316'!$H$34:$H$41,'316'!$H$43:$H$46,'316'!$H$48,'316'!$H$50,'316'!$H$52,'316'!$H$54,'316'!$H$56:$H$57,'316'!$H$59,'316'!$H$61:$H$63,'316'!$H$65,'316'!$H$67,'316'!$H$69:$H$74,'316'!$H$76,'316'!$H$78</definedName>
    <definedName name="OSRRefH22x_0" localSheetId="62">'317'!$H$56:$H$64,'317'!$H$66:$H$70,'317'!$H$72,'317'!$H$74,'317'!$H$76,'317'!$H$78:$H$79,'317'!$H$81,'317'!$H$83,'317'!$H$85,'317'!$H$87,'317'!$H$89:$H$92,'317'!$H$94,'317'!$H$96</definedName>
    <definedName name="OSRRefH22x_0" localSheetId="66">'321'!$H$27:$H$35,'321'!$H$37:$H$42,'321'!$H$44,'321'!$H$46,'321'!$H$48,'321'!$H$50,'321'!$H$52,'321'!$H$54:$H$55,'321'!$H$57,'321'!$H$59:$H$61,'321'!$H$63:$H$67,'321'!$H$69,'321'!$H$71,'321'!$H$73</definedName>
    <definedName name="OSRRefH22x_0" localSheetId="67">'322'!$H$21:$H$25,'322'!$H$27,'322'!$H$29,'322'!$H$31,'322'!$H$33:$H$34,'322'!$H$36,'322'!$H$38,'322'!$H$40</definedName>
    <definedName name="OSRRefH22x_0" localSheetId="68">'325'!$H$24:$H$31,'325'!$H$33:$H$35,'325'!$H$37,'325'!$H$39,'325'!$H$41,'325'!$H$43:$H$44,'325'!$H$46,'325'!$H$48,'325'!$H$50,'325'!$H$52,'325'!$H$54:$H$55,'325'!$H$57:$H$60,'325'!$H$62:$H$67,'325'!$H$69,'325'!$H$71,'325'!$H$73</definedName>
    <definedName name="OSRRefH22x_0" localSheetId="58">'326'!$H$52:$H$59,'326'!$H$61:$H$66,'326'!$H$68,'326'!$H$70,'326'!$H$72,'326'!$H$74,'326'!$H$76,'326'!$H$78,'326'!$H$80,'326'!$H$82,'326'!$H$84,'326'!$H$86:$H$88,'326'!$H$90:$H$92,'326'!$H$94:$H$95,'326'!$H$97:$H$100,'326'!$H$102,'326'!$H$104,'326'!$H$106</definedName>
    <definedName name="OSRRefH22x_0" localSheetId="69">'327'!$H$24,'327'!$H$26</definedName>
    <definedName name="OSRRefH22x_0" localSheetId="56">'331'!$H$88:$H$95,'331'!$H$97:$H$102,'331'!$H$104,'331'!$H$106,'331'!$H$108,'331'!$H$110:$H$111,'331'!$H$113,'331'!$H$115,'331'!$H$117:$H$118,'331'!$H$120,'331'!$H$122,'331'!$H$124:$H$125,'331'!$H$127,'331'!$H$129,'331'!$H$131:$H$133,'331'!$H$135:$H$136,'331'!$H$138:$H$140,'331'!$H$142:$H$143,'331'!$H$145:$H$150,'331'!$H$152,'331'!$H$154,'331'!$H$156,'331'!$H$158</definedName>
    <definedName name="OSRRefH22x_0" localSheetId="59">'332'!$H$36:$H$43,'332'!$H$45:$H$48,'332'!$H$50,'332'!$H$52,'332'!$H$54,'332'!$H$56,'332'!$H$58:$H$59,'332'!$H$61,'332'!$H$63:$H$65,'332'!$H$67,'332'!$H$69,'332'!$H$71:$H$76,'332'!$H$78,'332'!$H$80</definedName>
    <definedName name="OSRRefH22x_0" localSheetId="54">'333'!$H$90:$H$97,'333'!$H$99:$H$104,'333'!$H$106,'333'!$H$108,'333'!$H$110,'333'!$H$112:$H$113,'333'!$H$115,'333'!$H$117,'333'!$H$119:$H$120,'333'!$H$122,'333'!$H$124,'333'!$H$126:$H$127,'333'!$H$129,'333'!$H$131,'333'!$H$133:$H$135,'333'!$H$137:$H$138,'333'!$H$140:$H$143,'333'!$H$145:$H$146,'333'!$H$148:$H$153,'333'!$H$155,'333'!$H$157,'333'!$H$159,'333'!$H$161</definedName>
    <definedName name="OSRRefH22x_0" localSheetId="73">'405'!$H$24:$H$31,'405'!$H$33:$H$36,'405'!$H$38,'405'!$H$40,'405'!$H$42,'405'!$H$44:$H$45,'405'!$H$47,'405'!$H$49,'405'!$H$51,'405'!$H$53,'405'!$H$55:$H$56,'405'!$H$58:$H$61,'405'!$H$63,'405'!$H$65:$H$73,'405'!$H$75,'405'!$H$77,'405'!$H$79</definedName>
    <definedName name="OSRRefH22x_0" localSheetId="74">'406'!$H$20,'406'!$H$22,'406'!$H$24,'406'!$H$26,'406'!$H$28</definedName>
    <definedName name="OSRRefH22x_0" localSheetId="75">'411'!$H$20:$H$27,'411'!$H$29:$H$33,'411'!$H$35,'411'!$H$37,'411'!$H$39:$H$40,'411'!$H$42,'411'!$H$44,'411'!$H$46,'411'!$H$48,'411'!$H$50,'411'!$H$52:$H$55,'411'!$H$57:$H$59,'411'!$H$61,'411'!$H$63:$H$64,'411'!$H$66,'411'!$H$68:$H$69,'411'!$H$71</definedName>
    <definedName name="OSRRefH22x_0" localSheetId="76">'412'!$H$20,'412'!$H$22,'412'!$H$24,'412'!$H$26:$H$27,'412'!$H$29,'412'!$H$31</definedName>
    <definedName name="OSRRefH22x_0" localSheetId="77">'413'!$H$20:$H$24,'413'!$H$26,'413'!$H$28,'413'!$H$30,'413'!$H$32,'413'!$H$34</definedName>
    <definedName name="OSRRefH22x_0" localSheetId="78">'414'!$H$22,'414'!$H$24,'414'!$H$26,'414'!$H$28,'414'!$H$30,'414'!$H$32:$H$33</definedName>
    <definedName name="OSRRefH22x_0" localSheetId="79">'415'!$H$24:$H$32,'415'!$H$34:$H$38,'415'!$H$40,'415'!$H$42,'415'!$H$44,'415'!$H$46:$H$47,'415'!$H$49,'415'!$H$51,'415'!$H$53,'415'!$H$55,'415'!$H$57,'415'!$H$59:$H$60,'415'!$H$62:$H$65,'415'!$H$67,'415'!$H$69:$H$74,'415'!$H$76,'415'!$H$78,'415'!$H$80</definedName>
    <definedName name="OSRRefH22x_0" localSheetId="80">'418'!$H$21:$H$28,'418'!$H$30:$H$33,'418'!$H$35,'418'!$H$37,'418'!$H$39:$H$40,'418'!$H$42,'418'!$H$44,'418'!$H$46,'418'!$H$48:$H$49,'418'!$H$51,'418'!$H$53,'418'!$H$55:$H$60,'418'!$H$62,'418'!$H$64</definedName>
    <definedName name="OSRRefH22x_0" localSheetId="81">'420'!$H$22,'420'!$H$24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'425'!$H$22:$H$26,'425'!$H$28,'425'!$H$30,'425'!$H$32,'425'!$H$34,'425'!$H$36:$H$37,'425'!$H$39,'425'!$H$41,'425'!$H$43</definedName>
    <definedName name="OSRRefH22x_0" localSheetId="87">'430'!$H$20:$H$27,'430'!$H$29,'430'!$H$31,'430'!$H$33,'430'!$H$35,'430'!$H$37:$H$38,'430'!$H$40,'430'!$H$42,'430'!$H$44</definedName>
    <definedName name="OSRRefH22x_0" localSheetId="88">'433'!$H$25:$H$33,'433'!$H$35:$H$40,'433'!$H$42,'433'!$H$44,'433'!$H$46,'433'!$H$48,'433'!$H$50,'433'!$H$52,'433'!$H$54,'433'!$H$56,'433'!$H$58,'433'!$H$60:$H$61,'433'!$H$63:$H$65,'433'!$H$67:$H$74,'433'!$H$76,'433'!$H$78</definedName>
    <definedName name="OSRRefH22x_0" localSheetId="89">'435'!$H$23:$H$24,'435'!$H$26,'435'!$H$28,'435'!$H$30,'435'!$H$32,'435'!$H$34</definedName>
    <definedName name="OSRRefH22x_0" localSheetId="90">'444'!$H$25:$H$33,'444'!$H$35:$H$40,'444'!$H$42,'444'!$H$44,'444'!$H$46,'444'!$H$48,'444'!$H$50,'444'!$H$52,'444'!$H$54,'444'!$H$56,'444'!$H$58,'444'!$H$60:$H$61,'444'!$H$63:$H$66,'444'!$H$68,'444'!$H$70:$H$77,'444'!$H$79,'444'!$H$81,'444'!$H$83</definedName>
    <definedName name="OSRRefH22x_0" localSheetId="91">'450'!$H$25:$H$33,'450'!$H$35:$H$39,'450'!$H$41,'450'!$H$43,'450'!$H$45,'450'!$H$47,'450'!$H$49,'450'!$H$51,'450'!$H$53,'450'!$H$55,'450'!$H$57,'450'!$H$59,'450'!$H$61:$H$62,'450'!$H$64:$H$66,'450'!$H$68:$H$73,'450'!$H$75,'450'!$H$77,'450'!$H$79</definedName>
    <definedName name="OSRRefH22x_0" localSheetId="72">'491'!$H$28:$H$36,'491'!$H$38:$H$43,'491'!$H$45,'491'!$H$47,'491'!$H$49,'491'!$H$51:$H$52,'491'!$H$54,'491'!$H$56,'491'!$H$58,'491'!$H$60,'491'!$H$62,'491'!$H$64,'491'!$H$66,'491'!$H$68:$H$71,'491'!$H$73,'491'!$H$75:$H$78,'491'!$H$80,'491'!$H$82:$H$90,'491'!$H$92,'491'!$H$94,'491'!$H$96:$H$97,'491'!$H$99</definedName>
    <definedName name="OSRRefH22x_0" localSheetId="86">'492'!$H$27:$H$35,'492'!$H$37:$H$43,'492'!$H$45,'492'!$H$47,'492'!$H$49,'492'!$H$51,'492'!$H$53,'492'!$H$55,'492'!$H$57,'492'!$H$59,'492'!$H$61,'492'!$H$63,'492'!$H$65:$H$67,'492'!$H$69:$H$72,'492'!$H$74,'492'!$H$76:$H$83,'492'!$H$85,'492'!$H$87,'492'!$H$89:$H$91</definedName>
    <definedName name="OSRRefH22x_0" localSheetId="93">'501'!$H$21:$H$29,'501'!$H$31:$H$36,'501'!$H$38,'501'!$H$40,'501'!$H$42:$H$43,'501'!$H$45,'501'!$H$47,'501'!$H$49:$H$52,'501'!$H$54:$H$55,'501'!$H$57,'501'!$H$59</definedName>
    <definedName name="OSRRefH22x_0" localSheetId="39">'Div 2'!$H$20:$H$30,'Div 2'!$H$32:$H$37,'Div 2'!$H$39,'Div 2'!$H$41,'Div 2'!$H$43,'Div 2'!$H$45,'Div 2'!$H$47,'Div 2'!$H$49,'Div 2'!$H$51,'Div 2'!$H$53:$H$54,'Div 2'!$H$56,'Div 2'!$H$58,'Div 2'!$H$60:$H$62,'Div 2'!$H$64:$H$67,'Div 2'!$H$69,'Div 2'!$H$71:$H$72,'Div 2'!$H$74:$H$78,'Div 2'!$H$80:$H$81,'Div 2'!$H$83,'Div 2'!$H$85:$H$86</definedName>
    <definedName name="OSRRefH22x_0" localSheetId="47">'Div 3'!$H$136:$H$145,'Div 3'!$H$147:$H$153,'Div 3'!$H$155,'Div 3'!$H$157:$H$158,'Div 3'!$H$160,'Div 3'!$H$162:$H$163,'Div 3'!$H$165:$H$166,'Div 3'!$H$168,'Div 3'!$H$170,'Div 3'!$H$172,'Div 3'!$H$174:$H$175,'Div 3'!$H$177,'Div 3'!$H$179,'Div 3'!$H$181,'Div 3'!$H$183:$H$184,'Div 3'!$H$186,'Div 3'!$H$188,'Div 3'!$H$190:$H$193,'Div 3'!$H$195:$H$197,'Div 3'!$H$199:$H$203,'Div 3'!$H$205:$H$206,'Div 3'!$H$208:$H$214,'Div 3'!$H$216:$H$217,'Div 3'!$H$219,'Div 3'!$H$221:$H$223,'Div 3'!$H$225</definedName>
    <definedName name="OSRRefH22x_0" localSheetId="70">'Div 4'!$H$31:$H$39,'Div 4'!$H$41:$H$47,'Div 4'!$H$49,'Div 4'!$H$51,'Div 4'!$H$53,'Div 4'!$H$55:$H$56,'Div 4'!$H$58,'Div 4'!$H$60,'Div 4'!$H$62,'Div 4'!$H$64,'Div 4'!$H$66,'Div 4'!$H$68,'Div 4'!$H$70,'Div 4'!$H$72,'Div 4'!$H$74,'Div 4'!$H$76:$H$79,'Div 4'!$H$81,'Div 4'!$H$83:$H$86,'Div 4'!$H$88:$H$89,'Div 4'!$H$91:$H$99,'Div 4'!$H$101,'Div 4'!$H$103,'Div 4'!$H$105:$H$107,'Div 4'!$H$109</definedName>
    <definedName name="OSRRefH22x_0" localSheetId="92">'Div 5'!$H$21:$H$29,'Div 5'!$H$31:$H$36,'Div 5'!$H$38,'Div 5'!$H$40,'Div 5'!$H$42:$H$43,'Div 5'!$H$45,'Div 5'!$H$47,'Div 5'!$H$49:$H$52,'Div 5'!$H$54:$H$55,'Div 5'!$H$57,'Div 5'!$H$59</definedName>
    <definedName name="OSRRefH22x_0" localSheetId="61">'Div 6'!$H$56:$H$64,'Div 6'!$H$66:$H$70,'Div 6'!$H$72,'Div 6'!$H$74,'Div 6'!$H$76,'Div 6'!$H$78:$H$79,'Div 6'!$H$81,'Div 6'!$H$83,'Div 6'!$H$85,'Div 6'!$H$87,'Div 6'!$H$89:$H$92,'Div 6'!$H$94,'Div 6'!$H$96</definedName>
    <definedName name="OSRRefH22x_0" localSheetId="2">Summary!$H$165:$H$174,Summary!$H$176:$H$182,Summary!$H$184,Summary!$H$186:$H$187,Summary!$H$189,Summary!$H$191:$H$192,Summary!$H$194:$H$195,Summary!$H$197,Summary!$H$199,Summary!$H$201,Summary!$H$203:$H$204,Summary!$H$206,Summary!$H$208,Summary!$H$210,Summary!$H$212:$H$213,Summary!$H$215,Summary!$H$217,Summary!$H$219,Summary!$H$221:$H$224,Summary!$H$226:$H$228,Summary!$H$230:$H$234,Summary!$H$236:$H$237,Summary!$H$239:$H$247,Summary!$H$249:$H$250,Summary!$H$252,Summary!$H$254:$H$256,Summary!$H$258</definedName>
    <definedName name="OSRRefH25x_0" localSheetId="48">'300'!$H$218:$H$222</definedName>
    <definedName name="OSRRefH25x_0" localSheetId="49">'300 &amp; 317'!$H$242:$H$248</definedName>
    <definedName name="OSRRefH25x_0" localSheetId="50">'301'!$H$98</definedName>
    <definedName name="OSRRefH25x_0" localSheetId="51">'308'!$H$115:$H$117</definedName>
    <definedName name="OSRRefH25x_0" localSheetId="71">'310 &amp; 491'!$H$113:$H$115</definedName>
    <definedName name="OSRRefH25x_0" localSheetId="52">'311'!$H$115:$H$117</definedName>
    <definedName name="OSRRefH25x_0" localSheetId="57">'315'!$H$144:$H$146</definedName>
    <definedName name="OSRRefH25x_0" localSheetId="60">'316'!$H$81</definedName>
    <definedName name="OSRRefH25x_0" localSheetId="62">'317'!$H$99:$H$101</definedName>
    <definedName name="OSRRefH25x_0" localSheetId="56">'331'!$H$161:$H$163</definedName>
    <definedName name="OSRRefH25x_0" localSheetId="59">'332'!$H$83:$H$84</definedName>
    <definedName name="OSRRefH25x_0" localSheetId="54">'333'!$H$164:$H$166</definedName>
    <definedName name="OSRRefH25x_0" localSheetId="73">'405'!$H$82</definedName>
    <definedName name="OSRRefH25x_0" localSheetId="75">'411'!$H$74:$H$75</definedName>
    <definedName name="OSRRefH25x_0" localSheetId="79">'415'!$H$83</definedName>
    <definedName name="OSRRefH25x_0" localSheetId="80">'418'!$H$67</definedName>
    <definedName name="OSRRefH25x_0" localSheetId="82">'423'!$H$30</definedName>
    <definedName name="OSRRefH25x_0" localSheetId="85">'455'!$H$21:$H$22</definedName>
    <definedName name="OSRRefH25x_0" localSheetId="72">'491'!$H$102:$H$104</definedName>
    <definedName name="OSRRefH25x_0" localSheetId="93">'501'!$H$62</definedName>
    <definedName name="OSRRefH25x_0" localSheetId="47">'Div 3'!$H$228:$H$232</definedName>
    <definedName name="OSRRefH25x_0" localSheetId="70">'Div 4'!$H$112:$H$114</definedName>
    <definedName name="OSRRefH25x_0" localSheetId="92">'Div 5'!$H$62</definedName>
    <definedName name="OSRRefH25x_0" localSheetId="61">'Div 6'!$H$99:$H$101</definedName>
    <definedName name="OSRRefH25x_0" localSheetId="2">Summary!$H$261:$H$269</definedName>
    <definedName name="OSRRefP13x_0" localSheetId="48">'300'!$P$13:$P$80</definedName>
    <definedName name="OSRRefP13x_0" localSheetId="49">'300 &amp; 317'!$P$13:$P$95</definedName>
    <definedName name="OSRRefP13x_0" localSheetId="55">'307'!$P$13:$P$25</definedName>
    <definedName name="OSRRefP13x_0" localSheetId="51">'308'!$P$13:$P$38</definedName>
    <definedName name="OSRRefP13x_0" localSheetId="64">'309'!$P$13:$P$16</definedName>
    <definedName name="OSRRefP13x_0" localSheetId="63">'310'!$P$13:$P$23</definedName>
    <definedName name="OSRRefP13x_0" localSheetId="71">'310 &amp; 491'!$P$13:$P$26</definedName>
    <definedName name="OSRRefP13x_0" localSheetId="52">'311'!$P$13:$P$38</definedName>
    <definedName name="OSRRefP13x_0" localSheetId="65">'313'!$P$13:$P$16</definedName>
    <definedName name="OSRRefP13x_0" localSheetId="57">'315'!$P$13:$P$54</definedName>
    <definedName name="OSRRefP13x_0" localSheetId="60">'316'!$P$13:$P$25</definedName>
    <definedName name="OSRRefP13x_0" localSheetId="62">'317'!$P$13:$P$34</definedName>
    <definedName name="OSRRefP13x_0" localSheetId="66">'321'!$P$13:$P$16</definedName>
    <definedName name="OSRRefP13x_0" localSheetId="53">'324'!$P$13:$P$16</definedName>
    <definedName name="OSRRefP13x_0" localSheetId="68">'325'!$P$13:$P$14</definedName>
    <definedName name="OSRRefP13x_0" localSheetId="58">'326'!$P$13:$P$36</definedName>
    <definedName name="OSRRefP13x_0" localSheetId="69">'327'!$P$13:$P$14</definedName>
    <definedName name="OSRRefP13x_0" localSheetId="56">'331'!$P$13:$P$54</definedName>
    <definedName name="OSRRefP13x_0" localSheetId="59">'332'!$P$13:$P$25</definedName>
    <definedName name="OSRRefP13x_0" localSheetId="54">'333'!$P$13:$P$56</definedName>
    <definedName name="OSRRefP13x_0" localSheetId="73">'405'!$P$13:$P$14</definedName>
    <definedName name="OSRRefP13x_0" localSheetId="78">'414'!$P$13</definedName>
    <definedName name="OSRRefP13x_0" localSheetId="79">'415'!$P$13:$P$14</definedName>
    <definedName name="OSRRefP13x_0" localSheetId="81">'420'!$P$13:$P$14</definedName>
    <definedName name="OSRRefP13x_0" localSheetId="84">'425'!$P$13</definedName>
    <definedName name="OSRRefP13x_0" localSheetId="88">'433'!$P$13:$P$15</definedName>
    <definedName name="OSRRefP13x_0" localSheetId="89">'435'!$P$13:$P$14</definedName>
    <definedName name="OSRRefP13x_0" localSheetId="90">'444'!$P$13:$P$15</definedName>
    <definedName name="OSRRefP13x_0" localSheetId="91">'450'!$P$13:$P$15</definedName>
    <definedName name="OSRRefP13x_0" localSheetId="72">'491'!$P$13:$P$18</definedName>
    <definedName name="OSRRefP13x_0" localSheetId="86">'492'!$P$13:$P$17</definedName>
    <definedName name="OSRRefP13x_0" localSheetId="93">'501'!$P$13</definedName>
    <definedName name="OSRRefP13x_0" localSheetId="47">'Div 3'!$P$13:$P$85</definedName>
    <definedName name="OSRRefP13x_0" localSheetId="70">'Div 4'!$P$13:$P$21</definedName>
    <definedName name="OSRRefP13x_0" localSheetId="92">'Div 5'!$P$13</definedName>
    <definedName name="OSRRefP13x_0" localSheetId="61">'Div 6'!$P$13:$P$34</definedName>
    <definedName name="OSRRefP13x_0" localSheetId="2">Summary!$P$13:$P$105</definedName>
    <definedName name="OSRRefP16x_0" localSheetId="48">'300'!$P$83:$P$123</definedName>
    <definedName name="OSRRefP16x_0" localSheetId="49">'300 &amp; 317'!$P$98:$P$147</definedName>
    <definedName name="OSRRefP16x_0" localSheetId="50">'301'!$P$15:$P$16</definedName>
    <definedName name="OSRRefP16x_0" localSheetId="55">'307'!$P$28:$P$37</definedName>
    <definedName name="OSRRefP16x_0" localSheetId="51">'308'!$P$41:$P$57</definedName>
    <definedName name="OSRRefP16x_0" localSheetId="64">'309'!$P$19:$P$20</definedName>
    <definedName name="OSRRefP16x_0" localSheetId="63">'310'!$P$26:$P$28</definedName>
    <definedName name="OSRRefP16x_0" localSheetId="71">'310 &amp; 491'!$P$29:$P$31</definedName>
    <definedName name="OSRRefP16x_0" localSheetId="52">'311'!$P$41:$P$57</definedName>
    <definedName name="OSRRefP16x_0" localSheetId="65">'313'!$P$19</definedName>
    <definedName name="OSRRefP16x_0" localSheetId="57">'315'!$P$57:$P$81</definedName>
    <definedName name="OSRRefP16x_0" localSheetId="60">'316'!$P$28</definedName>
    <definedName name="OSRRefP16x_0" localSheetId="62">'317'!$P$37:$P$50</definedName>
    <definedName name="OSRRefP16x_0" localSheetId="66">'321'!$P$19:$P$21</definedName>
    <definedName name="OSRRefP16x_0" localSheetId="67">'322'!$P$15</definedName>
    <definedName name="OSRRefP16x_0" localSheetId="53">'324'!$P$19:$P$21</definedName>
    <definedName name="OSRRefP16x_0" localSheetId="68">'325'!$P$17:$P$18</definedName>
    <definedName name="OSRRefP16x_0" localSheetId="58">'326'!$P$39:$P$46</definedName>
    <definedName name="OSRRefP16x_0" localSheetId="69">'327'!$P$17:$P$18</definedName>
    <definedName name="OSRRefP16x_0" localSheetId="56">'331'!$P$57:$P$82</definedName>
    <definedName name="OSRRefP16x_0" localSheetId="59">'332'!$P$28:$P$30</definedName>
    <definedName name="OSRRefP16x_0" localSheetId="54">'333'!$P$59:$P$84</definedName>
    <definedName name="OSRRefP16x_0" localSheetId="73">'405'!$P$17:$P$18</definedName>
    <definedName name="OSRRefP16x_0" localSheetId="78">'414'!$P$16</definedName>
    <definedName name="OSRRefP16x_0" localSheetId="79">'415'!$P$17:$P$18</definedName>
    <definedName name="OSRRefP16x_0" localSheetId="80">'418'!$P$15</definedName>
    <definedName name="OSRRefP16x_0" localSheetId="84">'425'!$P$16</definedName>
    <definedName name="OSRRefP16x_0" localSheetId="88">'433'!$P$18:$P$19</definedName>
    <definedName name="OSRRefP16x_0" localSheetId="89">'435'!$P$17</definedName>
    <definedName name="OSRRefP16x_0" localSheetId="90">'444'!$P$18:$P$19</definedName>
    <definedName name="OSRRefP16x_0" localSheetId="91">'450'!$P$18:$P$19</definedName>
    <definedName name="OSRRefP16x_0" localSheetId="72">'491'!$P$21:$P$22</definedName>
    <definedName name="OSRRefP16x_0" localSheetId="86">'492'!$P$20:$P$21</definedName>
    <definedName name="OSRRefP16x_0" localSheetId="47">'Div 3'!$P$88:$P$130</definedName>
    <definedName name="OSRRefP16x_0" localSheetId="70">'Div 4'!$P$24:$P$25</definedName>
    <definedName name="OSRRefP16x_0" localSheetId="61">'Div 6'!$P$37:$P$50</definedName>
    <definedName name="OSRRefP16x_0" localSheetId="2">Summary!$P$108:$P$159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'300'!$P$129:$P$138</definedName>
    <definedName name="OSRRefP22_0x_0" localSheetId="49">'300 &amp; 317'!$P$153:$P$162</definedName>
    <definedName name="OSRRefP22_0x_0" localSheetId="50">'301'!$P$22:$P$31</definedName>
    <definedName name="OSRRefP22_0x_0" localSheetId="55">'307'!$P$43:$P$48</definedName>
    <definedName name="OSRRefP22_0x_0" localSheetId="51">'308'!$P$63:$P$71</definedName>
    <definedName name="OSRRefP22_0x_0" localSheetId="64">'309'!$P$26:$P$27</definedName>
    <definedName name="OSRRefP22_0x_0" localSheetId="63">'310'!$P$34:$P$42</definedName>
    <definedName name="OSRRefP22_0x_0" localSheetId="71">'310 &amp; 491'!$P$37:$P$45</definedName>
    <definedName name="OSRRefP22_0x_0" localSheetId="52">'311'!$P$63:$P$71</definedName>
    <definedName name="OSRRefP22_0x_0" localSheetId="65">'313'!$P$25:$P$32</definedName>
    <definedName name="OSRRefP22_0x_0" localSheetId="57">'315'!$P$87:$P$94</definedName>
    <definedName name="OSRRefP22_0x_0" localSheetId="60">'316'!$P$34:$P$41</definedName>
    <definedName name="OSRRefP22_0x_0" localSheetId="62">'317'!$P$56:$P$64</definedName>
    <definedName name="OSRRefP22_0x_0" localSheetId="66">'321'!$P$27:$P$35</definedName>
    <definedName name="OSRRefP22_0x_0" localSheetId="67">'322'!$P$21:$P$25</definedName>
    <definedName name="OSRRefP22_0x_0" localSheetId="68">'325'!$P$24:$P$31</definedName>
    <definedName name="OSRRefP22_0x_0" localSheetId="58">'326'!$P$52:$P$59</definedName>
    <definedName name="OSRRefP22_0x_0" localSheetId="69">'327'!$P$24</definedName>
    <definedName name="OSRRefP22_0x_0" localSheetId="56">'331'!$P$88:$P$95</definedName>
    <definedName name="OSRRefP22_0x_0" localSheetId="59">'332'!$P$36:$P$43</definedName>
    <definedName name="OSRRefP22_0x_0" localSheetId="54">'333'!$P$90:$P$97</definedName>
    <definedName name="OSRRefP22_0x_0" localSheetId="73">'405'!$P$24:$P$31</definedName>
    <definedName name="OSRRefP22_0x_0" localSheetId="74">'406'!$P$20</definedName>
    <definedName name="OSRRefP22_0x_0" localSheetId="75">'411'!$P$20:$P$27</definedName>
    <definedName name="OSRRefP22_0x_0" localSheetId="76">'412'!$P$20</definedName>
    <definedName name="OSRRefP22_0x_0" localSheetId="77">'413'!$P$20:$P$24</definedName>
    <definedName name="OSRRefP22_0x_0" localSheetId="78">'414'!$P$22</definedName>
    <definedName name="OSRRefP22_0x_0" localSheetId="79">'415'!$P$24:$P$32</definedName>
    <definedName name="OSRRefP22_0x_0" localSheetId="80">'418'!$P$21:$P$28</definedName>
    <definedName name="OSRRefP22_0x_0" localSheetId="81">'420'!$P$22</definedName>
    <definedName name="OSRRefP22_0x_0" localSheetId="82">'423'!$P$20:$P$21</definedName>
    <definedName name="OSRRefP22_0x_0" localSheetId="83">'424'!$P$20</definedName>
    <definedName name="OSRRefP22_0x_0" localSheetId="84">'425'!$P$22:$P$26</definedName>
    <definedName name="OSRRefP22_0x_0" localSheetId="87">'430'!$P$20:$P$27</definedName>
    <definedName name="OSRRefP22_0x_0" localSheetId="88">'433'!$P$25:$P$33</definedName>
    <definedName name="OSRRefP22_0x_0" localSheetId="89">'435'!$P$23:$P$24</definedName>
    <definedName name="OSRRefP22_0x_0" localSheetId="90">'444'!$P$25:$P$33</definedName>
    <definedName name="OSRRefP22_0x_0" localSheetId="91">'450'!$P$25:$P$33</definedName>
    <definedName name="OSRRefP22_0x_0" localSheetId="72">'491'!$P$28:$P$36</definedName>
    <definedName name="OSRRefP22_0x_0" localSheetId="86">'492'!$P$27:$P$35</definedName>
    <definedName name="OSRRefP22_0x_0" localSheetId="93">'501'!$P$21:$P$29</definedName>
    <definedName name="OSRRefP22_0x_0" localSheetId="39">'Div 2'!$P$20:$P$30</definedName>
    <definedName name="OSRRefP22_0x_0" localSheetId="47">'Div 3'!$P$136:$P$145</definedName>
    <definedName name="OSRRefP22_0x_0" localSheetId="70">'Div 4'!$P$31:$P$39</definedName>
    <definedName name="OSRRefP22_0x_0" localSheetId="92">'Div 5'!$P$21:$P$29</definedName>
    <definedName name="OSRRefP22_0x_0" localSheetId="61">'Div 6'!$P$56:$P$64</definedName>
    <definedName name="OSRRefP22_0x_0" localSheetId="2">Summary!$P$165:$P$174</definedName>
    <definedName name="OSRRefP22_10x_0" localSheetId="41">'201'!$P$52:$P$54</definedName>
    <definedName name="OSRRefP22_10x_0" localSheetId="42">'202'!$P$54</definedName>
    <definedName name="OSRRefP22_10x_0" localSheetId="43">'203'!$P$56:$P$59</definedName>
    <definedName name="OSRRefP22_10x_0" localSheetId="48">'300'!$P$167:$P$168</definedName>
    <definedName name="OSRRefP22_10x_0" localSheetId="49">'300 &amp; 317'!$P$191:$P$192</definedName>
    <definedName name="OSRRefP22_10x_0" localSheetId="50">'301'!$P$60</definedName>
    <definedName name="OSRRefP22_10x_0" localSheetId="55">'307'!$P$74</definedName>
    <definedName name="OSRRefP22_10x_0" localSheetId="51">'308'!$P$101:$P$102</definedName>
    <definedName name="OSRRefP22_10x_0" localSheetId="64">'309'!$P$50:$P$51</definedName>
    <definedName name="OSRRefP22_10x_0" localSheetId="63">'310'!$P$68</definedName>
    <definedName name="OSRRefP22_10x_0" localSheetId="71">'310 &amp; 491'!$P$73</definedName>
    <definedName name="OSRRefP22_10x_0" localSheetId="52">'311'!$P$101:$P$102</definedName>
    <definedName name="OSRRefP22_10x_0" localSheetId="57">'315'!$P$122:$P$123</definedName>
    <definedName name="OSRRefP22_10x_0" localSheetId="60">'316'!$P$67</definedName>
    <definedName name="OSRRefP22_10x_0" localSheetId="62">'317'!$P$89:$P$92</definedName>
    <definedName name="OSRRefP22_10x_0" localSheetId="66">'321'!$P$63:$P$67</definedName>
    <definedName name="OSRRefP22_10x_0" localSheetId="68">'325'!$P$54:$P$55</definedName>
    <definedName name="OSRRefP22_10x_0" localSheetId="58">'326'!$P$84</definedName>
    <definedName name="OSRRefP22_10x_0" localSheetId="56">'331'!$P$122</definedName>
    <definedName name="OSRRefP22_10x_0" localSheetId="59">'332'!$P$69</definedName>
    <definedName name="OSRRefP22_10x_0" localSheetId="54">'333'!$P$124</definedName>
    <definedName name="OSRRefP22_10x_0" localSheetId="73">'405'!$P$55:$P$56</definedName>
    <definedName name="OSRRefP22_10x_0" localSheetId="75">'411'!$P$52:$P$55</definedName>
    <definedName name="OSRRefP22_10x_0" localSheetId="79">'415'!$P$57</definedName>
    <definedName name="OSRRefP22_10x_0" localSheetId="80">'418'!$P$53</definedName>
    <definedName name="OSRRefP22_10x_0" localSheetId="88">'433'!$P$58</definedName>
    <definedName name="OSRRefP22_10x_0" localSheetId="90">'444'!$P$58</definedName>
    <definedName name="OSRRefP22_10x_0" localSheetId="91">'450'!$P$57</definedName>
    <definedName name="OSRRefP22_10x_0" localSheetId="72">'491'!$P$62</definedName>
    <definedName name="OSRRefP22_10x_0" localSheetId="86">'492'!$P$61</definedName>
    <definedName name="OSRRefP22_10x_0" localSheetId="93">'501'!$P$59</definedName>
    <definedName name="OSRRefP22_10x_0" localSheetId="39">'Div 2'!$P$56</definedName>
    <definedName name="OSRRefP22_10x_0" localSheetId="47">'Div 3'!$P$174:$P$175</definedName>
    <definedName name="OSRRefP22_10x_0" localSheetId="70">'Div 4'!$P$66</definedName>
    <definedName name="OSRRefP22_10x_0" localSheetId="92">'Div 5'!$P$59</definedName>
    <definedName name="OSRRefP22_10x_0" localSheetId="61">'Div 6'!$P$89:$P$92</definedName>
    <definedName name="OSRRefP22_10x_0" localSheetId="2">Summary!$P$203:$P$204</definedName>
    <definedName name="OSRRefP22_11x_0" localSheetId="41">'201'!$P$56</definedName>
    <definedName name="OSRRefP22_11x_0" localSheetId="42">'202'!$P$56</definedName>
    <definedName name="OSRRefP22_11x_0" localSheetId="43">'203'!$P$61</definedName>
    <definedName name="OSRRefP22_11x_0" localSheetId="48">'300'!$P$170</definedName>
    <definedName name="OSRRefP22_11x_0" localSheetId="49">'300 &amp; 317'!$P$194</definedName>
    <definedName name="OSRRefP22_11x_0" localSheetId="50">'301'!$P$62</definedName>
    <definedName name="OSRRefP22_11x_0" localSheetId="55">'307'!$P$76:$P$79</definedName>
    <definedName name="OSRRefP22_11x_0" localSheetId="51">'308'!$P$104:$P$105</definedName>
    <definedName name="OSRRefP22_11x_0" localSheetId="64">'309'!$P$53</definedName>
    <definedName name="OSRRefP22_11x_0" localSheetId="63">'310'!$P$70:$P$71</definedName>
    <definedName name="OSRRefP22_11x_0" localSheetId="71">'310 &amp; 491'!$P$75</definedName>
    <definedName name="OSRRefP22_11x_0" localSheetId="52">'311'!$P$104:$P$105</definedName>
    <definedName name="OSRRefP22_11x_0" localSheetId="57">'315'!$P$125:$P$126</definedName>
    <definedName name="OSRRefP22_11x_0" localSheetId="60">'316'!$P$69:$P$74</definedName>
    <definedName name="OSRRefP22_11x_0" localSheetId="62">'317'!$P$94</definedName>
    <definedName name="OSRRefP22_11x_0" localSheetId="66">'321'!$P$69</definedName>
    <definedName name="OSRRefP22_11x_0" localSheetId="68">'325'!$P$57:$P$60</definedName>
    <definedName name="OSRRefP22_11x_0" localSheetId="58">'326'!$P$86:$P$88</definedName>
    <definedName name="OSRRefP22_11x_0" localSheetId="56">'331'!$P$124:$P$125</definedName>
    <definedName name="OSRRefP22_11x_0" localSheetId="59">'332'!$P$71:$P$76</definedName>
    <definedName name="OSRRefP22_11x_0" localSheetId="54">'333'!$P$126:$P$127</definedName>
    <definedName name="OSRRefP22_11x_0" localSheetId="73">'405'!$P$58:$P$61</definedName>
    <definedName name="OSRRefP22_11x_0" localSheetId="75">'411'!$P$57:$P$59</definedName>
    <definedName name="OSRRefP22_11x_0" localSheetId="79">'415'!$P$59:$P$60</definedName>
    <definedName name="OSRRefP22_11x_0" localSheetId="80">'418'!$P$55:$P$60</definedName>
    <definedName name="OSRRefP22_11x_0" localSheetId="88">'433'!$P$60:$P$61</definedName>
    <definedName name="OSRRefP22_11x_0" localSheetId="90">'444'!$P$60:$P$61</definedName>
    <definedName name="OSRRefP22_11x_0" localSheetId="91">'450'!$P$59</definedName>
    <definedName name="OSRRefP22_11x_0" localSheetId="72">'491'!$P$64</definedName>
    <definedName name="OSRRefP22_11x_0" localSheetId="86">'492'!$P$63</definedName>
    <definedName name="OSRRefP22_11x_0" localSheetId="39">'Div 2'!$P$58</definedName>
    <definedName name="OSRRefP22_11x_0" localSheetId="47">'Div 3'!$P$177</definedName>
    <definedName name="OSRRefP22_11x_0" localSheetId="70">'Div 4'!$P$68</definedName>
    <definedName name="OSRRefP22_11x_0" localSheetId="61">'Div 6'!$P$94</definedName>
    <definedName name="OSRRefP22_11x_0" localSheetId="2">Summary!$P$206</definedName>
    <definedName name="OSRRefP22_12x_0" localSheetId="41">'201'!$P$58:$P$59</definedName>
    <definedName name="OSRRefP22_12x_0" localSheetId="42">'202'!$P$58</definedName>
    <definedName name="OSRRefP22_12x_0" localSheetId="43">'203'!$P$63</definedName>
    <definedName name="OSRRefP22_12x_0" localSheetId="48">'300'!$P$172</definedName>
    <definedName name="OSRRefP22_12x_0" localSheetId="49">'300 &amp; 317'!$P$196</definedName>
    <definedName name="OSRRefP22_12x_0" localSheetId="50">'301'!$P$64</definedName>
    <definedName name="OSRRefP22_12x_0" localSheetId="55">'307'!$P$81</definedName>
    <definedName name="OSRRefP22_12x_0" localSheetId="51">'308'!$P$107:$P$108</definedName>
    <definedName name="OSRRefP22_12x_0" localSheetId="64">'309'!$P$55</definedName>
    <definedName name="OSRRefP22_12x_0" localSheetId="63">'310'!$P$73</definedName>
    <definedName name="OSRRefP22_12x_0" localSheetId="71">'310 &amp; 491'!$P$77</definedName>
    <definedName name="OSRRefP22_12x_0" localSheetId="52">'311'!$P$107:$P$108</definedName>
    <definedName name="OSRRefP22_12x_0" localSheetId="57">'315'!$P$128:$P$129</definedName>
    <definedName name="OSRRefP22_12x_0" localSheetId="60">'316'!$P$76</definedName>
    <definedName name="OSRRefP22_12x_0" localSheetId="62">'317'!$P$96</definedName>
    <definedName name="OSRRefP22_12x_0" localSheetId="66">'321'!$P$71</definedName>
    <definedName name="OSRRefP22_12x_0" localSheetId="68">'325'!$P$62:$P$67</definedName>
    <definedName name="OSRRefP22_12x_0" localSheetId="58">'326'!$P$90:$P$92</definedName>
    <definedName name="OSRRefP22_12x_0" localSheetId="56">'331'!$P$127</definedName>
    <definedName name="OSRRefP22_12x_0" localSheetId="59">'332'!$P$78</definedName>
    <definedName name="OSRRefP22_12x_0" localSheetId="54">'333'!$P$129</definedName>
    <definedName name="OSRRefP22_12x_0" localSheetId="73">'405'!$P$63</definedName>
    <definedName name="OSRRefP22_12x_0" localSheetId="75">'411'!$P$61</definedName>
    <definedName name="OSRRefP22_12x_0" localSheetId="79">'415'!$P$62:$P$65</definedName>
    <definedName name="OSRRefP22_12x_0" localSheetId="80">'418'!$P$62</definedName>
    <definedName name="OSRRefP22_12x_0" localSheetId="88">'433'!$P$63:$P$65</definedName>
    <definedName name="OSRRefP22_12x_0" localSheetId="90">'444'!$P$63:$P$66</definedName>
    <definedName name="OSRRefP22_12x_0" localSheetId="91">'450'!$P$61:$P$62</definedName>
    <definedName name="OSRRefP22_12x_0" localSheetId="72">'491'!$P$66</definedName>
    <definedName name="OSRRefP22_12x_0" localSheetId="86">'492'!$P$65:$P$67</definedName>
    <definedName name="OSRRefP22_12x_0" localSheetId="39">'Div 2'!$P$60:$P$62</definedName>
    <definedName name="OSRRefP22_12x_0" localSheetId="47">'Div 3'!$P$179</definedName>
    <definedName name="OSRRefP22_12x_0" localSheetId="70">'Div 4'!$P$70</definedName>
    <definedName name="OSRRefP22_12x_0" localSheetId="61">'Div 6'!$P$96</definedName>
    <definedName name="OSRRefP22_12x_0" localSheetId="2">Summary!$P$208</definedName>
    <definedName name="OSRRefP22_13x_0" localSheetId="41">'201'!$P$61</definedName>
    <definedName name="OSRRefP22_13x_0" localSheetId="43">'203'!$P$65</definedName>
    <definedName name="OSRRefP22_13x_0" localSheetId="48">'300'!$P$174:$P$175</definedName>
    <definedName name="OSRRefP22_13x_0" localSheetId="49">'300 &amp; 317'!$P$198:$P$199</definedName>
    <definedName name="OSRRefP22_13x_0" localSheetId="50">'301'!$P$66</definedName>
    <definedName name="OSRRefP22_13x_0" localSheetId="55">'307'!$P$83</definedName>
    <definedName name="OSRRefP22_13x_0" localSheetId="51">'308'!$P$110</definedName>
    <definedName name="OSRRefP22_13x_0" localSheetId="63">'310'!$P$75:$P$78</definedName>
    <definedName name="OSRRefP22_13x_0" localSheetId="71">'310 &amp; 491'!$P$79:$P$82</definedName>
    <definedName name="OSRRefP22_13x_0" localSheetId="52">'311'!$P$110</definedName>
    <definedName name="OSRRefP22_13x_0" localSheetId="57">'315'!$P$131:$P$135</definedName>
    <definedName name="OSRRefP22_13x_0" localSheetId="60">'316'!$P$78</definedName>
    <definedName name="OSRRefP22_13x_0" localSheetId="66">'321'!$P$73</definedName>
    <definedName name="OSRRefP22_13x_0" localSheetId="68">'325'!$P$69</definedName>
    <definedName name="OSRRefP22_13x_0" localSheetId="58">'326'!$P$94:$P$95</definedName>
    <definedName name="OSRRefP22_13x_0" localSheetId="56">'331'!$P$129</definedName>
    <definedName name="OSRRefP22_13x_0" localSheetId="59">'332'!$P$80</definedName>
    <definedName name="OSRRefP22_13x_0" localSheetId="54">'333'!$P$131</definedName>
    <definedName name="OSRRefP22_13x_0" localSheetId="73">'405'!$P$65:$P$73</definedName>
    <definedName name="OSRRefP22_13x_0" localSheetId="75">'411'!$P$63:$P$64</definedName>
    <definedName name="OSRRefP22_13x_0" localSheetId="79">'415'!$P$67</definedName>
    <definedName name="OSRRefP22_13x_0" localSheetId="80">'418'!$P$64</definedName>
    <definedName name="OSRRefP22_13x_0" localSheetId="88">'433'!$P$67:$P$74</definedName>
    <definedName name="OSRRefP22_13x_0" localSheetId="90">'444'!$P$68</definedName>
    <definedName name="OSRRefP22_13x_0" localSheetId="91">'450'!$P$64:$P$66</definedName>
    <definedName name="OSRRefP22_13x_0" localSheetId="72">'491'!$P$68:$P$71</definedName>
    <definedName name="OSRRefP22_13x_0" localSheetId="86">'492'!$P$69:$P$72</definedName>
    <definedName name="OSRRefP22_13x_0" localSheetId="39">'Div 2'!$P$64:$P$67</definedName>
    <definedName name="OSRRefP22_13x_0" localSheetId="47">'Div 3'!$P$181</definedName>
    <definedName name="OSRRefP22_13x_0" localSheetId="70">'Div 4'!$P$72</definedName>
    <definedName name="OSRRefP22_13x_0" localSheetId="2">Summary!$P$210</definedName>
    <definedName name="OSRRefP22_14x_0" localSheetId="41">'201'!$P$63</definedName>
    <definedName name="OSRRefP22_14x_0" localSheetId="48">'300'!$P$177</definedName>
    <definedName name="OSRRefP22_14x_0" localSheetId="49">'300 &amp; 317'!$P$201</definedName>
    <definedName name="OSRRefP22_14x_0" localSheetId="50">'301'!$P$68</definedName>
    <definedName name="OSRRefP22_14x_0" localSheetId="51">'308'!$P$112</definedName>
    <definedName name="OSRRefP22_14x_0" localSheetId="63">'310'!$P$80:$P$85</definedName>
    <definedName name="OSRRefP22_14x_0" localSheetId="71">'310 &amp; 491'!$P$84</definedName>
    <definedName name="OSRRefP22_14x_0" localSheetId="52">'311'!$P$112</definedName>
    <definedName name="OSRRefP22_14x_0" localSheetId="57">'315'!$P$137</definedName>
    <definedName name="OSRRefP22_14x_0" localSheetId="68">'325'!$P$71</definedName>
    <definedName name="OSRRefP22_14x_0" localSheetId="58">'326'!$P$97:$P$100</definedName>
    <definedName name="OSRRefP22_14x_0" localSheetId="56">'331'!$P$131:$P$133</definedName>
    <definedName name="OSRRefP22_14x_0" localSheetId="54">'333'!$P$133:$P$135</definedName>
    <definedName name="OSRRefP22_14x_0" localSheetId="73">'405'!$P$75</definedName>
    <definedName name="OSRRefP22_14x_0" localSheetId="75">'411'!$P$66</definedName>
    <definedName name="OSRRefP22_14x_0" localSheetId="79">'415'!$P$69:$P$74</definedName>
    <definedName name="OSRRefP22_14x_0" localSheetId="88">'433'!$P$76</definedName>
    <definedName name="OSRRefP22_14x_0" localSheetId="90">'444'!$P$70:$P$77</definedName>
    <definedName name="OSRRefP22_14x_0" localSheetId="91">'450'!$P$68:$P$73</definedName>
    <definedName name="OSRRefP22_14x_0" localSheetId="72">'491'!$P$73</definedName>
    <definedName name="OSRRefP22_14x_0" localSheetId="86">'492'!$P$74</definedName>
    <definedName name="OSRRefP22_14x_0" localSheetId="39">'Div 2'!$P$69</definedName>
    <definedName name="OSRRefP22_14x_0" localSheetId="47">'Div 3'!$P$183:$P$184</definedName>
    <definedName name="OSRRefP22_14x_0" localSheetId="70">'Div 4'!$P$74</definedName>
    <definedName name="OSRRefP22_14x_0" localSheetId="2">Summary!$P$212:$P$213</definedName>
    <definedName name="OSRRefP22_15x_0" localSheetId="48">'300'!$P$179</definedName>
    <definedName name="OSRRefP22_15x_0" localSheetId="49">'300 &amp; 317'!$P$203</definedName>
    <definedName name="OSRRefP22_15x_0" localSheetId="50">'301'!$P$70:$P$73</definedName>
    <definedName name="OSRRefP22_15x_0" localSheetId="63">'310'!$P$87</definedName>
    <definedName name="OSRRefP22_15x_0" localSheetId="71">'310 &amp; 491'!$P$86:$P$89</definedName>
    <definedName name="OSRRefP22_15x_0" localSheetId="57">'315'!$P$139</definedName>
    <definedName name="OSRRefP22_15x_0" localSheetId="68">'325'!$P$73</definedName>
    <definedName name="OSRRefP22_15x_0" localSheetId="58">'326'!$P$102</definedName>
    <definedName name="OSRRefP22_15x_0" localSheetId="56">'331'!$P$135:$P$136</definedName>
    <definedName name="OSRRefP22_15x_0" localSheetId="54">'333'!$P$137:$P$138</definedName>
    <definedName name="OSRRefP22_15x_0" localSheetId="73">'405'!$P$77</definedName>
    <definedName name="OSRRefP22_15x_0" localSheetId="75">'411'!$P$68:$P$69</definedName>
    <definedName name="OSRRefP22_15x_0" localSheetId="79">'415'!$P$76</definedName>
    <definedName name="OSRRefP22_15x_0" localSheetId="88">'433'!$P$78</definedName>
    <definedName name="OSRRefP22_15x_0" localSheetId="90">'444'!$P$79</definedName>
    <definedName name="OSRRefP22_15x_0" localSheetId="91">'450'!$P$75</definedName>
    <definedName name="OSRRefP22_15x_0" localSheetId="72">'491'!$P$75:$P$78</definedName>
    <definedName name="OSRRefP22_15x_0" localSheetId="86">'492'!$P$76:$P$83</definedName>
    <definedName name="OSRRefP22_15x_0" localSheetId="39">'Div 2'!$P$71:$P$72</definedName>
    <definedName name="OSRRefP22_15x_0" localSheetId="47">'Div 3'!$P$186</definedName>
    <definedName name="OSRRefP22_15x_0" localSheetId="70">'Div 4'!$P$76:$P$79</definedName>
    <definedName name="OSRRefP22_15x_0" localSheetId="2">Summary!$P$215</definedName>
    <definedName name="OSRRefP22_16x_0" localSheetId="48">'300'!$P$181:$P$184</definedName>
    <definedName name="OSRRefP22_16x_0" localSheetId="49">'300 &amp; 317'!$P$205:$P$208</definedName>
    <definedName name="OSRRefP22_16x_0" localSheetId="50">'301'!$P$75:$P$77</definedName>
    <definedName name="OSRRefP22_16x_0" localSheetId="63">'310'!$P$89</definedName>
    <definedName name="OSRRefP22_16x_0" localSheetId="71">'310 &amp; 491'!$P$91</definedName>
    <definedName name="OSRRefP22_16x_0" localSheetId="57">'315'!$P$141</definedName>
    <definedName name="OSRRefP22_16x_0" localSheetId="58">'326'!$P$104</definedName>
    <definedName name="OSRRefP22_16x_0" localSheetId="56">'331'!$P$138:$P$140</definedName>
    <definedName name="OSRRefP22_16x_0" localSheetId="54">'333'!$P$140:$P$143</definedName>
    <definedName name="OSRRefP22_16x_0" localSheetId="73">'405'!$P$79</definedName>
    <definedName name="OSRRefP22_16x_0" localSheetId="75">'411'!$P$71</definedName>
    <definedName name="OSRRefP22_16x_0" localSheetId="79">'415'!$P$78</definedName>
    <definedName name="OSRRefP22_16x_0" localSheetId="90">'444'!$P$81</definedName>
    <definedName name="OSRRefP22_16x_0" localSheetId="91">'450'!$P$77</definedName>
    <definedName name="OSRRefP22_16x_0" localSheetId="72">'491'!$P$80</definedName>
    <definedName name="OSRRefP22_16x_0" localSheetId="86">'492'!$P$85</definedName>
    <definedName name="OSRRefP22_16x_0" localSheetId="39">'Div 2'!$P$74:$P$78</definedName>
    <definedName name="OSRRefP22_16x_0" localSheetId="47">'Div 3'!$P$188</definedName>
    <definedName name="OSRRefP22_16x_0" localSheetId="70">'Div 4'!$P$81</definedName>
    <definedName name="OSRRefP22_16x_0" localSheetId="2">Summary!$P$217</definedName>
    <definedName name="OSRRefP22_17x_0" localSheetId="48">'300'!$P$186:$P$188</definedName>
    <definedName name="OSRRefP22_17x_0" localSheetId="49">'300 &amp; 317'!$P$210:$P$212</definedName>
    <definedName name="OSRRefP22_17x_0" localSheetId="50">'301'!$P$79</definedName>
    <definedName name="OSRRefP22_17x_0" localSheetId="63">'310'!$P$91</definedName>
    <definedName name="OSRRefP22_17x_0" localSheetId="71">'310 &amp; 491'!$P$93:$P$101</definedName>
    <definedName name="OSRRefP22_17x_0" localSheetId="58">'326'!$P$106</definedName>
    <definedName name="OSRRefP22_17x_0" localSheetId="56">'331'!$P$142:$P$143</definedName>
    <definedName name="OSRRefP22_17x_0" localSheetId="54">'333'!$P$145:$P$146</definedName>
    <definedName name="OSRRefP22_17x_0" localSheetId="79">'415'!$P$80</definedName>
    <definedName name="OSRRefP22_17x_0" localSheetId="90">'444'!$P$83</definedName>
    <definedName name="OSRRefP22_17x_0" localSheetId="91">'450'!$P$79</definedName>
    <definedName name="OSRRefP22_17x_0" localSheetId="72">'491'!$P$82:$P$90</definedName>
    <definedName name="OSRRefP22_17x_0" localSheetId="86">'492'!$P$87</definedName>
    <definedName name="OSRRefP22_17x_0" localSheetId="39">'Div 2'!$P$80:$P$81</definedName>
    <definedName name="OSRRefP22_17x_0" localSheetId="47">'Div 3'!$P$190:$P$193</definedName>
    <definedName name="OSRRefP22_17x_0" localSheetId="70">'Div 4'!$P$83:$P$86</definedName>
    <definedName name="OSRRefP22_17x_0" localSheetId="2">Summary!$P$219</definedName>
    <definedName name="OSRRefP22_18x_0" localSheetId="48">'300'!$P$190:$P$193</definedName>
    <definedName name="OSRRefP22_18x_0" localSheetId="49">'300 &amp; 317'!$P$214:$P$217</definedName>
    <definedName name="OSRRefP22_18x_0" localSheetId="50">'301'!$P$81:$P$86</definedName>
    <definedName name="OSRRefP22_18x_0" localSheetId="71">'310 &amp; 491'!$P$103</definedName>
    <definedName name="OSRRefP22_18x_0" localSheetId="56">'331'!$P$145:$P$150</definedName>
    <definedName name="OSRRefP22_18x_0" localSheetId="54">'333'!$P$148:$P$153</definedName>
    <definedName name="OSRRefP22_18x_0" localSheetId="72">'491'!$P$92</definedName>
    <definedName name="OSRRefP22_18x_0" localSheetId="86">'492'!$P$89:$P$91</definedName>
    <definedName name="OSRRefP22_18x_0" localSheetId="39">'Div 2'!$P$83</definedName>
    <definedName name="OSRRefP22_18x_0" localSheetId="47">'Div 3'!$P$195:$P$197</definedName>
    <definedName name="OSRRefP22_18x_0" localSheetId="70">'Div 4'!$P$88:$P$89</definedName>
    <definedName name="OSRRefP22_18x_0" localSheetId="2">Summary!$P$221:$P$224</definedName>
    <definedName name="OSRRefP22_19x_0" localSheetId="48">'300'!$P$195:$P$196</definedName>
    <definedName name="OSRRefP22_19x_0" localSheetId="49">'300 &amp; 317'!$P$219:$P$220</definedName>
    <definedName name="OSRRefP22_19x_0" localSheetId="50">'301'!$P$88</definedName>
    <definedName name="OSRRefP22_19x_0" localSheetId="71">'310 &amp; 491'!$P$105</definedName>
    <definedName name="OSRRefP22_19x_0" localSheetId="56">'331'!$P$152</definedName>
    <definedName name="OSRRefP22_19x_0" localSheetId="54">'333'!$P$155</definedName>
    <definedName name="OSRRefP22_19x_0" localSheetId="72">'491'!$P$94</definedName>
    <definedName name="OSRRefP22_19x_0" localSheetId="39">'Div 2'!$P$85:$P$86</definedName>
    <definedName name="OSRRefP22_19x_0" localSheetId="47">'Div 3'!$P$199:$P$203</definedName>
    <definedName name="OSRRefP22_19x_0" localSheetId="70">'Div 4'!$P$91:$P$99</definedName>
    <definedName name="OSRRefP22_19x_0" localSheetId="2">Summary!$P$226:$P$228</definedName>
    <definedName name="OSRRefP22_1x_0" localSheetId="40">'200'!$P$22</definedName>
    <definedName name="OSRRefP22_1x_0" localSheetId="41">'201'!$P$29:$P$32</definedName>
    <definedName name="OSRRefP22_1x_0" localSheetId="42">'202'!$P$29:$P$31</definedName>
    <definedName name="OSRRefP22_1x_0" localSheetId="43">'203'!$P$31:$P$35</definedName>
    <definedName name="OSRRefP22_1x_0" localSheetId="44">'204'!$P$30:$P$32</definedName>
    <definedName name="OSRRefP22_1x_0" localSheetId="45">'205'!$P$29</definedName>
    <definedName name="OSRRefP22_1x_0" localSheetId="46">'206'!$P$29:$P$32</definedName>
    <definedName name="OSRRefP22_1x_0" localSheetId="48">'300'!$P$140:$P$146</definedName>
    <definedName name="OSRRefP22_1x_0" localSheetId="49">'300 &amp; 317'!$P$164:$P$170</definedName>
    <definedName name="OSRRefP22_1x_0" localSheetId="50">'301'!$P$33:$P$39</definedName>
    <definedName name="OSRRefP22_1x_0" localSheetId="55">'307'!$P$50:$P$53</definedName>
    <definedName name="OSRRefP22_1x_0" localSheetId="51">'308'!$P$73:$P$79</definedName>
    <definedName name="OSRRefP22_1x_0" localSheetId="64">'309'!$P$29:$P$30</definedName>
    <definedName name="OSRRefP22_1x_0" localSheetId="63">'310'!$P$44:$P$49</definedName>
    <definedName name="OSRRefP22_1x_0" localSheetId="71">'310 &amp; 491'!$P$47:$P$53</definedName>
    <definedName name="OSRRefP22_1x_0" localSheetId="52">'311'!$P$73:$P$79</definedName>
    <definedName name="OSRRefP22_1x_0" localSheetId="65">'313'!$P$34</definedName>
    <definedName name="OSRRefP22_1x_0" localSheetId="57">'315'!$P$96:$P$101</definedName>
    <definedName name="OSRRefP22_1x_0" localSheetId="60">'316'!$P$43:$P$46</definedName>
    <definedName name="OSRRefP22_1x_0" localSheetId="62">'317'!$P$66:$P$70</definedName>
    <definedName name="OSRRefP22_1x_0" localSheetId="66">'321'!$P$37:$P$42</definedName>
    <definedName name="OSRRefP22_1x_0" localSheetId="67">'322'!$P$27</definedName>
    <definedName name="OSRRefP22_1x_0" localSheetId="68">'325'!$P$33:$P$35</definedName>
    <definedName name="OSRRefP22_1x_0" localSheetId="58">'326'!$P$61:$P$66</definedName>
    <definedName name="OSRRefP22_1x_0" localSheetId="69">'327'!$P$26</definedName>
    <definedName name="OSRRefP22_1x_0" localSheetId="56">'331'!$P$97:$P$102</definedName>
    <definedName name="OSRRefP22_1x_0" localSheetId="59">'332'!$P$45:$P$48</definedName>
    <definedName name="OSRRefP22_1x_0" localSheetId="54">'333'!$P$99:$P$104</definedName>
    <definedName name="OSRRefP22_1x_0" localSheetId="73">'405'!$P$33:$P$36</definedName>
    <definedName name="OSRRefP22_1x_0" localSheetId="74">'406'!$P$22</definedName>
    <definedName name="OSRRefP22_1x_0" localSheetId="75">'411'!$P$29:$P$33</definedName>
    <definedName name="OSRRefP22_1x_0" localSheetId="76">'412'!$P$22</definedName>
    <definedName name="OSRRefP22_1x_0" localSheetId="77">'413'!$P$26</definedName>
    <definedName name="OSRRefP22_1x_0" localSheetId="78">'414'!$P$24</definedName>
    <definedName name="OSRRefP22_1x_0" localSheetId="79">'415'!$P$34:$P$38</definedName>
    <definedName name="OSRRefP22_1x_0" localSheetId="80">'418'!$P$30:$P$33</definedName>
    <definedName name="OSRRefP22_1x_0" localSheetId="81">'420'!$P$24</definedName>
    <definedName name="OSRRefP22_1x_0" localSheetId="82">'423'!$P$23</definedName>
    <definedName name="OSRRefP22_1x_0" localSheetId="83">'424'!$P$22</definedName>
    <definedName name="OSRRefP22_1x_0" localSheetId="84">'425'!$P$28</definedName>
    <definedName name="OSRRefP22_1x_0" localSheetId="87">'430'!$P$29</definedName>
    <definedName name="OSRRefP22_1x_0" localSheetId="88">'433'!$P$35:$P$40</definedName>
    <definedName name="OSRRefP22_1x_0" localSheetId="89">'435'!$P$26</definedName>
    <definedName name="OSRRefP22_1x_0" localSheetId="90">'444'!$P$35:$P$40</definedName>
    <definedName name="OSRRefP22_1x_0" localSheetId="91">'450'!$P$35:$P$39</definedName>
    <definedName name="OSRRefP22_1x_0" localSheetId="72">'491'!$P$38:$P$43</definedName>
    <definedName name="OSRRefP22_1x_0" localSheetId="86">'492'!$P$37:$P$43</definedName>
    <definedName name="OSRRefP22_1x_0" localSheetId="93">'501'!$P$31:$P$36</definedName>
    <definedName name="OSRRefP22_1x_0" localSheetId="39">'Div 2'!$P$32:$P$37</definedName>
    <definedName name="OSRRefP22_1x_0" localSheetId="47">'Div 3'!$P$147:$P$153</definedName>
    <definedName name="OSRRefP22_1x_0" localSheetId="70">'Div 4'!$P$41:$P$47</definedName>
    <definedName name="OSRRefP22_1x_0" localSheetId="92">'Div 5'!$P$31:$P$36</definedName>
    <definedName name="OSRRefP22_1x_0" localSheetId="61">'Div 6'!$P$66:$P$70</definedName>
    <definedName name="OSRRefP22_1x_0" localSheetId="2">Summary!$P$176:$P$182</definedName>
    <definedName name="OSRRefP22_20x_0" localSheetId="48">'300'!$P$198:$P$204</definedName>
    <definedName name="OSRRefP22_20x_0" localSheetId="49">'300 &amp; 317'!$P$222:$P$228</definedName>
    <definedName name="OSRRefP22_20x_0" localSheetId="50">'301'!$P$90</definedName>
    <definedName name="OSRRefP22_20x_0" localSheetId="71">'310 &amp; 491'!$P$107:$P$108</definedName>
    <definedName name="OSRRefP22_20x_0" localSheetId="56">'331'!$P$154</definedName>
    <definedName name="OSRRefP22_20x_0" localSheetId="54">'333'!$P$157</definedName>
    <definedName name="OSRRefP22_20x_0" localSheetId="72">'491'!$P$96:$P$97</definedName>
    <definedName name="OSRRefP22_20x_0" localSheetId="47">'Div 3'!$P$205:$P$206</definedName>
    <definedName name="OSRRefP22_20x_0" localSheetId="70">'Div 4'!$P$101</definedName>
    <definedName name="OSRRefP22_20x_0" localSheetId="2">Summary!$P$230:$P$234</definedName>
    <definedName name="OSRRefP22_21x_0" localSheetId="48">'300'!$P$206:$P$207</definedName>
    <definedName name="OSRRefP22_21x_0" localSheetId="49">'300 &amp; 317'!$P$230:$P$231</definedName>
    <definedName name="OSRRefP22_21x_0" localSheetId="50">'301'!$P$92:$P$93</definedName>
    <definedName name="OSRRefP22_21x_0" localSheetId="71">'310 &amp; 491'!$P$110</definedName>
    <definedName name="OSRRefP22_21x_0" localSheetId="56">'331'!$P$156</definedName>
    <definedName name="OSRRefP22_21x_0" localSheetId="54">'333'!$P$159</definedName>
    <definedName name="OSRRefP22_21x_0" localSheetId="72">'491'!$P$99</definedName>
    <definedName name="OSRRefP22_21x_0" localSheetId="47">'Div 3'!$P$208:$P$214</definedName>
    <definedName name="OSRRefP22_21x_0" localSheetId="70">'Div 4'!$P$103</definedName>
    <definedName name="OSRRefP22_21x_0" localSheetId="2">Summary!$P$236:$P$237</definedName>
    <definedName name="OSRRefP22_22x_0" localSheetId="48">'300'!$P$209</definedName>
    <definedName name="OSRRefP22_22x_0" localSheetId="49">'300 &amp; 317'!$P$233</definedName>
    <definedName name="OSRRefP22_22x_0" localSheetId="50">'301'!$P$95</definedName>
    <definedName name="OSRRefP22_22x_0" localSheetId="56">'331'!$P$158</definedName>
    <definedName name="OSRRefP22_22x_0" localSheetId="54">'333'!$P$161</definedName>
    <definedName name="OSRRefP22_22x_0" localSheetId="47">'Div 3'!$P$216:$P$217</definedName>
    <definedName name="OSRRefP22_22x_0" localSheetId="70">'Div 4'!$P$105:$P$107</definedName>
    <definedName name="OSRRefP22_22x_0" localSheetId="2">Summary!$P$239:$P$247</definedName>
    <definedName name="OSRRefP22_23x_0" localSheetId="48">'300'!$P$211:$P$213</definedName>
    <definedName name="OSRRefP22_23x_0" localSheetId="49">'300 &amp; 317'!$P$235:$P$237</definedName>
    <definedName name="OSRRefP22_23x_0" localSheetId="47">'Div 3'!$P$219</definedName>
    <definedName name="OSRRefP22_23x_0" localSheetId="70">'Div 4'!$P$109</definedName>
    <definedName name="OSRRefP22_23x_0" localSheetId="2">Summary!$P$249:$P$250</definedName>
    <definedName name="OSRRefP22_24x_0" localSheetId="48">'300'!$P$215</definedName>
    <definedName name="OSRRefP22_24x_0" localSheetId="49">'300 &amp; 317'!$P$239</definedName>
    <definedName name="OSRRefP22_24x_0" localSheetId="47">'Div 3'!$P$221:$P$223</definedName>
    <definedName name="OSRRefP22_24x_0" localSheetId="2">Summary!$P$252</definedName>
    <definedName name="OSRRefP22_25x_0" localSheetId="47">'Div 3'!$P$225</definedName>
    <definedName name="OSRRefP22_25x_0" localSheetId="2">Summary!$P$254:$P$256</definedName>
    <definedName name="OSRRefP22_26x_0" localSheetId="2">Summary!$P$258</definedName>
    <definedName name="OSRRefP22_2x_0" localSheetId="40">'200'!$P$24</definedName>
    <definedName name="OSRRefP22_2x_0" localSheetId="41">'201'!$P$34</definedName>
    <definedName name="OSRRefP22_2x_0" localSheetId="42">'202'!$P$33</definedName>
    <definedName name="OSRRefP22_2x_0" localSheetId="43">'203'!$P$37</definedName>
    <definedName name="OSRRefP22_2x_0" localSheetId="44">'204'!$P$34</definedName>
    <definedName name="OSRRefP22_2x_0" localSheetId="45">'205'!$P$31</definedName>
    <definedName name="OSRRefP22_2x_0" localSheetId="46">'206'!$P$34</definedName>
    <definedName name="OSRRefP22_2x_0" localSheetId="48">'300'!$P$148</definedName>
    <definedName name="OSRRefP22_2x_0" localSheetId="49">'300 &amp; 317'!$P$172</definedName>
    <definedName name="OSRRefP22_2x_0" localSheetId="50">'301'!$P$41</definedName>
    <definedName name="OSRRefP22_2x_0" localSheetId="55">'307'!$P$55</definedName>
    <definedName name="OSRRefP22_2x_0" localSheetId="51">'308'!$P$81</definedName>
    <definedName name="OSRRefP22_2x_0" localSheetId="64">'309'!$P$32</definedName>
    <definedName name="OSRRefP22_2x_0" localSheetId="63">'310'!$P$51</definedName>
    <definedName name="OSRRefP22_2x_0" localSheetId="71">'310 &amp; 491'!$P$55</definedName>
    <definedName name="OSRRefP22_2x_0" localSheetId="52">'311'!$P$81</definedName>
    <definedName name="OSRRefP22_2x_0" localSheetId="65">'313'!$P$36</definedName>
    <definedName name="OSRRefP22_2x_0" localSheetId="57">'315'!$P$103</definedName>
    <definedName name="OSRRefP22_2x_0" localSheetId="60">'316'!$P$48</definedName>
    <definedName name="OSRRefP22_2x_0" localSheetId="62">'317'!$P$72</definedName>
    <definedName name="OSRRefP22_2x_0" localSheetId="66">'321'!$P$44</definedName>
    <definedName name="OSRRefP22_2x_0" localSheetId="67">'322'!$P$29</definedName>
    <definedName name="OSRRefP22_2x_0" localSheetId="68">'325'!$P$37</definedName>
    <definedName name="OSRRefP22_2x_0" localSheetId="58">'326'!$P$68</definedName>
    <definedName name="OSRRefP22_2x_0" localSheetId="56">'331'!$P$104</definedName>
    <definedName name="OSRRefP22_2x_0" localSheetId="59">'332'!$P$50</definedName>
    <definedName name="OSRRefP22_2x_0" localSheetId="54">'333'!$P$106</definedName>
    <definedName name="OSRRefP22_2x_0" localSheetId="73">'405'!$P$38</definedName>
    <definedName name="OSRRefP22_2x_0" localSheetId="74">'406'!$P$24</definedName>
    <definedName name="OSRRefP22_2x_0" localSheetId="75">'411'!$P$35</definedName>
    <definedName name="OSRRefP22_2x_0" localSheetId="76">'412'!$P$24</definedName>
    <definedName name="OSRRefP22_2x_0" localSheetId="77">'413'!$P$28</definedName>
    <definedName name="OSRRefP22_2x_0" localSheetId="78">'414'!$P$26</definedName>
    <definedName name="OSRRefP22_2x_0" localSheetId="79">'415'!$P$40</definedName>
    <definedName name="OSRRefP22_2x_0" localSheetId="80">'418'!$P$35</definedName>
    <definedName name="OSRRefP22_2x_0" localSheetId="82">'423'!$P$25</definedName>
    <definedName name="OSRRefP22_2x_0" localSheetId="83">'424'!$P$24</definedName>
    <definedName name="OSRRefP22_2x_0" localSheetId="84">'425'!$P$30</definedName>
    <definedName name="OSRRefP22_2x_0" localSheetId="87">'430'!$P$31</definedName>
    <definedName name="OSRRefP22_2x_0" localSheetId="88">'433'!$P$42</definedName>
    <definedName name="OSRRefP22_2x_0" localSheetId="89">'435'!$P$28</definedName>
    <definedName name="OSRRefP22_2x_0" localSheetId="90">'444'!$P$42</definedName>
    <definedName name="OSRRefP22_2x_0" localSheetId="91">'450'!$P$41</definedName>
    <definedName name="OSRRefP22_2x_0" localSheetId="72">'491'!$P$45</definedName>
    <definedName name="OSRRefP22_2x_0" localSheetId="86">'492'!$P$45</definedName>
    <definedName name="OSRRefP22_2x_0" localSheetId="93">'501'!$P$38</definedName>
    <definedName name="OSRRefP22_2x_0" localSheetId="39">'Div 2'!$P$39</definedName>
    <definedName name="OSRRefP22_2x_0" localSheetId="47">'Div 3'!$P$155</definedName>
    <definedName name="OSRRefP22_2x_0" localSheetId="70">'Div 4'!$P$49</definedName>
    <definedName name="OSRRefP22_2x_0" localSheetId="92">'Div 5'!$P$38</definedName>
    <definedName name="OSRRefP22_2x_0" localSheetId="61">'Div 6'!$P$72</definedName>
    <definedName name="OSRRefP22_2x_0" localSheetId="2">Summary!$P$184</definedName>
    <definedName name="OSRRefP22_3x_0" localSheetId="40">'200'!$P$26</definedName>
    <definedName name="OSRRefP22_3x_0" localSheetId="41">'201'!$P$36</definedName>
    <definedName name="OSRRefP22_3x_0" localSheetId="42">'202'!$P$35</definedName>
    <definedName name="OSRRefP22_3x_0" localSheetId="43">'203'!$P$39</definedName>
    <definedName name="OSRRefP22_3x_0" localSheetId="44">'204'!$P$36</definedName>
    <definedName name="OSRRefP22_3x_0" localSheetId="45">'205'!$P$33</definedName>
    <definedName name="OSRRefP22_3x_0" localSheetId="46">'206'!$P$36</definedName>
    <definedName name="OSRRefP22_3x_0" localSheetId="48">'300'!$P$150:$P$151</definedName>
    <definedName name="OSRRefP22_3x_0" localSheetId="49">'300 &amp; 317'!$P$174:$P$175</definedName>
    <definedName name="OSRRefP22_3x_0" localSheetId="50">'301'!$P$43:$P$44</definedName>
    <definedName name="OSRRefP22_3x_0" localSheetId="55">'307'!$P$57</definedName>
    <definedName name="OSRRefP22_3x_0" localSheetId="51">'308'!$P$83:$P$84</definedName>
    <definedName name="OSRRefP22_3x_0" localSheetId="64">'309'!$P$34</definedName>
    <definedName name="OSRRefP22_3x_0" localSheetId="63">'310'!$P$53</definedName>
    <definedName name="OSRRefP22_3x_0" localSheetId="71">'310 &amp; 491'!$P$57</definedName>
    <definedName name="OSRRefP22_3x_0" localSheetId="52">'311'!$P$83:$P$84</definedName>
    <definedName name="OSRRefP22_3x_0" localSheetId="65">'313'!$P$38</definedName>
    <definedName name="OSRRefP22_3x_0" localSheetId="57">'315'!$P$105:$P$106</definedName>
    <definedName name="OSRRefP22_3x_0" localSheetId="60">'316'!$P$50</definedName>
    <definedName name="OSRRefP22_3x_0" localSheetId="62">'317'!$P$74</definedName>
    <definedName name="OSRRefP22_3x_0" localSheetId="66">'321'!$P$46</definedName>
    <definedName name="OSRRefP22_3x_0" localSheetId="67">'322'!$P$31</definedName>
    <definedName name="OSRRefP22_3x_0" localSheetId="68">'325'!$P$39</definedName>
    <definedName name="OSRRefP22_3x_0" localSheetId="58">'326'!$P$70</definedName>
    <definedName name="OSRRefP22_3x_0" localSheetId="56">'331'!$P$106</definedName>
    <definedName name="OSRRefP22_3x_0" localSheetId="59">'332'!$P$52</definedName>
    <definedName name="OSRRefP22_3x_0" localSheetId="54">'333'!$P$108</definedName>
    <definedName name="OSRRefP22_3x_0" localSheetId="73">'405'!$P$40</definedName>
    <definedName name="OSRRefP22_3x_0" localSheetId="74">'406'!$P$26</definedName>
    <definedName name="OSRRefP22_3x_0" localSheetId="75">'411'!$P$37</definedName>
    <definedName name="OSRRefP22_3x_0" localSheetId="76">'412'!$P$26:$P$27</definedName>
    <definedName name="OSRRefP22_3x_0" localSheetId="77">'413'!$P$30</definedName>
    <definedName name="OSRRefP22_3x_0" localSheetId="78">'414'!$P$28</definedName>
    <definedName name="OSRRefP22_3x_0" localSheetId="79">'415'!$P$42</definedName>
    <definedName name="OSRRefP22_3x_0" localSheetId="80">'418'!$P$37</definedName>
    <definedName name="OSRRefP22_3x_0" localSheetId="82">'423'!$P$27</definedName>
    <definedName name="OSRRefP22_3x_0" localSheetId="83">'424'!$P$26</definedName>
    <definedName name="OSRRefP22_3x_0" localSheetId="84">'425'!$P$32</definedName>
    <definedName name="OSRRefP22_3x_0" localSheetId="87">'430'!$P$33</definedName>
    <definedName name="OSRRefP22_3x_0" localSheetId="88">'433'!$P$44</definedName>
    <definedName name="OSRRefP22_3x_0" localSheetId="89">'435'!$P$30</definedName>
    <definedName name="OSRRefP22_3x_0" localSheetId="90">'444'!$P$44</definedName>
    <definedName name="OSRRefP22_3x_0" localSheetId="91">'450'!$P$43</definedName>
    <definedName name="OSRRefP22_3x_0" localSheetId="72">'491'!$P$47</definedName>
    <definedName name="OSRRefP22_3x_0" localSheetId="86">'492'!$P$47</definedName>
    <definedName name="OSRRefP22_3x_0" localSheetId="93">'501'!$P$40</definedName>
    <definedName name="OSRRefP22_3x_0" localSheetId="39">'Div 2'!$P$41</definedName>
    <definedName name="OSRRefP22_3x_0" localSheetId="47">'Div 3'!$P$157:$P$158</definedName>
    <definedName name="OSRRefP22_3x_0" localSheetId="70">'Div 4'!$P$51</definedName>
    <definedName name="OSRRefP22_3x_0" localSheetId="92">'Div 5'!$P$40</definedName>
    <definedName name="OSRRefP22_3x_0" localSheetId="61">'Div 6'!$P$74</definedName>
    <definedName name="OSRRefP22_3x_0" localSheetId="2">Summary!$P$186:$P$187</definedName>
    <definedName name="OSRRefP22_4x_0" localSheetId="41">'201'!$P$38</definedName>
    <definedName name="OSRRefP22_4x_0" localSheetId="42">'202'!$P$37</definedName>
    <definedName name="OSRRefP22_4x_0" localSheetId="43">'203'!$P$41</definedName>
    <definedName name="OSRRefP22_4x_0" localSheetId="44">'204'!$P$38</definedName>
    <definedName name="OSRRefP22_4x_0" localSheetId="45">'205'!$P$35:$P$36</definedName>
    <definedName name="OSRRefP22_4x_0" localSheetId="46">'206'!$P$38</definedName>
    <definedName name="OSRRefP22_4x_0" localSheetId="48">'300'!$P$153</definedName>
    <definedName name="OSRRefP22_4x_0" localSheetId="49">'300 &amp; 317'!$P$177</definedName>
    <definedName name="OSRRefP22_4x_0" localSheetId="50">'301'!$P$46</definedName>
    <definedName name="OSRRefP22_4x_0" localSheetId="55">'307'!$P$59:$P$60</definedName>
    <definedName name="OSRRefP22_4x_0" localSheetId="51">'308'!$P$86</definedName>
    <definedName name="OSRRefP22_4x_0" localSheetId="64">'309'!$P$36</definedName>
    <definedName name="OSRRefP22_4x_0" localSheetId="63">'310'!$P$55</definedName>
    <definedName name="OSRRefP22_4x_0" localSheetId="71">'310 &amp; 491'!$P$59</definedName>
    <definedName name="OSRRefP22_4x_0" localSheetId="52">'311'!$P$86</definedName>
    <definedName name="OSRRefP22_4x_0" localSheetId="65">'313'!$P$40</definedName>
    <definedName name="OSRRefP22_4x_0" localSheetId="57">'315'!$P$108</definedName>
    <definedName name="OSRRefP22_4x_0" localSheetId="60">'316'!$P$52</definedName>
    <definedName name="OSRRefP22_4x_0" localSheetId="62">'317'!$P$76</definedName>
    <definedName name="OSRRefP22_4x_0" localSheetId="66">'321'!$P$48</definedName>
    <definedName name="OSRRefP22_4x_0" localSheetId="67">'322'!$P$33:$P$34</definedName>
    <definedName name="OSRRefP22_4x_0" localSheetId="68">'325'!$P$41</definedName>
    <definedName name="OSRRefP22_4x_0" localSheetId="58">'326'!$P$72</definedName>
    <definedName name="OSRRefP22_4x_0" localSheetId="56">'331'!$P$108</definedName>
    <definedName name="OSRRefP22_4x_0" localSheetId="59">'332'!$P$54</definedName>
    <definedName name="OSRRefP22_4x_0" localSheetId="54">'333'!$P$110</definedName>
    <definedName name="OSRRefP22_4x_0" localSheetId="73">'405'!$P$42</definedName>
    <definedName name="OSRRefP22_4x_0" localSheetId="74">'406'!$P$28</definedName>
    <definedName name="OSRRefP22_4x_0" localSheetId="75">'411'!$P$39:$P$40</definedName>
    <definedName name="OSRRefP22_4x_0" localSheetId="76">'412'!$P$29</definedName>
    <definedName name="OSRRefP22_4x_0" localSheetId="77">'413'!$P$32</definedName>
    <definedName name="OSRRefP22_4x_0" localSheetId="78">'414'!$P$30</definedName>
    <definedName name="OSRRefP22_4x_0" localSheetId="79">'415'!$P$44</definedName>
    <definedName name="OSRRefP22_4x_0" localSheetId="80">'418'!$P$39:$P$40</definedName>
    <definedName name="OSRRefP22_4x_0" localSheetId="84">'425'!$P$34</definedName>
    <definedName name="OSRRefP22_4x_0" localSheetId="87">'430'!$P$35</definedName>
    <definedName name="OSRRefP22_4x_0" localSheetId="88">'433'!$P$46</definedName>
    <definedName name="OSRRefP22_4x_0" localSheetId="89">'435'!$P$32</definedName>
    <definedName name="OSRRefP22_4x_0" localSheetId="90">'444'!$P$46</definedName>
    <definedName name="OSRRefP22_4x_0" localSheetId="91">'450'!$P$45</definedName>
    <definedName name="OSRRefP22_4x_0" localSheetId="72">'491'!$P$49</definedName>
    <definedName name="OSRRefP22_4x_0" localSheetId="86">'492'!$P$49</definedName>
    <definedName name="OSRRefP22_4x_0" localSheetId="93">'501'!$P$42:$P$43</definedName>
    <definedName name="OSRRefP22_4x_0" localSheetId="39">'Div 2'!$P$43</definedName>
    <definedName name="OSRRefP22_4x_0" localSheetId="47">'Div 3'!$P$160</definedName>
    <definedName name="OSRRefP22_4x_0" localSheetId="70">'Div 4'!$P$53</definedName>
    <definedName name="OSRRefP22_4x_0" localSheetId="92">'Div 5'!$P$42:$P$43</definedName>
    <definedName name="OSRRefP22_4x_0" localSheetId="61">'Div 6'!$P$76</definedName>
    <definedName name="OSRRefP22_4x_0" localSheetId="2">Summary!$P$189</definedName>
    <definedName name="OSRRefP22_5x_0" localSheetId="41">'201'!$P$40</definedName>
    <definedName name="OSRRefP22_5x_0" localSheetId="42">'202'!$P$39:$P$40</definedName>
    <definedName name="OSRRefP22_5x_0" localSheetId="43">'203'!$P$43</definedName>
    <definedName name="OSRRefP22_5x_0" localSheetId="44">'204'!$P$40:$P$43</definedName>
    <definedName name="OSRRefP22_5x_0" localSheetId="45">'205'!$P$38:$P$40</definedName>
    <definedName name="OSRRefP22_5x_0" localSheetId="46">'206'!$P$40</definedName>
    <definedName name="OSRRefP22_5x_0" localSheetId="48">'300'!$P$155:$P$156</definedName>
    <definedName name="OSRRefP22_5x_0" localSheetId="49">'300 &amp; 317'!$P$179:$P$180</definedName>
    <definedName name="OSRRefP22_5x_0" localSheetId="50">'301'!$P$48:$P$49</definedName>
    <definedName name="OSRRefP22_5x_0" localSheetId="55">'307'!$P$62</definedName>
    <definedName name="OSRRefP22_5x_0" localSheetId="51">'308'!$P$88</definedName>
    <definedName name="OSRRefP22_5x_0" localSheetId="64">'309'!$P$38</definedName>
    <definedName name="OSRRefP22_5x_0" localSheetId="63">'310'!$P$57:$P$58</definedName>
    <definedName name="OSRRefP22_5x_0" localSheetId="71">'310 &amp; 491'!$P$61:$P$62</definedName>
    <definedName name="OSRRefP22_5x_0" localSheetId="52">'311'!$P$88</definedName>
    <definedName name="OSRRefP22_5x_0" localSheetId="65">'313'!$P$42</definedName>
    <definedName name="OSRRefP22_5x_0" localSheetId="57">'315'!$P$110</definedName>
    <definedName name="OSRRefP22_5x_0" localSheetId="60">'316'!$P$54</definedName>
    <definedName name="OSRRefP22_5x_0" localSheetId="62">'317'!$P$78:$P$79</definedName>
    <definedName name="OSRRefP22_5x_0" localSheetId="66">'321'!$P$50</definedName>
    <definedName name="OSRRefP22_5x_0" localSheetId="67">'322'!$P$36</definedName>
    <definedName name="OSRRefP22_5x_0" localSheetId="68">'325'!$P$43:$P$44</definedName>
    <definedName name="OSRRefP22_5x_0" localSheetId="58">'326'!$P$74</definedName>
    <definedName name="OSRRefP22_5x_0" localSheetId="56">'331'!$P$110:$P$111</definedName>
    <definedName name="OSRRefP22_5x_0" localSheetId="59">'332'!$P$56</definedName>
    <definedName name="OSRRefP22_5x_0" localSheetId="54">'333'!$P$112:$P$113</definedName>
    <definedName name="OSRRefP22_5x_0" localSheetId="73">'405'!$P$44:$P$45</definedName>
    <definedName name="OSRRefP22_5x_0" localSheetId="75">'411'!$P$42</definedName>
    <definedName name="OSRRefP22_5x_0" localSheetId="76">'412'!$P$31</definedName>
    <definedName name="OSRRefP22_5x_0" localSheetId="77">'413'!$P$34</definedName>
    <definedName name="OSRRefP22_5x_0" localSheetId="78">'414'!$P$32:$P$33</definedName>
    <definedName name="OSRRefP22_5x_0" localSheetId="79">'415'!$P$46:$P$47</definedName>
    <definedName name="OSRRefP22_5x_0" localSheetId="80">'418'!$P$42</definedName>
    <definedName name="OSRRefP22_5x_0" localSheetId="84">'425'!$P$36:$P$37</definedName>
    <definedName name="OSRRefP22_5x_0" localSheetId="87">'430'!$P$37:$P$38</definedName>
    <definedName name="OSRRefP22_5x_0" localSheetId="88">'433'!$P$48</definedName>
    <definedName name="OSRRefP22_5x_0" localSheetId="89">'435'!$P$34</definedName>
    <definedName name="OSRRefP22_5x_0" localSheetId="90">'444'!$P$48</definedName>
    <definedName name="OSRRefP22_5x_0" localSheetId="91">'450'!$P$47</definedName>
    <definedName name="OSRRefP22_5x_0" localSheetId="72">'491'!$P$51:$P$52</definedName>
    <definedName name="OSRRefP22_5x_0" localSheetId="86">'492'!$P$51</definedName>
    <definedName name="OSRRefP22_5x_0" localSheetId="93">'501'!$P$45</definedName>
    <definedName name="OSRRefP22_5x_0" localSheetId="39">'Div 2'!$P$45</definedName>
    <definedName name="OSRRefP22_5x_0" localSheetId="47">'Div 3'!$P$162:$P$163</definedName>
    <definedName name="OSRRefP22_5x_0" localSheetId="70">'Div 4'!$P$55:$P$56</definedName>
    <definedName name="OSRRefP22_5x_0" localSheetId="92">'Div 5'!$P$45</definedName>
    <definedName name="OSRRefP22_5x_0" localSheetId="61">'Div 6'!$P$78:$P$79</definedName>
    <definedName name="OSRRefP22_5x_0" localSheetId="2">Summary!$P$191:$P$192</definedName>
    <definedName name="OSRRefP22_6x_0" localSheetId="41">'201'!$P$42</definedName>
    <definedName name="OSRRefP22_6x_0" localSheetId="42">'202'!$P$42</definedName>
    <definedName name="OSRRefP22_6x_0" localSheetId="43">'203'!$P$45</definedName>
    <definedName name="OSRRefP22_6x_0" localSheetId="44">'204'!$P$45</definedName>
    <definedName name="OSRRefP22_6x_0" localSheetId="45">'205'!$P$42</definedName>
    <definedName name="OSRRefP22_6x_0" localSheetId="46">'206'!$P$42</definedName>
    <definedName name="OSRRefP22_6x_0" localSheetId="48">'300'!$P$158:$P$159</definedName>
    <definedName name="OSRRefP22_6x_0" localSheetId="49">'300 &amp; 317'!$P$182:$P$183</definedName>
    <definedName name="OSRRefP22_6x_0" localSheetId="50">'301'!$P$51:$P$52</definedName>
    <definedName name="OSRRefP22_6x_0" localSheetId="55">'307'!$P$64</definedName>
    <definedName name="OSRRefP22_6x_0" localSheetId="51">'308'!$P$90:$P$91</definedName>
    <definedName name="OSRRefP22_6x_0" localSheetId="64">'309'!$P$40</definedName>
    <definedName name="OSRRefP22_6x_0" localSheetId="63">'310'!$P$60</definedName>
    <definedName name="OSRRefP22_6x_0" localSheetId="71">'310 &amp; 491'!$P$64</definedName>
    <definedName name="OSRRefP22_6x_0" localSheetId="52">'311'!$P$90:$P$91</definedName>
    <definedName name="OSRRefP22_6x_0" localSheetId="65">'313'!$P$44</definedName>
    <definedName name="OSRRefP22_6x_0" localSheetId="57">'315'!$P$112:$P$113</definedName>
    <definedName name="OSRRefP22_6x_0" localSheetId="60">'316'!$P$56:$P$57</definedName>
    <definedName name="OSRRefP22_6x_0" localSheetId="62">'317'!$P$81</definedName>
    <definedName name="OSRRefP22_6x_0" localSheetId="66">'321'!$P$52</definedName>
    <definedName name="OSRRefP22_6x_0" localSheetId="67">'322'!$P$38</definedName>
    <definedName name="OSRRefP22_6x_0" localSheetId="68">'325'!$P$46</definedName>
    <definedName name="OSRRefP22_6x_0" localSheetId="58">'326'!$P$76</definedName>
    <definedName name="OSRRefP22_6x_0" localSheetId="56">'331'!$P$113</definedName>
    <definedName name="OSRRefP22_6x_0" localSheetId="59">'332'!$P$58:$P$59</definedName>
    <definedName name="OSRRefP22_6x_0" localSheetId="54">'333'!$P$115</definedName>
    <definedName name="OSRRefP22_6x_0" localSheetId="73">'405'!$P$47</definedName>
    <definedName name="OSRRefP22_6x_0" localSheetId="75">'411'!$P$44</definedName>
    <definedName name="OSRRefP22_6x_0" localSheetId="79">'415'!$P$49</definedName>
    <definedName name="OSRRefP22_6x_0" localSheetId="80">'418'!$P$44</definedName>
    <definedName name="OSRRefP22_6x_0" localSheetId="84">'425'!$P$39</definedName>
    <definedName name="OSRRefP22_6x_0" localSheetId="87">'430'!$P$40</definedName>
    <definedName name="OSRRefP22_6x_0" localSheetId="88">'433'!$P$50</definedName>
    <definedName name="OSRRefP22_6x_0" localSheetId="90">'444'!$P$50</definedName>
    <definedName name="OSRRefP22_6x_0" localSheetId="91">'450'!$P$49</definedName>
    <definedName name="OSRRefP22_6x_0" localSheetId="72">'491'!$P$54</definedName>
    <definedName name="OSRRefP22_6x_0" localSheetId="86">'492'!$P$53</definedName>
    <definedName name="OSRRefP22_6x_0" localSheetId="93">'501'!$P$47</definedName>
    <definedName name="OSRRefP22_6x_0" localSheetId="39">'Div 2'!$P$47</definedName>
    <definedName name="OSRRefP22_6x_0" localSheetId="47">'Div 3'!$P$165:$P$166</definedName>
    <definedName name="OSRRefP22_6x_0" localSheetId="70">'Div 4'!$P$58</definedName>
    <definedName name="OSRRefP22_6x_0" localSheetId="92">'Div 5'!$P$47</definedName>
    <definedName name="OSRRefP22_6x_0" localSheetId="61">'Div 6'!$P$81</definedName>
    <definedName name="OSRRefP22_6x_0" localSheetId="2">Summary!$P$194:$P$195</definedName>
    <definedName name="OSRRefP22_7x_0" localSheetId="41">'201'!$P$44</definedName>
    <definedName name="OSRRefP22_7x_0" localSheetId="42">'202'!$P$44:$P$46</definedName>
    <definedName name="OSRRefP22_7x_0" localSheetId="43">'203'!$P$47:$P$48</definedName>
    <definedName name="OSRRefP22_7x_0" localSheetId="44">'204'!$P$47:$P$48</definedName>
    <definedName name="OSRRefP22_7x_0" localSheetId="48">'300'!$P$161</definedName>
    <definedName name="OSRRefP22_7x_0" localSheetId="49">'300 &amp; 317'!$P$185</definedName>
    <definedName name="OSRRefP22_7x_0" localSheetId="50">'301'!$P$54</definedName>
    <definedName name="OSRRefP22_7x_0" localSheetId="55">'307'!$P$66</definedName>
    <definedName name="OSRRefP22_7x_0" localSheetId="51">'308'!$P$93</definedName>
    <definedName name="OSRRefP22_7x_0" localSheetId="64">'309'!$P$42</definedName>
    <definedName name="OSRRefP22_7x_0" localSheetId="63">'310'!$P$62</definedName>
    <definedName name="OSRRefP22_7x_0" localSheetId="71">'310 &amp; 491'!$P$66</definedName>
    <definedName name="OSRRefP22_7x_0" localSheetId="52">'311'!$P$93</definedName>
    <definedName name="OSRRefP22_7x_0" localSheetId="65">'313'!$P$46</definedName>
    <definedName name="OSRRefP22_7x_0" localSheetId="57">'315'!$P$115</definedName>
    <definedName name="OSRRefP22_7x_0" localSheetId="60">'316'!$P$59</definedName>
    <definedName name="OSRRefP22_7x_0" localSheetId="62">'317'!$P$83</definedName>
    <definedName name="OSRRefP22_7x_0" localSheetId="66">'321'!$P$54:$P$55</definedName>
    <definedName name="OSRRefP22_7x_0" localSheetId="67">'322'!$P$40</definedName>
    <definedName name="OSRRefP22_7x_0" localSheetId="68">'325'!$P$48</definedName>
    <definedName name="OSRRefP22_7x_0" localSheetId="58">'326'!$P$78</definedName>
    <definedName name="OSRRefP22_7x_0" localSheetId="56">'331'!$P$115</definedName>
    <definedName name="OSRRefP22_7x_0" localSheetId="59">'332'!$P$61</definedName>
    <definedName name="OSRRefP22_7x_0" localSheetId="54">'333'!$P$117</definedName>
    <definedName name="OSRRefP22_7x_0" localSheetId="73">'405'!$P$49</definedName>
    <definedName name="OSRRefP22_7x_0" localSheetId="75">'411'!$P$46</definedName>
    <definedName name="OSRRefP22_7x_0" localSheetId="79">'415'!$P$51</definedName>
    <definedName name="OSRRefP22_7x_0" localSheetId="80">'418'!$P$46</definedName>
    <definedName name="OSRRefP22_7x_0" localSheetId="84">'425'!$P$41</definedName>
    <definedName name="OSRRefP22_7x_0" localSheetId="87">'430'!$P$42</definedName>
    <definedName name="OSRRefP22_7x_0" localSheetId="88">'433'!$P$52</definedName>
    <definedName name="OSRRefP22_7x_0" localSheetId="90">'444'!$P$52</definedName>
    <definedName name="OSRRefP22_7x_0" localSheetId="91">'450'!$P$51</definedName>
    <definedName name="OSRRefP22_7x_0" localSheetId="72">'491'!$P$56</definedName>
    <definedName name="OSRRefP22_7x_0" localSheetId="86">'492'!$P$55</definedName>
    <definedName name="OSRRefP22_7x_0" localSheetId="93">'501'!$P$49:$P$52</definedName>
    <definedName name="OSRRefP22_7x_0" localSheetId="39">'Div 2'!$P$49</definedName>
    <definedName name="OSRRefP22_7x_0" localSheetId="47">'Div 3'!$P$168</definedName>
    <definedName name="OSRRefP22_7x_0" localSheetId="70">'Div 4'!$P$60</definedName>
    <definedName name="OSRRefP22_7x_0" localSheetId="92">'Div 5'!$P$49:$P$52</definedName>
    <definedName name="OSRRefP22_7x_0" localSheetId="61">'Div 6'!$P$83</definedName>
    <definedName name="OSRRefP22_7x_0" localSheetId="2">Summary!$P$197</definedName>
    <definedName name="OSRRefP22_8x_0" localSheetId="41">'201'!$P$46</definedName>
    <definedName name="OSRRefP22_8x_0" localSheetId="42">'202'!$P$48</definedName>
    <definedName name="OSRRefP22_8x_0" localSheetId="43">'203'!$P$50:$P$51</definedName>
    <definedName name="OSRRefP22_8x_0" localSheetId="44">'204'!$P$50</definedName>
    <definedName name="OSRRefP22_8x_0" localSheetId="48">'300'!$P$163</definedName>
    <definedName name="OSRRefP22_8x_0" localSheetId="49">'300 &amp; 317'!$P$187</definedName>
    <definedName name="OSRRefP22_8x_0" localSheetId="50">'301'!$P$56</definedName>
    <definedName name="OSRRefP22_8x_0" localSheetId="55">'307'!$P$68:$P$69</definedName>
    <definedName name="OSRRefP22_8x_0" localSheetId="51">'308'!$P$95</definedName>
    <definedName name="OSRRefP22_8x_0" localSheetId="64">'309'!$P$44:$P$45</definedName>
    <definedName name="OSRRefP22_8x_0" localSheetId="63">'310'!$P$64</definedName>
    <definedName name="OSRRefP22_8x_0" localSheetId="71">'310 &amp; 491'!$P$68:$P$69</definedName>
    <definedName name="OSRRefP22_8x_0" localSheetId="52">'311'!$P$95</definedName>
    <definedName name="OSRRefP22_8x_0" localSheetId="57">'315'!$P$117:$P$118</definedName>
    <definedName name="OSRRefP22_8x_0" localSheetId="60">'316'!$P$61:$P$63</definedName>
    <definedName name="OSRRefP22_8x_0" localSheetId="62">'317'!$P$85</definedName>
    <definedName name="OSRRefP22_8x_0" localSheetId="66">'321'!$P$57</definedName>
    <definedName name="OSRRefP22_8x_0" localSheetId="68">'325'!$P$50</definedName>
    <definedName name="OSRRefP22_8x_0" localSheetId="58">'326'!$P$80</definedName>
    <definedName name="OSRRefP22_8x_0" localSheetId="56">'331'!$P$117:$P$118</definedName>
    <definedName name="OSRRefP22_8x_0" localSheetId="59">'332'!$P$63:$P$65</definedName>
    <definedName name="OSRRefP22_8x_0" localSheetId="54">'333'!$P$119:$P$120</definedName>
    <definedName name="OSRRefP22_8x_0" localSheetId="73">'405'!$P$51</definedName>
    <definedName name="OSRRefP22_8x_0" localSheetId="75">'411'!$P$48</definedName>
    <definedName name="OSRRefP22_8x_0" localSheetId="79">'415'!$P$53</definedName>
    <definedName name="OSRRefP22_8x_0" localSheetId="80">'418'!$P$48:$P$49</definedName>
    <definedName name="OSRRefP22_8x_0" localSheetId="84">'425'!$P$43</definedName>
    <definedName name="OSRRefP22_8x_0" localSheetId="87">'430'!$P$44</definedName>
    <definedName name="OSRRefP22_8x_0" localSheetId="88">'433'!$P$54</definedName>
    <definedName name="OSRRefP22_8x_0" localSheetId="90">'444'!$P$54</definedName>
    <definedName name="OSRRefP22_8x_0" localSheetId="91">'450'!$P$53</definedName>
    <definedName name="OSRRefP22_8x_0" localSheetId="72">'491'!$P$58</definedName>
    <definedName name="OSRRefP22_8x_0" localSheetId="86">'492'!$P$57</definedName>
    <definedName name="OSRRefP22_8x_0" localSheetId="93">'501'!$P$54:$P$55</definedName>
    <definedName name="OSRRefP22_8x_0" localSheetId="39">'Div 2'!$P$51</definedName>
    <definedName name="OSRRefP22_8x_0" localSheetId="47">'Div 3'!$P$170</definedName>
    <definedName name="OSRRefP22_8x_0" localSheetId="70">'Div 4'!$P$62</definedName>
    <definedName name="OSRRefP22_8x_0" localSheetId="92">'Div 5'!$P$54:$P$55</definedName>
    <definedName name="OSRRefP22_8x_0" localSheetId="61">'Div 6'!$P$85</definedName>
    <definedName name="OSRRefP22_8x_0" localSheetId="2">Summary!$P$199</definedName>
    <definedName name="OSRRefP22_9x_0" localSheetId="41">'201'!$P$48:$P$50</definedName>
    <definedName name="OSRRefP22_9x_0" localSheetId="42">'202'!$P$50:$P$52</definedName>
    <definedName name="OSRRefP22_9x_0" localSheetId="43">'203'!$P$53:$P$54</definedName>
    <definedName name="OSRRefP22_9x_0" localSheetId="44">'204'!$P$52</definedName>
    <definedName name="OSRRefP22_9x_0" localSheetId="48">'300'!$P$165</definedName>
    <definedName name="OSRRefP22_9x_0" localSheetId="49">'300 &amp; 317'!$P$189</definedName>
    <definedName name="OSRRefP22_9x_0" localSheetId="50">'301'!$P$58</definedName>
    <definedName name="OSRRefP22_9x_0" localSheetId="55">'307'!$P$71:$P$72</definedName>
    <definedName name="OSRRefP22_9x_0" localSheetId="51">'308'!$P$97:$P$99</definedName>
    <definedName name="OSRRefP22_9x_0" localSheetId="64">'309'!$P$47:$P$48</definedName>
    <definedName name="OSRRefP22_9x_0" localSheetId="63">'310'!$P$66</definedName>
    <definedName name="OSRRefP22_9x_0" localSheetId="71">'310 &amp; 491'!$P$71</definedName>
    <definedName name="OSRRefP22_9x_0" localSheetId="52">'311'!$P$97:$P$99</definedName>
    <definedName name="OSRRefP22_9x_0" localSheetId="57">'315'!$P$120</definedName>
    <definedName name="OSRRefP22_9x_0" localSheetId="60">'316'!$P$65</definedName>
    <definedName name="OSRRefP22_9x_0" localSheetId="62">'317'!$P$87</definedName>
    <definedName name="OSRRefP22_9x_0" localSheetId="66">'321'!$P$59:$P$61</definedName>
    <definedName name="OSRRefP22_9x_0" localSheetId="68">'325'!$P$52</definedName>
    <definedName name="OSRRefP22_9x_0" localSheetId="58">'326'!$P$82</definedName>
    <definedName name="OSRRefP22_9x_0" localSheetId="56">'331'!$P$120</definedName>
    <definedName name="OSRRefP22_9x_0" localSheetId="59">'332'!$P$67</definedName>
    <definedName name="OSRRefP22_9x_0" localSheetId="54">'333'!$P$122</definedName>
    <definedName name="OSRRefP22_9x_0" localSheetId="73">'405'!$P$53</definedName>
    <definedName name="OSRRefP22_9x_0" localSheetId="75">'411'!$P$50</definedName>
    <definedName name="OSRRefP22_9x_0" localSheetId="79">'415'!$P$55</definedName>
    <definedName name="OSRRefP22_9x_0" localSheetId="80">'418'!$P$51</definedName>
    <definedName name="OSRRefP22_9x_0" localSheetId="88">'433'!$P$56</definedName>
    <definedName name="OSRRefP22_9x_0" localSheetId="90">'444'!$P$56</definedName>
    <definedName name="OSRRefP22_9x_0" localSheetId="91">'450'!$P$55</definedName>
    <definedName name="OSRRefP22_9x_0" localSheetId="72">'491'!$P$60</definedName>
    <definedName name="OSRRefP22_9x_0" localSheetId="86">'492'!$P$59</definedName>
    <definedName name="OSRRefP22_9x_0" localSheetId="93">'501'!$P$57</definedName>
    <definedName name="OSRRefP22_9x_0" localSheetId="39">'Div 2'!$P$53:$P$54</definedName>
    <definedName name="OSRRefP22_9x_0" localSheetId="47">'Div 3'!$P$172</definedName>
    <definedName name="OSRRefP22_9x_0" localSheetId="70">'Div 4'!$P$64</definedName>
    <definedName name="OSRRefP22_9x_0" localSheetId="92">'Div 5'!$P$57</definedName>
    <definedName name="OSRRefP22_9x_0" localSheetId="61">'Div 6'!$P$87</definedName>
    <definedName name="OSRRefP22_9x_0" localSheetId="2">Summary!$P$201</definedName>
    <definedName name="OSRRefP22x_0" localSheetId="40">'200'!$P$20,'200'!$P$22,'200'!$P$24,'200'!$P$26</definedName>
    <definedName name="OSRRefP22x_0" localSheetId="41">'201'!$P$20:$P$27,'201'!$P$29:$P$32,'201'!$P$34,'201'!$P$36,'201'!$P$38,'201'!$P$40,'201'!$P$42,'201'!$P$44,'201'!$P$46,'201'!$P$48:$P$50,'201'!$P$52:$P$54,'201'!$P$56,'201'!$P$58:$P$59,'201'!$P$61,'201'!$P$63</definedName>
    <definedName name="OSRRefP22x_0" localSheetId="42">'202'!$P$20:$P$27,'202'!$P$29:$P$31,'202'!$P$33,'202'!$P$35,'202'!$P$37,'202'!$P$39:$P$40,'202'!$P$42,'202'!$P$44:$P$46,'202'!$P$48,'202'!$P$50:$P$52,'202'!$P$54,'202'!$P$56,'202'!$P$58</definedName>
    <definedName name="OSRRefP22x_0" localSheetId="43">'203'!$P$20:$P$29,'203'!$P$31:$P$35,'203'!$P$37,'203'!$P$39,'203'!$P$41,'203'!$P$43,'203'!$P$45,'203'!$P$47:$P$48,'203'!$P$50:$P$51,'203'!$P$53:$P$54,'203'!$P$56:$P$59,'203'!$P$61,'203'!$P$63,'203'!$P$65</definedName>
    <definedName name="OSRRefP22x_0" localSheetId="44">'204'!$P$20:$P$28,'204'!$P$30:$P$32,'204'!$P$34,'204'!$P$36,'204'!$P$38,'204'!$P$40:$P$43,'204'!$P$45,'204'!$P$47:$P$48,'204'!$P$50,'204'!$P$52</definedName>
    <definedName name="OSRRefP22x_0" localSheetId="45">'205'!$P$20:$P$27,'205'!$P$29,'205'!$P$31,'205'!$P$33,'205'!$P$35:$P$36,'205'!$P$38:$P$40,'205'!$P$42</definedName>
    <definedName name="OSRRefP22x_0" localSheetId="46">'206'!$P$20:$P$27,'206'!$P$29:$P$32,'206'!$P$34,'206'!$P$36,'206'!$P$38,'206'!$P$40,'206'!$P$42</definedName>
    <definedName name="OSRRefP22x_0" localSheetId="48">'300'!$P$129:$P$138,'300'!$P$140:$P$146,'300'!$P$148,'300'!$P$150:$P$151,'300'!$P$153,'300'!$P$155:$P$156,'300'!$P$158:$P$159,'300'!$P$161,'300'!$P$163,'300'!$P$165,'300'!$P$167:$P$168,'300'!$P$170,'300'!$P$172,'300'!$P$174:$P$175,'300'!$P$177,'300'!$P$179,'300'!$P$181:$P$184,'300'!$P$186:$P$188,'300'!$P$190:$P$193,'300'!$P$195:$P$196,'300'!$P$198:$P$204,'300'!$P$206:$P$207,'300'!$P$209,'300'!$P$211:$P$213,'300'!$P$215</definedName>
    <definedName name="OSRRefP22x_0" localSheetId="49">'300 &amp; 317'!$P$153:$P$162,'300 &amp; 317'!$P$164:$P$170,'300 &amp; 317'!$P$172,'300 &amp; 317'!$P$174:$P$175,'300 &amp; 317'!$P$177,'300 &amp; 317'!$P$179:$P$180,'300 &amp; 317'!$P$182:$P$183,'300 &amp; 317'!$P$185,'300 &amp; 317'!$P$187,'300 &amp; 317'!$P$189,'300 &amp; 317'!$P$191:$P$192,'300 &amp; 317'!$P$194,'300 &amp; 317'!$P$196,'300 &amp; 317'!$P$198:$P$199,'300 &amp; 317'!$P$201,'300 &amp; 317'!$P$203,'300 &amp; 317'!$P$205:$P$208,'300 &amp; 317'!$P$210:$P$212,'300 &amp; 317'!$P$214:$P$217,'300 &amp; 317'!$P$219:$P$220,'300 &amp; 317'!$P$222:$P$228,'300 &amp; 317'!$P$230:$P$231,'300 &amp; 317'!$P$233,'300 &amp; 317'!$P$235:$P$237,'300 &amp; 317'!$P$239</definedName>
    <definedName name="OSRRefP22x_0" localSheetId="50">'301'!$P$22:$P$31,'301'!$P$33:$P$39,'301'!$P$41,'301'!$P$43:$P$44,'301'!$P$46,'301'!$P$48:$P$49,'301'!$P$51:$P$52,'301'!$P$54,'301'!$P$56,'301'!$P$58,'301'!$P$60,'301'!$P$62,'301'!$P$64,'301'!$P$66,'301'!$P$68,'301'!$P$70:$P$73,'301'!$P$75:$P$77,'301'!$P$79,'301'!$P$81:$P$86,'301'!$P$88,'301'!$P$90,'301'!$P$92:$P$93,'301'!$P$95</definedName>
    <definedName name="OSRRefP22x_0" localSheetId="55">'307'!$P$43:$P$48,'307'!$P$50:$P$53,'307'!$P$55,'307'!$P$57,'307'!$P$59:$P$60,'307'!$P$62,'307'!$P$64,'307'!$P$66,'307'!$P$68:$P$69,'307'!$P$71:$P$72,'307'!$P$74,'307'!$P$76:$P$79,'307'!$P$81,'307'!$P$83</definedName>
    <definedName name="OSRRefP22x_0" localSheetId="51">'308'!$P$63:$P$71,'308'!$P$73:$P$79,'308'!$P$81,'308'!$P$83:$P$84,'308'!$P$86,'308'!$P$88,'308'!$P$90:$P$91,'308'!$P$93,'308'!$P$95,'308'!$P$97:$P$99,'308'!$P$101:$P$102,'308'!$P$104:$P$105,'308'!$P$107:$P$108,'308'!$P$110,'308'!$P$112</definedName>
    <definedName name="OSRRefP22x_0" localSheetId="64">'309'!$P$26:$P$27,'309'!$P$29:$P$30,'309'!$P$32,'309'!$P$34,'309'!$P$36,'309'!$P$38,'309'!$P$40,'309'!$P$42,'309'!$P$44:$P$45,'309'!$P$47:$P$48,'309'!$P$50:$P$51,'309'!$P$53,'309'!$P$55</definedName>
    <definedName name="OSRRefP22x_0" localSheetId="63">'310'!$P$34:$P$42,'310'!$P$44:$P$49,'310'!$P$51,'310'!$P$53,'310'!$P$55,'310'!$P$57:$P$58,'310'!$P$60,'310'!$P$62,'310'!$P$64,'310'!$P$66,'310'!$P$68,'310'!$P$70:$P$71,'310'!$P$73,'310'!$P$75:$P$78,'310'!$P$80:$P$85,'310'!$P$87,'310'!$P$89,'310'!$P$91</definedName>
    <definedName name="OSRRefP22x_0" localSheetId="71">'310 &amp; 491'!$P$37:$P$45,'310 &amp; 491'!$P$47:$P$53,'310 &amp; 491'!$P$55,'310 &amp; 491'!$P$57,'310 &amp; 491'!$P$59,'310 &amp; 491'!$P$61:$P$62,'310 &amp; 491'!$P$64,'310 &amp; 491'!$P$66,'310 &amp; 491'!$P$68:$P$69,'310 &amp; 491'!$P$71,'310 &amp; 491'!$P$73,'310 &amp; 491'!$P$75,'310 &amp; 491'!$P$77,'310 &amp; 491'!$P$79:$P$82,'310 &amp; 491'!$P$84,'310 &amp; 491'!$P$86:$P$89,'310 &amp; 491'!$P$91,'310 &amp; 491'!$P$93:$P$101,'310 &amp; 491'!$P$103,'310 &amp; 491'!$P$105,'310 &amp; 491'!$P$107:$P$108,'310 &amp; 491'!$P$110</definedName>
    <definedName name="OSRRefP22x_0" localSheetId="52">'311'!$P$63:$P$71,'311'!$P$73:$P$79,'311'!$P$81,'311'!$P$83:$P$84,'311'!$P$86,'311'!$P$88,'311'!$P$90:$P$91,'311'!$P$93,'311'!$P$95,'311'!$P$97:$P$99,'311'!$P$101:$P$102,'311'!$P$104:$P$105,'311'!$P$107:$P$108,'311'!$P$110,'311'!$P$112</definedName>
    <definedName name="OSRRefP22x_0" localSheetId="65">'313'!$P$25:$P$32,'313'!$P$34,'313'!$P$36,'313'!$P$38,'313'!$P$40,'313'!$P$42,'313'!$P$44,'313'!$P$46</definedName>
    <definedName name="OSRRefP22x_0" localSheetId="57">'315'!$P$87:$P$94,'315'!$P$96:$P$101,'315'!$P$103,'315'!$P$105:$P$106,'315'!$P$108,'315'!$P$110,'315'!$P$112:$P$113,'315'!$P$115,'315'!$P$117:$P$118,'315'!$P$120,'315'!$P$122:$P$123,'315'!$P$125:$P$126,'315'!$P$128:$P$129,'315'!$P$131:$P$135,'315'!$P$137,'315'!$P$139,'315'!$P$141</definedName>
    <definedName name="OSRRefP22x_0" localSheetId="60">'316'!$P$34:$P$41,'316'!$P$43:$P$46,'316'!$P$48,'316'!$P$50,'316'!$P$52,'316'!$P$54,'316'!$P$56:$P$57,'316'!$P$59,'316'!$P$61:$P$63,'316'!$P$65,'316'!$P$67,'316'!$P$69:$P$74,'316'!$P$76,'316'!$P$78</definedName>
    <definedName name="OSRRefP22x_0" localSheetId="62">'317'!$P$56:$P$64,'317'!$P$66:$P$70,'317'!$P$72,'317'!$P$74,'317'!$P$76,'317'!$P$78:$P$79,'317'!$P$81,'317'!$P$83,'317'!$P$85,'317'!$P$87,'317'!$P$89:$P$92,'317'!$P$94,'317'!$P$96</definedName>
    <definedName name="OSRRefP22x_0" localSheetId="66">'321'!$P$27:$P$35,'321'!$P$37:$P$42,'321'!$P$44,'321'!$P$46,'321'!$P$48,'321'!$P$50,'321'!$P$52,'321'!$P$54:$P$55,'321'!$P$57,'321'!$P$59:$P$61,'321'!$P$63:$P$67,'321'!$P$69,'321'!$P$71,'321'!$P$73</definedName>
    <definedName name="OSRRefP22x_0" localSheetId="67">'322'!$P$21:$P$25,'322'!$P$27,'322'!$P$29,'322'!$P$31,'322'!$P$33:$P$34,'322'!$P$36,'322'!$P$38,'322'!$P$40</definedName>
    <definedName name="OSRRefP22x_0" localSheetId="68">'325'!$P$24:$P$31,'325'!$P$33:$P$35,'325'!$P$37,'325'!$P$39,'325'!$P$41,'325'!$P$43:$P$44,'325'!$P$46,'325'!$P$48,'325'!$P$50,'325'!$P$52,'325'!$P$54:$P$55,'325'!$P$57:$P$60,'325'!$P$62:$P$67,'325'!$P$69,'325'!$P$71,'325'!$P$73</definedName>
    <definedName name="OSRRefP22x_0" localSheetId="58">'326'!$P$52:$P$59,'326'!$P$61:$P$66,'326'!$P$68,'326'!$P$70,'326'!$P$72,'326'!$P$74,'326'!$P$76,'326'!$P$78,'326'!$P$80,'326'!$P$82,'326'!$P$84,'326'!$P$86:$P$88,'326'!$P$90:$P$92,'326'!$P$94:$P$95,'326'!$P$97:$P$100,'326'!$P$102,'326'!$P$104,'326'!$P$106</definedName>
    <definedName name="OSRRefP22x_0" localSheetId="69">'327'!$P$24,'327'!$P$26</definedName>
    <definedName name="OSRRefP22x_0" localSheetId="56">'331'!$P$88:$P$95,'331'!$P$97:$P$102,'331'!$P$104,'331'!$P$106,'331'!$P$108,'331'!$P$110:$P$111,'331'!$P$113,'331'!$P$115,'331'!$P$117:$P$118,'331'!$P$120,'331'!$P$122,'331'!$P$124:$P$125,'331'!$P$127,'331'!$P$129,'331'!$P$131:$P$133,'331'!$P$135:$P$136,'331'!$P$138:$P$140,'331'!$P$142:$P$143,'331'!$P$145:$P$150,'331'!$P$152,'331'!$P$154,'331'!$P$156,'331'!$P$158</definedName>
    <definedName name="OSRRefP22x_0" localSheetId="59">'332'!$P$36:$P$43,'332'!$P$45:$P$48,'332'!$P$50,'332'!$P$52,'332'!$P$54,'332'!$P$56,'332'!$P$58:$P$59,'332'!$P$61,'332'!$P$63:$P$65,'332'!$P$67,'332'!$P$69,'332'!$P$71:$P$76,'332'!$P$78,'332'!$P$80</definedName>
    <definedName name="OSRRefP22x_0" localSheetId="54">'333'!$P$90:$P$97,'333'!$P$99:$P$104,'333'!$P$106,'333'!$P$108,'333'!$P$110,'333'!$P$112:$P$113,'333'!$P$115,'333'!$P$117,'333'!$P$119:$P$120,'333'!$P$122,'333'!$P$124,'333'!$P$126:$P$127,'333'!$P$129,'333'!$P$131,'333'!$P$133:$P$135,'333'!$P$137:$P$138,'333'!$P$140:$P$143,'333'!$P$145:$P$146,'333'!$P$148:$P$153,'333'!$P$155,'333'!$P$157,'333'!$P$159,'333'!$P$161</definedName>
    <definedName name="OSRRefP22x_0" localSheetId="73">'405'!$P$24:$P$31,'405'!$P$33:$P$36,'405'!$P$38,'405'!$P$40,'405'!$P$42,'405'!$P$44:$P$45,'405'!$P$47,'405'!$P$49,'405'!$P$51,'405'!$P$53,'405'!$P$55:$P$56,'405'!$P$58:$P$61,'405'!$P$63,'405'!$P$65:$P$73,'405'!$P$75,'405'!$P$77,'405'!$P$79</definedName>
    <definedName name="OSRRefP22x_0" localSheetId="74">'406'!$P$20,'406'!$P$22,'406'!$P$24,'406'!$P$26,'406'!$P$28</definedName>
    <definedName name="OSRRefP22x_0" localSheetId="75">'411'!$P$20:$P$27,'411'!$P$29:$P$33,'411'!$P$35,'411'!$P$37,'411'!$P$39:$P$40,'411'!$P$42,'411'!$P$44,'411'!$P$46,'411'!$P$48,'411'!$P$50,'411'!$P$52:$P$55,'411'!$P$57:$P$59,'411'!$P$61,'411'!$P$63:$P$64,'411'!$P$66,'411'!$P$68:$P$69,'411'!$P$71</definedName>
    <definedName name="OSRRefP22x_0" localSheetId="76">'412'!$P$20,'412'!$P$22,'412'!$P$24,'412'!$P$26:$P$27,'412'!$P$29,'412'!$P$31</definedName>
    <definedName name="OSRRefP22x_0" localSheetId="77">'413'!$P$20:$P$24,'413'!$P$26,'413'!$P$28,'413'!$P$30,'413'!$P$32,'413'!$P$34</definedName>
    <definedName name="OSRRefP22x_0" localSheetId="78">'414'!$P$22,'414'!$P$24,'414'!$P$26,'414'!$P$28,'414'!$P$30,'414'!$P$32:$P$33</definedName>
    <definedName name="OSRRefP22x_0" localSheetId="79">'415'!$P$24:$P$32,'415'!$P$34:$P$38,'415'!$P$40,'415'!$P$42,'415'!$P$44,'415'!$P$46:$P$47,'415'!$P$49,'415'!$P$51,'415'!$P$53,'415'!$P$55,'415'!$P$57,'415'!$P$59:$P$60,'415'!$P$62:$P$65,'415'!$P$67,'415'!$P$69:$P$74,'415'!$P$76,'415'!$P$78,'415'!$P$80</definedName>
    <definedName name="OSRRefP22x_0" localSheetId="80">'418'!$P$21:$P$28,'418'!$P$30:$P$33,'418'!$P$35,'418'!$P$37,'418'!$P$39:$P$40,'418'!$P$42,'418'!$P$44,'418'!$P$46,'418'!$P$48:$P$49,'418'!$P$51,'418'!$P$53,'418'!$P$55:$P$60,'418'!$P$62,'418'!$P$64</definedName>
    <definedName name="OSRRefP22x_0" localSheetId="81">'420'!$P$22,'420'!$P$24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'425'!$P$22:$P$26,'425'!$P$28,'425'!$P$30,'425'!$P$32,'425'!$P$34,'425'!$P$36:$P$37,'425'!$P$39,'425'!$P$41,'425'!$P$43</definedName>
    <definedName name="OSRRefP22x_0" localSheetId="87">'430'!$P$20:$P$27,'430'!$P$29,'430'!$P$31,'430'!$P$33,'430'!$P$35,'430'!$P$37:$P$38,'430'!$P$40,'430'!$P$42,'430'!$P$44</definedName>
    <definedName name="OSRRefP22x_0" localSheetId="88">'433'!$P$25:$P$33,'433'!$P$35:$P$40,'433'!$P$42,'433'!$P$44,'433'!$P$46,'433'!$P$48,'433'!$P$50,'433'!$P$52,'433'!$P$54,'433'!$P$56,'433'!$P$58,'433'!$P$60:$P$61,'433'!$P$63:$P$65,'433'!$P$67:$P$74,'433'!$P$76,'433'!$P$78</definedName>
    <definedName name="OSRRefP22x_0" localSheetId="89">'435'!$P$23:$P$24,'435'!$P$26,'435'!$P$28,'435'!$P$30,'435'!$P$32,'435'!$P$34</definedName>
    <definedName name="OSRRefP22x_0" localSheetId="90">'444'!$P$25:$P$33,'444'!$P$35:$P$40,'444'!$P$42,'444'!$P$44,'444'!$P$46,'444'!$P$48,'444'!$P$50,'444'!$P$52,'444'!$P$54,'444'!$P$56,'444'!$P$58,'444'!$P$60:$P$61,'444'!$P$63:$P$66,'444'!$P$68,'444'!$P$70:$P$77,'444'!$P$79,'444'!$P$81,'444'!$P$83</definedName>
    <definedName name="OSRRefP22x_0" localSheetId="91">'450'!$P$25:$P$33,'450'!$P$35:$P$39,'450'!$P$41,'450'!$P$43,'450'!$P$45,'450'!$P$47,'450'!$P$49,'450'!$P$51,'450'!$P$53,'450'!$P$55,'450'!$P$57,'450'!$P$59,'450'!$P$61:$P$62,'450'!$P$64:$P$66,'450'!$P$68:$P$73,'450'!$P$75,'450'!$P$77,'450'!$P$79</definedName>
    <definedName name="OSRRefP22x_0" localSheetId="72">'491'!$P$28:$P$36,'491'!$P$38:$P$43,'491'!$P$45,'491'!$P$47,'491'!$P$49,'491'!$P$51:$P$52,'491'!$P$54,'491'!$P$56,'491'!$P$58,'491'!$P$60,'491'!$P$62,'491'!$P$64,'491'!$P$66,'491'!$P$68:$P$71,'491'!$P$73,'491'!$P$75:$P$78,'491'!$P$80,'491'!$P$82:$P$90,'491'!$P$92,'491'!$P$94,'491'!$P$96:$P$97,'491'!$P$99</definedName>
    <definedName name="OSRRefP22x_0" localSheetId="86">'492'!$P$27:$P$35,'492'!$P$37:$P$43,'492'!$P$45,'492'!$P$47,'492'!$P$49,'492'!$P$51,'492'!$P$53,'492'!$P$55,'492'!$P$57,'492'!$P$59,'492'!$P$61,'492'!$P$63,'492'!$P$65:$P$67,'492'!$P$69:$P$72,'492'!$P$74,'492'!$P$76:$P$83,'492'!$P$85,'492'!$P$87,'492'!$P$89:$P$91</definedName>
    <definedName name="OSRRefP22x_0" localSheetId="93">'501'!$P$21:$P$29,'501'!$P$31:$P$36,'501'!$P$38,'501'!$P$40,'501'!$P$42:$P$43,'501'!$P$45,'501'!$P$47,'501'!$P$49:$P$52,'501'!$P$54:$P$55,'501'!$P$57,'501'!$P$59</definedName>
    <definedName name="OSRRefP22x_0" localSheetId="39">'Div 2'!$P$20:$P$30,'Div 2'!$P$32:$P$37,'Div 2'!$P$39,'Div 2'!$P$41,'Div 2'!$P$43,'Div 2'!$P$45,'Div 2'!$P$47,'Div 2'!$P$49,'Div 2'!$P$51,'Div 2'!$P$53:$P$54,'Div 2'!$P$56,'Div 2'!$P$58,'Div 2'!$P$60:$P$62,'Div 2'!$P$64:$P$67,'Div 2'!$P$69,'Div 2'!$P$71:$P$72,'Div 2'!$P$74:$P$78,'Div 2'!$P$80:$P$81,'Div 2'!$P$83,'Div 2'!$P$85:$P$86</definedName>
    <definedName name="OSRRefP22x_0" localSheetId="47">'Div 3'!$P$136:$P$145,'Div 3'!$P$147:$P$153,'Div 3'!$P$155,'Div 3'!$P$157:$P$158,'Div 3'!$P$160,'Div 3'!$P$162:$P$163,'Div 3'!$P$165:$P$166,'Div 3'!$P$168,'Div 3'!$P$170,'Div 3'!$P$172,'Div 3'!$P$174:$P$175,'Div 3'!$P$177,'Div 3'!$P$179,'Div 3'!$P$181,'Div 3'!$P$183:$P$184,'Div 3'!$P$186,'Div 3'!$P$188,'Div 3'!$P$190:$P$193,'Div 3'!$P$195:$P$197,'Div 3'!$P$199:$P$203,'Div 3'!$P$205:$P$206,'Div 3'!$P$208:$P$214,'Div 3'!$P$216:$P$217,'Div 3'!$P$219,'Div 3'!$P$221:$P$223,'Div 3'!$P$225</definedName>
    <definedName name="OSRRefP22x_0" localSheetId="70">'Div 4'!$P$31:$P$39,'Div 4'!$P$41:$P$47,'Div 4'!$P$49,'Div 4'!$P$51,'Div 4'!$P$53,'Div 4'!$P$55:$P$56,'Div 4'!$P$58,'Div 4'!$P$60,'Div 4'!$P$62,'Div 4'!$P$64,'Div 4'!$P$66,'Div 4'!$P$68,'Div 4'!$P$70,'Div 4'!$P$72,'Div 4'!$P$74,'Div 4'!$P$76:$P$79,'Div 4'!$P$81,'Div 4'!$P$83:$P$86,'Div 4'!$P$88:$P$89,'Div 4'!$P$91:$P$99,'Div 4'!$P$101,'Div 4'!$P$103,'Div 4'!$P$105:$P$107,'Div 4'!$P$109</definedName>
    <definedName name="OSRRefP22x_0" localSheetId="92">'Div 5'!$P$21:$P$29,'Div 5'!$P$31:$P$36,'Div 5'!$P$38,'Div 5'!$P$40,'Div 5'!$P$42:$P$43,'Div 5'!$P$45,'Div 5'!$P$47,'Div 5'!$P$49:$P$52,'Div 5'!$P$54:$P$55,'Div 5'!$P$57,'Div 5'!$P$59</definedName>
    <definedName name="OSRRefP22x_0" localSheetId="61">'Div 6'!$P$56:$P$64,'Div 6'!$P$66:$P$70,'Div 6'!$P$72,'Div 6'!$P$74,'Div 6'!$P$76,'Div 6'!$P$78:$P$79,'Div 6'!$P$81,'Div 6'!$P$83,'Div 6'!$P$85,'Div 6'!$P$87,'Div 6'!$P$89:$P$92,'Div 6'!$P$94,'Div 6'!$P$96</definedName>
    <definedName name="OSRRefP22x_0" localSheetId="2">Summary!$P$165:$P$174,Summary!$P$176:$P$182,Summary!$P$184,Summary!$P$186:$P$187,Summary!$P$189,Summary!$P$191:$P$192,Summary!$P$194:$P$195,Summary!$P$197,Summary!$P$199,Summary!$P$201,Summary!$P$203:$P$204,Summary!$P$206,Summary!$P$208,Summary!$P$210,Summary!$P$212:$P$213,Summary!$P$215,Summary!$P$217,Summary!$P$219,Summary!$P$221:$P$224,Summary!$P$226:$P$228,Summary!$P$230:$P$234,Summary!$P$236:$P$237,Summary!$P$239:$P$247,Summary!$P$249:$P$250,Summary!$P$252,Summary!$P$254:$P$256,Summary!$P$258</definedName>
    <definedName name="OSRRefP25x_0" localSheetId="48">'300'!$P$218:$P$222</definedName>
    <definedName name="OSRRefP25x_0" localSheetId="49">'300 &amp; 317'!$P$242:$P$248</definedName>
    <definedName name="OSRRefP25x_0" localSheetId="50">'301'!$P$98</definedName>
    <definedName name="OSRRefP25x_0" localSheetId="51">'308'!$P$115:$P$117</definedName>
    <definedName name="OSRRefP25x_0" localSheetId="71">'310 &amp; 491'!$P$113:$P$115</definedName>
    <definedName name="OSRRefP25x_0" localSheetId="52">'311'!$P$115:$P$117</definedName>
    <definedName name="OSRRefP25x_0" localSheetId="57">'315'!$P$144:$P$146</definedName>
    <definedName name="OSRRefP25x_0" localSheetId="60">'316'!$P$81</definedName>
    <definedName name="OSRRefP25x_0" localSheetId="62">'317'!$P$99:$P$101</definedName>
    <definedName name="OSRRefP25x_0" localSheetId="56">'331'!$P$161:$P$163</definedName>
    <definedName name="OSRRefP25x_0" localSheetId="59">'332'!$P$83:$P$84</definedName>
    <definedName name="OSRRefP25x_0" localSheetId="54">'333'!$P$164:$P$166</definedName>
    <definedName name="OSRRefP25x_0" localSheetId="73">'405'!$P$82</definedName>
    <definedName name="OSRRefP25x_0" localSheetId="75">'411'!$P$74:$P$75</definedName>
    <definedName name="OSRRefP25x_0" localSheetId="79">'415'!$P$83</definedName>
    <definedName name="OSRRefP25x_0" localSheetId="80">'418'!$P$67</definedName>
    <definedName name="OSRRefP25x_0" localSheetId="82">'423'!$P$30</definedName>
    <definedName name="OSRRefP25x_0" localSheetId="85">'455'!$P$21:$P$22</definedName>
    <definedName name="OSRRefP25x_0" localSheetId="72">'491'!$P$102:$P$104</definedName>
    <definedName name="OSRRefP25x_0" localSheetId="93">'501'!$P$62</definedName>
    <definedName name="OSRRefP25x_0" localSheetId="47">'Div 3'!$P$228:$P$232</definedName>
    <definedName name="OSRRefP25x_0" localSheetId="70">'Div 4'!$P$112:$P$114</definedName>
    <definedName name="OSRRefP25x_0" localSheetId="92">'Div 5'!$P$62</definedName>
    <definedName name="OSRRefP25x_0" localSheetId="61">'Div 6'!$P$99:$P$101</definedName>
    <definedName name="OSRRefP25x_0" localSheetId="2">Summary!$P$261:$P$269</definedName>
    <definedName name="OSRRefT13x_0" localSheetId="48">'300'!$T$13:$T$80</definedName>
    <definedName name="OSRRefT13x_0" localSheetId="49">'300 &amp; 317'!$T$13:$T$95</definedName>
    <definedName name="OSRRefT13x_0" localSheetId="55">'307'!$T$13:$T$25</definedName>
    <definedName name="OSRRefT13x_0" localSheetId="51">'308'!$T$13:$T$38</definedName>
    <definedName name="OSRRefT13x_0" localSheetId="64">'309'!$T$13:$T$16</definedName>
    <definedName name="OSRRefT13x_0" localSheetId="63">'310'!$T$13:$T$23</definedName>
    <definedName name="OSRRefT13x_0" localSheetId="71">'310 &amp; 491'!$T$13:$T$26</definedName>
    <definedName name="OSRRefT13x_0" localSheetId="52">'311'!$T$13:$T$38</definedName>
    <definedName name="OSRRefT13x_0" localSheetId="65">'313'!$T$13:$T$16</definedName>
    <definedName name="OSRRefT13x_0" localSheetId="57">'315'!$T$13:$T$54</definedName>
    <definedName name="OSRRefT13x_0" localSheetId="60">'316'!$T$13:$T$25</definedName>
    <definedName name="OSRRefT13x_0" localSheetId="62">'317'!$T$13:$T$34</definedName>
    <definedName name="OSRRefT13x_0" localSheetId="66">'321'!$T$13:$T$16</definedName>
    <definedName name="OSRRefT13x_0" localSheetId="53">'324'!$T$13:$T$16</definedName>
    <definedName name="OSRRefT13x_0" localSheetId="68">'325'!$T$13:$T$14</definedName>
    <definedName name="OSRRefT13x_0" localSheetId="58">'326'!$T$13:$T$36</definedName>
    <definedName name="OSRRefT13x_0" localSheetId="69">'327'!$T$13:$T$14</definedName>
    <definedName name="OSRRefT13x_0" localSheetId="56">'331'!$T$13:$T$54</definedName>
    <definedName name="OSRRefT13x_0" localSheetId="59">'332'!$T$13:$T$25</definedName>
    <definedName name="OSRRefT13x_0" localSheetId="54">'333'!$T$13:$T$56</definedName>
    <definedName name="OSRRefT13x_0" localSheetId="73">'405'!$T$13:$T$14</definedName>
    <definedName name="OSRRefT13x_0" localSheetId="78">'414'!$T$13</definedName>
    <definedName name="OSRRefT13x_0" localSheetId="79">'415'!$T$13:$T$14</definedName>
    <definedName name="OSRRefT13x_0" localSheetId="81">'420'!$T$13:$T$14</definedName>
    <definedName name="OSRRefT13x_0" localSheetId="84">'425'!$T$13</definedName>
    <definedName name="OSRRefT13x_0" localSheetId="88">'433'!$T$13:$T$15</definedName>
    <definedName name="OSRRefT13x_0" localSheetId="89">'435'!$T$13:$T$14</definedName>
    <definedName name="OSRRefT13x_0" localSheetId="90">'444'!$T$13:$T$15</definedName>
    <definedName name="OSRRefT13x_0" localSheetId="91">'450'!$T$13:$T$15</definedName>
    <definedName name="OSRRefT13x_0" localSheetId="72">'491'!$T$13:$T$18</definedName>
    <definedName name="OSRRefT13x_0" localSheetId="86">'492'!$T$13:$T$17</definedName>
    <definedName name="OSRRefT13x_0" localSheetId="93">'501'!$T$13</definedName>
    <definedName name="OSRRefT13x_0" localSheetId="47">'Div 3'!$T$13:$T$85</definedName>
    <definedName name="OSRRefT13x_0" localSheetId="70">'Div 4'!$T$13:$T$21</definedName>
    <definedName name="OSRRefT13x_0" localSheetId="92">'Div 5'!$T$13</definedName>
    <definedName name="OSRRefT13x_0" localSheetId="61">'Div 6'!$T$13:$T$34</definedName>
    <definedName name="OSRRefT13x_0" localSheetId="2">Summary!$T$13:$T$105</definedName>
    <definedName name="OSRRefT16x_0" localSheetId="48">'300'!$T$83:$T$123</definedName>
    <definedName name="OSRRefT16x_0" localSheetId="49">'300 &amp; 317'!$T$98:$T$147</definedName>
    <definedName name="OSRRefT16x_0" localSheetId="50">'301'!$T$15:$T$16</definedName>
    <definedName name="OSRRefT16x_0" localSheetId="55">'307'!$T$28:$T$37</definedName>
    <definedName name="OSRRefT16x_0" localSheetId="51">'308'!$T$41:$T$57</definedName>
    <definedName name="OSRRefT16x_0" localSheetId="64">'309'!$T$19:$T$20</definedName>
    <definedName name="OSRRefT16x_0" localSheetId="63">'310'!$T$26:$T$28</definedName>
    <definedName name="OSRRefT16x_0" localSheetId="71">'310 &amp; 491'!$T$29:$T$31</definedName>
    <definedName name="OSRRefT16x_0" localSheetId="52">'311'!$T$41:$T$57</definedName>
    <definedName name="OSRRefT16x_0" localSheetId="65">'313'!$T$19</definedName>
    <definedName name="OSRRefT16x_0" localSheetId="57">'315'!$T$57:$T$81</definedName>
    <definedName name="OSRRefT16x_0" localSheetId="60">'316'!$T$28</definedName>
    <definedName name="OSRRefT16x_0" localSheetId="62">'317'!$T$37:$T$50</definedName>
    <definedName name="OSRRefT16x_0" localSheetId="66">'321'!$T$19:$T$21</definedName>
    <definedName name="OSRRefT16x_0" localSheetId="67">'322'!$T$15</definedName>
    <definedName name="OSRRefT16x_0" localSheetId="53">'324'!$T$19:$T$21</definedName>
    <definedName name="OSRRefT16x_0" localSheetId="68">'325'!$T$17:$T$18</definedName>
    <definedName name="OSRRefT16x_0" localSheetId="58">'326'!$T$39:$T$46</definedName>
    <definedName name="OSRRefT16x_0" localSheetId="69">'327'!$T$17:$T$18</definedName>
    <definedName name="OSRRefT16x_0" localSheetId="56">'331'!$T$57:$T$82</definedName>
    <definedName name="OSRRefT16x_0" localSheetId="59">'332'!$T$28:$T$30</definedName>
    <definedName name="OSRRefT16x_0" localSheetId="54">'333'!$T$59:$T$84</definedName>
    <definedName name="OSRRefT16x_0" localSheetId="73">'405'!$T$17:$T$18</definedName>
    <definedName name="OSRRefT16x_0" localSheetId="78">'414'!$T$16</definedName>
    <definedName name="OSRRefT16x_0" localSheetId="79">'415'!$T$17:$T$18</definedName>
    <definedName name="OSRRefT16x_0" localSheetId="80">'418'!$T$15</definedName>
    <definedName name="OSRRefT16x_0" localSheetId="84">'425'!$T$16</definedName>
    <definedName name="OSRRefT16x_0" localSheetId="88">'433'!$T$18:$T$19</definedName>
    <definedName name="OSRRefT16x_0" localSheetId="89">'435'!$T$17</definedName>
    <definedName name="OSRRefT16x_0" localSheetId="90">'444'!$T$18:$T$19</definedName>
    <definedName name="OSRRefT16x_0" localSheetId="91">'450'!$T$18:$T$19</definedName>
    <definedName name="OSRRefT16x_0" localSheetId="72">'491'!$T$21:$T$22</definedName>
    <definedName name="OSRRefT16x_0" localSheetId="86">'492'!$T$20:$T$21</definedName>
    <definedName name="OSRRefT16x_0" localSheetId="47">'Div 3'!$T$88:$T$130</definedName>
    <definedName name="OSRRefT16x_0" localSheetId="70">'Div 4'!$T$24:$T$25</definedName>
    <definedName name="OSRRefT16x_0" localSheetId="61">'Div 6'!$T$37:$T$50</definedName>
    <definedName name="OSRRefT16x_0" localSheetId="2">Summary!$T$108:$T$159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'300'!$T$129:$T$138</definedName>
    <definedName name="OSRRefT22_0x_0" localSheetId="49">'300 &amp; 317'!$T$153:$T$162</definedName>
    <definedName name="OSRRefT22_0x_0" localSheetId="50">'301'!$T$22:$T$31</definedName>
    <definedName name="OSRRefT22_0x_0" localSheetId="55">'307'!$T$43:$T$48</definedName>
    <definedName name="OSRRefT22_0x_0" localSheetId="51">'308'!$T$63:$T$71</definedName>
    <definedName name="OSRRefT22_0x_0" localSheetId="64">'309'!$T$26:$T$27</definedName>
    <definedName name="OSRRefT22_0x_0" localSheetId="63">'310'!$T$34:$T$42</definedName>
    <definedName name="OSRRefT22_0x_0" localSheetId="71">'310 &amp; 491'!$T$37:$T$45</definedName>
    <definedName name="OSRRefT22_0x_0" localSheetId="52">'311'!$T$63:$T$71</definedName>
    <definedName name="OSRRefT22_0x_0" localSheetId="65">'313'!$T$25:$T$32</definedName>
    <definedName name="OSRRefT22_0x_0" localSheetId="57">'315'!$T$87:$T$94</definedName>
    <definedName name="OSRRefT22_0x_0" localSheetId="60">'316'!$T$34:$T$41</definedName>
    <definedName name="OSRRefT22_0x_0" localSheetId="62">'317'!$T$56:$T$64</definedName>
    <definedName name="OSRRefT22_0x_0" localSheetId="66">'321'!$T$27:$T$35</definedName>
    <definedName name="OSRRefT22_0x_0" localSheetId="67">'322'!$T$21:$T$25</definedName>
    <definedName name="OSRRefT22_0x_0" localSheetId="68">'325'!$T$24:$T$31</definedName>
    <definedName name="OSRRefT22_0x_0" localSheetId="58">'326'!$T$52:$T$59</definedName>
    <definedName name="OSRRefT22_0x_0" localSheetId="69">'327'!$T$24</definedName>
    <definedName name="OSRRefT22_0x_0" localSheetId="56">'331'!$T$88:$T$95</definedName>
    <definedName name="OSRRefT22_0x_0" localSheetId="59">'332'!$T$36:$T$43</definedName>
    <definedName name="OSRRefT22_0x_0" localSheetId="54">'333'!$T$90:$T$97</definedName>
    <definedName name="OSRRefT22_0x_0" localSheetId="73">'405'!$T$24:$T$31</definedName>
    <definedName name="OSRRefT22_0x_0" localSheetId="74">'406'!$T$20</definedName>
    <definedName name="OSRRefT22_0x_0" localSheetId="75">'411'!$T$20:$T$27</definedName>
    <definedName name="OSRRefT22_0x_0" localSheetId="76">'412'!$T$20</definedName>
    <definedName name="OSRRefT22_0x_0" localSheetId="77">'413'!$T$20:$T$24</definedName>
    <definedName name="OSRRefT22_0x_0" localSheetId="78">'414'!$T$22</definedName>
    <definedName name="OSRRefT22_0x_0" localSheetId="79">'415'!$T$24:$T$32</definedName>
    <definedName name="OSRRefT22_0x_0" localSheetId="80">'418'!$T$21:$T$28</definedName>
    <definedName name="OSRRefT22_0x_0" localSheetId="81">'420'!$T$22</definedName>
    <definedName name="OSRRefT22_0x_0" localSheetId="82">'423'!$T$20:$T$21</definedName>
    <definedName name="OSRRefT22_0x_0" localSheetId="83">'424'!$T$20</definedName>
    <definedName name="OSRRefT22_0x_0" localSheetId="84">'425'!$T$22:$T$26</definedName>
    <definedName name="OSRRefT22_0x_0" localSheetId="87">'430'!$T$20:$T$27</definedName>
    <definedName name="OSRRefT22_0x_0" localSheetId="88">'433'!$T$25:$T$33</definedName>
    <definedName name="OSRRefT22_0x_0" localSheetId="89">'435'!$T$23:$T$24</definedName>
    <definedName name="OSRRefT22_0x_0" localSheetId="90">'444'!$T$25:$T$33</definedName>
    <definedName name="OSRRefT22_0x_0" localSheetId="91">'450'!$T$25:$T$33</definedName>
    <definedName name="OSRRefT22_0x_0" localSheetId="72">'491'!$T$28:$T$36</definedName>
    <definedName name="OSRRefT22_0x_0" localSheetId="86">'492'!$T$27:$T$35</definedName>
    <definedName name="OSRRefT22_0x_0" localSheetId="93">'501'!$T$21:$T$29</definedName>
    <definedName name="OSRRefT22_0x_0" localSheetId="39">'Div 2'!$T$20:$T$30</definedName>
    <definedName name="OSRRefT22_0x_0" localSheetId="47">'Div 3'!$T$136:$T$145</definedName>
    <definedName name="OSRRefT22_0x_0" localSheetId="70">'Div 4'!$T$31:$T$39</definedName>
    <definedName name="OSRRefT22_0x_0" localSheetId="92">'Div 5'!$T$21:$T$29</definedName>
    <definedName name="OSRRefT22_0x_0" localSheetId="61">'Div 6'!$T$56:$T$64</definedName>
    <definedName name="OSRRefT22_0x_0" localSheetId="2">Summary!$T$165:$T$174</definedName>
    <definedName name="OSRRefT22_10x_0" localSheetId="41">'201'!$T$52:$T$54</definedName>
    <definedName name="OSRRefT22_10x_0" localSheetId="42">'202'!$T$54</definedName>
    <definedName name="OSRRefT22_10x_0" localSheetId="43">'203'!$T$56:$T$59</definedName>
    <definedName name="OSRRefT22_10x_0" localSheetId="48">'300'!$T$167:$T$168</definedName>
    <definedName name="OSRRefT22_10x_0" localSheetId="49">'300 &amp; 317'!$T$191:$T$192</definedName>
    <definedName name="OSRRefT22_10x_0" localSheetId="50">'301'!$T$60</definedName>
    <definedName name="OSRRefT22_10x_0" localSheetId="55">'307'!$T$74</definedName>
    <definedName name="OSRRefT22_10x_0" localSheetId="51">'308'!$T$101:$T$102</definedName>
    <definedName name="OSRRefT22_10x_0" localSheetId="64">'309'!$T$50:$T$51</definedName>
    <definedName name="OSRRefT22_10x_0" localSheetId="63">'310'!$T$68</definedName>
    <definedName name="OSRRefT22_10x_0" localSheetId="71">'310 &amp; 491'!$T$73</definedName>
    <definedName name="OSRRefT22_10x_0" localSheetId="52">'311'!$T$101:$T$102</definedName>
    <definedName name="OSRRefT22_10x_0" localSheetId="57">'315'!$T$122:$T$123</definedName>
    <definedName name="OSRRefT22_10x_0" localSheetId="60">'316'!$T$67</definedName>
    <definedName name="OSRRefT22_10x_0" localSheetId="62">'317'!$T$89:$T$92</definedName>
    <definedName name="OSRRefT22_10x_0" localSheetId="66">'321'!$T$63:$T$67</definedName>
    <definedName name="OSRRefT22_10x_0" localSheetId="68">'325'!$T$54:$T$55</definedName>
    <definedName name="OSRRefT22_10x_0" localSheetId="58">'326'!$T$84</definedName>
    <definedName name="OSRRefT22_10x_0" localSheetId="56">'331'!$T$122</definedName>
    <definedName name="OSRRefT22_10x_0" localSheetId="59">'332'!$T$69</definedName>
    <definedName name="OSRRefT22_10x_0" localSheetId="54">'333'!$T$124</definedName>
    <definedName name="OSRRefT22_10x_0" localSheetId="73">'405'!$T$55:$T$56</definedName>
    <definedName name="OSRRefT22_10x_0" localSheetId="75">'411'!$T$52:$T$55</definedName>
    <definedName name="OSRRefT22_10x_0" localSheetId="79">'415'!$T$57</definedName>
    <definedName name="OSRRefT22_10x_0" localSheetId="80">'418'!$T$53</definedName>
    <definedName name="OSRRefT22_10x_0" localSheetId="88">'433'!$T$58</definedName>
    <definedName name="OSRRefT22_10x_0" localSheetId="90">'444'!$T$58</definedName>
    <definedName name="OSRRefT22_10x_0" localSheetId="91">'450'!$T$57</definedName>
    <definedName name="OSRRefT22_10x_0" localSheetId="72">'491'!$T$62</definedName>
    <definedName name="OSRRefT22_10x_0" localSheetId="86">'492'!$T$61</definedName>
    <definedName name="OSRRefT22_10x_0" localSheetId="93">'501'!$T$59</definedName>
    <definedName name="OSRRefT22_10x_0" localSheetId="39">'Div 2'!$T$56</definedName>
    <definedName name="OSRRefT22_10x_0" localSheetId="47">'Div 3'!$T$174:$T$175</definedName>
    <definedName name="OSRRefT22_10x_0" localSheetId="70">'Div 4'!$T$66</definedName>
    <definedName name="OSRRefT22_10x_0" localSheetId="92">'Div 5'!$T$59</definedName>
    <definedName name="OSRRefT22_10x_0" localSheetId="61">'Div 6'!$T$89:$T$92</definedName>
    <definedName name="OSRRefT22_10x_0" localSheetId="2">Summary!$T$203:$T$204</definedName>
    <definedName name="OSRRefT22_11x_0" localSheetId="41">'201'!$T$56</definedName>
    <definedName name="OSRRefT22_11x_0" localSheetId="42">'202'!$T$56</definedName>
    <definedName name="OSRRefT22_11x_0" localSheetId="43">'203'!$T$61</definedName>
    <definedName name="OSRRefT22_11x_0" localSheetId="48">'300'!$T$170</definedName>
    <definedName name="OSRRefT22_11x_0" localSheetId="49">'300 &amp; 317'!$T$194</definedName>
    <definedName name="OSRRefT22_11x_0" localSheetId="50">'301'!$T$62</definedName>
    <definedName name="OSRRefT22_11x_0" localSheetId="55">'307'!$T$76:$T$79</definedName>
    <definedName name="OSRRefT22_11x_0" localSheetId="51">'308'!$T$104:$T$105</definedName>
    <definedName name="OSRRefT22_11x_0" localSheetId="64">'309'!$T$53</definedName>
    <definedName name="OSRRefT22_11x_0" localSheetId="63">'310'!$T$70:$T$71</definedName>
    <definedName name="OSRRefT22_11x_0" localSheetId="71">'310 &amp; 491'!$T$75</definedName>
    <definedName name="OSRRefT22_11x_0" localSheetId="52">'311'!$T$104:$T$105</definedName>
    <definedName name="OSRRefT22_11x_0" localSheetId="57">'315'!$T$125:$T$126</definedName>
    <definedName name="OSRRefT22_11x_0" localSheetId="60">'316'!$T$69:$T$74</definedName>
    <definedName name="OSRRefT22_11x_0" localSheetId="62">'317'!$T$94</definedName>
    <definedName name="OSRRefT22_11x_0" localSheetId="66">'321'!$T$69</definedName>
    <definedName name="OSRRefT22_11x_0" localSheetId="68">'325'!$T$57:$T$60</definedName>
    <definedName name="OSRRefT22_11x_0" localSheetId="58">'326'!$T$86:$T$88</definedName>
    <definedName name="OSRRefT22_11x_0" localSheetId="56">'331'!$T$124:$T$125</definedName>
    <definedName name="OSRRefT22_11x_0" localSheetId="59">'332'!$T$71:$T$76</definedName>
    <definedName name="OSRRefT22_11x_0" localSheetId="54">'333'!$T$126:$T$127</definedName>
    <definedName name="OSRRefT22_11x_0" localSheetId="73">'405'!$T$58:$T$61</definedName>
    <definedName name="OSRRefT22_11x_0" localSheetId="75">'411'!$T$57:$T$59</definedName>
    <definedName name="OSRRefT22_11x_0" localSheetId="79">'415'!$T$59:$T$60</definedName>
    <definedName name="OSRRefT22_11x_0" localSheetId="80">'418'!$T$55:$T$60</definedName>
    <definedName name="OSRRefT22_11x_0" localSheetId="88">'433'!$T$60:$T$61</definedName>
    <definedName name="OSRRefT22_11x_0" localSheetId="90">'444'!$T$60:$T$61</definedName>
    <definedName name="OSRRefT22_11x_0" localSheetId="91">'450'!$T$59</definedName>
    <definedName name="OSRRefT22_11x_0" localSheetId="72">'491'!$T$64</definedName>
    <definedName name="OSRRefT22_11x_0" localSheetId="86">'492'!$T$63</definedName>
    <definedName name="OSRRefT22_11x_0" localSheetId="39">'Div 2'!$T$58</definedName>
    <definedName name="OSRRefT22_11x_0" localSheetId="47">'Div 3'!$T$177</definedName>
    <definedName name="OSRRefT22_11x_0" localSheetId="70">'Div 4'!$T$68</definedName>
    <definedName name="OSRRefT22_11x_0" localSheetId="61">'Div 6'!$T$94</definedName>
    <definedName name="OSRRefT22_11x_0" localSheetId="2">Summary!$T$206</definedName>
    <definedName name="OSRRefT22_12x_0" localSheetId="41">'201'!$T$58:$T$59</definedName>
    <definedName name="OSRRefT22_12x_0" localSheetId="42">'202'!$T$58</definedName>
    <definedName name="OSRRefT22_12x_0" localSheetId="43">'203'!$T$63</definedName>
    <definedName name="OSRRefT22_12x_0" localSheetId="48">'300'!$T$172</definedName>
    <definedName name="OSRRefT22_12x_0" localSheetId="49">'300 &amp; 317'!$T$196</definedName>
    <definedName name="OSRRefT22_12x_0" localSheetId="50">'301'!$T$64</definedName>
    <definedName name="OSRRefT22_12x_0" localSheetId="55">'307'!$T$81</definedName>
    <definedName name="OSRRefT22_12x_0" localSheetId="51">'308'!$T$107:$T$108</definedName>
    <definedName name="OSRRefT22_12x_0" localSheetId="64">'309'!$T$55</definedName>
    <definedName name="OSRRefT22_12x_0" localSheetId="63">'310'!$T$73</definedName>
    <definedName name="OSRRefT22_12x_0" localSheetId="71">'310 &amp; 491'!$T$77</definedName>
    <definedName name="OSRRefT22_12x_0" localSheetId="52">'311'!$T$107:$T$108</definedName>
    <definedName name="OSRRefT22_12x_0" localSheetId="57">'315'!$T$128:$T$129</definedName>
    <definedName name="OSRRefT22_12x_0" localSheetId="60">'316'!$T$76</definedName>
    <definedName name="OSRRefT22_12x_0" localSheetId="62">'317'!$T$96</definedName>
    <definedName name="OSRRefT22_12x_0" localSheetId="66">'321'!$T$71</definedName>
    <definedName name="OSRRefT22_12x_0" localSheetId="68">'325'!$T$62:$T$67</definedName>
    <definedName name="OSRRefT22_12x_0" localSheetId="58">'326'!$T$90:$T$92</definedName>
    <definedName name="OSRRefT22_12x_0" localSheetId="56">'331'!$T$127</definedName>
    <definedName name="OSRRefT22_12x_0" localSheetId="59">'332'!$T$78</definedName>
    <definedName name="OSRRefT22_12x_0" localSheetId="54">'333'!$T$129</definedName>
    <definedName name="OSRRefT22_12x_0" localSheetId="73">'405'!$T$63</definedName>
    <definedName name="OSRRefT22_12x_0" localSheetId="75">'411'!$T$61</definedName>
    <definedName name="OSRRefT22_12x_0" localSheetId="79">'415'!$T$62:$T$65</definedName>
    <definedName name="OSRRefT22_12x_0" localSheetId="80">'418'!$T$62</definedName>
    <definedName name="OSRRefT22_12x_0" localSheetId="88">'433'!$T$63:$T$65</definedName>
    <definedName name="OSRRefT22_12x_0" localSheetId="90">'444'!$T$63:$T$66</definedName>
    <definedName name="OSRRefT22_12x_0" localSheetId="91">'450'!$T$61:$T$62</definedName>
    <definedName name="OSRRefT22_12x_0" localSheetId="72">'491'!$T$66</definedName>
    <definedName name="OSRRefT22_12x_0" localSheetId="86">'492'!$T$65:$T$67</definedName>
    <definedName name="OSRRefT22_12x_0" localSheetId="39">'Div 2'!$T$60:$T$62</definedName>
    <definedName name="OSRRefT22_12x_0" localSheetId="47">'Div 3'!$T$179</definedName>
    <definedName name="OSRRefT22_12x_0" localSheetId="70">'Div 4'!$T$70</definedName>
    <definedName name="OSRRefT22_12x_0" localSheetId="61">'Div 6'!$T$96</definedName>
    <definedName name="OSRRefT22_12x_0" localSheetId="2">Summary!$T$208</definedName>
    <definedName name="OSRRefT22_13x_0" localSheetId="41">'201'!$T$61</definedName>
    <definedName name="OSRRefT22_13x_0" localSheetId="43">'203'!$T$65</definedName>
    <definedName name="OSRRefT22_13x_0" localSheetId="48">'300'!$T$174:$T$175</definedName>
    <definedName name="OSRRefT22_13x_0" localSheetId="49">'300 &amp; 317'!$T$198:$T$199</definedName>
    <definedName name="OSRRefT22_13x_0" localSheetId="50">'301'!$T$66</definedName>
    <definedName name="OSRRefT22_13x_0" localSheetId="55">'307'!$T$83</definedName>
    <definedName name="OSRRefT22_13x_0" localSheetId="51">'308'!$T$110</definedName>
    <definedName name="OSRRefT22_13x_0" localSheetId="63">'310'!$T$75:$T$78</definedName>
    <definedName name="OSRRefT22_13x_0" localSheetId="71">'310 &amp; 491'!$T$79:$T$82</definedName>
    <definedName name="OSRRefT22_13x_0" localSheetId="52">'311'!$T$110</definedName>
    <definedName name="OSRRefT22_13x_0" localSheetId="57">'315'!$T$131:$T$135</definedName>
    <definedName name="OSRRefT22_13x_0" localSheetId="60">'316'!$T$78</definedName>
    <definedName name="OSRRefT22_13x_0" localSheetId="66">'321'!$T$73</definedName>
    <definedName name="OSRRefT22_13x_0" localSheetId="68">'325'!$T$69</definedName>
    <definedName name="OSRRefT22_13x_0" localSheetId="58">'326'!$T$94:$T$95</definedName>
    <definedName name="OSRRefT22_13x_0" localSheetId="56">'331'!$T$129</definedName>
    <definedName name="OSRRefT22_13x_0" localSheetId="59">'332'!$T$80</definedName>
    <definedName name="OSRRefT22_13x_0" localSheetId="54">'333'!$T$131</definedName>
    <definedName name="OSRRefT22_13x_0" localSheetId="73">'405'!$T$65:$T$73</definedName>
    <definedName name="OSRRefT22_13x_0" localSheetId="75">'411'!$T$63:$T$64</definedName>
    <definedName name="OSRRefT22_13x_0" localSheetId="79">'415'!$T$67</definedName>
    <definedName name="OSRRefT22_13x_0" localSheetId="80">'418'!$T$64</definedName>
    <definedName name="OSRRefT22_13x_0" localSheetId="88">'433'!$T$67:$T$74</definedName>
    <definedName name="OSRRefT22_13x_0" localSheetId="90">'444'!$T$68</definedName>
    <definedName name="OSRRefT22_13x_0" localSheetId="91">'450'!$T$64:$T$66</definedName>
    <definedName name="OSRRefT22_13x_0" localSheetId="72">'491'!$T$68:$T$71</definedName>
    <definedName name="OSRRefT22_13x_0" localSheetId="86">'492'!$T$69:$T$72</definedName>
    <definedName name="OSRRefT22_13x_0" localSheetId="39">'Div 2'!$T$64:$T$67</definedName>
    <definedName name="OSRRefT22_13x_0" localSheetId="47">'Div 3'!$T$181</definedName>
    <definedName name="OSRRefT22_13x_0" localSheetId="70">'Div 4'!$T$72</definedName>
    <definedName name="OSRRefT22_13x_0" localSheetId="2">Summary!$T$210</definedName>
    <definedName name="OSRRefT22_14x_0" localSheetId="41">'201'!$T$63</definedName>
    <definedName name="OSRRefT22_14x_0" localSheetId="48">'300'!$T$177</definedName>
    <definedName name="OSRRefT22_14x_0" localSheetId="49">'300 &amp; 317'!$T$201</definedName>
    <definedName name="OSRRefT22_14x_0" localSheetId="50">'301'!$T$68</definedName>
    <definedName name="OSRRefT22_14x_0" localSheetId="51">'308'!$T$112</definedName>
    <definedName name="OSRRefT22_14x_0" localSheetId="63">'310'!$T$80:$T$85</definedName>
    <definedName name="OSRRefT22_14x_0" localSheetId="71">'310 &amp; 491'!$T$84</definedName>
    <definedName name="OSRRefT22_14x_0" localSheetId="52">'311'!$T$112</definedName>
    <definedName name="OSRRefT22_14x_0" localSheetId="57">'315'!$T$137</definedName>
    <definedName name="OSRRefT22_14x_0" localSheetId="68">'325'!$T$71</definedName>
    <definedName name="OSRRefT22_14x_0" localSheetId="58">'326'!$T$97:$T$100</definedName>
    <definedName name="OSRRefT22_14x_0" localSheetId="56">'331'!$T$131:$T$133</definedName>
    <definedName name="OSRRefT22_14x_0" localSheetId="54">'333'!$T$133:$T$135</definedName>
    <definedName name="OSRRefT22_14x_0" localSheetId="73">'405'!$T$75</definedName>
    <definedName name="OSRRefT22_14x_0" localSheetId="75">'411'!$T$66</definedName>
    <definedName name="OSRRefT22_14x_0" localSheetId="79">'415'!$T$69:$T$74</definedName>
    <definedName name="OSRRefT22_14x_0" localSheetId="88">'433'!$T$76</definedName>
    <definedName name="OSRRefT22_14x_0" localSheetId="90">'444'!$T$70:$T$77</definedName>
    <definedName name="OSRRefT22_14x_0" localSheetId="91">'450'!$T$68:$T$73</definedName>
    <definedName name="OSRRefT22_14x_0" localSheetId="72">'491'!$T$73</definedName>
    <definedName name="OSRRefT22_14x_0" localSheetId="86">'492'!$T$74</definedName>
    <definedName name="OSRRefT22_14x_0" localSheetId="39">'Div 2'!$T$69</definedName>
    <definedName name="OSRRefT22_14x_0" localSheetId="47">'Div 3'!$T$183:$T$184</definedName>
    <definedName name="OSRRefT22_14x_0" localSheetId="70">'Div 4'!$T$74</definedName>
    <definedName name="OSRRefT22_14x_0" localSheetId="2">Summary!$T$212:$T$213</definedName>
    <definedName name="OSRRefT22_15x_0" localSheetId="48">'300'!$T$179</definedName>
    <definedName name="OSRRefT22_15x_0" localSheetId="49">'300 &amp; 317'!$T$203</definedName>
    <definedName name="OSRRefT22_15x_0" localSheetId="50">'301'!$T$70:$T$73</definedName>
    <definedName name="OSRRefT22_15x_0" localSheetId="63">'310'!$T$87</definedName>
    <definedName name="OSRRefT22_15x_0" localSheetId="71">'310 &amp; 491'!$T$86:$T$89</definedName>
    <definedName name="OSRRefT22_15x_0" localSheetId="57">'315'!$T$139</definedName>
    <definedName name="OSRRefT22_15x_0" localSheetId="68">'325'!$T$73</definedName>
    <definedName name="OSRRefT22_15x_0" localSheetId="58">'326'!$T$102</definedName>
    <definedName name="OSRRefT22_15x_0" localSheetId="56">'331'!$T$135:$T$136</definedName>
    <definedName name="OSRRefT22_15x_0" localSheetId="54">'333'!$T$137:$T$138</definedName>
    <definedName name="OSRRefT22_15x_0" localSheetId="73">'405'!$T$77</definedName>
    <definedName name="OSRRefT22_15x_0" localSheetId="75">'411'!$T$68:$T$69</definedName>
    <definedName name="OSRRefT22_15x_0" localSheetId="79">'415'!$T$76</definedName>
    <definedName name="OSRRefT22_15x_0" localSheetId="88">'433'!$T$78</definedName>
    <definedName name="OSRRefT22_15x_0" localSheetId="90">'444'!$T$79</definedName>
    <definedName name="OSRRefT22_15x_0" localSheetId="91">'450'!$T$75</definedName>
    <definedName name="OSRRefT22_15x_0" localSheetId="72">'491'!$T$75:$T$78</definedName>
    <definedName name="OSRRefT22_15x_0" localSheetId="86">'492'!$T$76:$T$83</definedName>
    <definedName name="OSRRefT22_15x_0" localSheetId="39">'Div 2'!$T$71:$T$72</definedName>
    <definedName name="OSRRefT22_15x_0" localSheetId="47">'Div 3'!$T$186</definedName>
    <definedName name="OSRRefT22_15x_0" localSheetId="70">'Div 4'!$T$76:$T$79</definedName>
    <definedName name="OSRRefT22_15x_0" localSheetId="2">Summary!$T$215</definedName>
    <definedName name="OSRRefT22_16x_0" localSheetId="48">'300'!$T$181:$T$184</definedName>
    <definedName name="OSRRefT22_16x_0" localSheetId="49">'300 &amp; 317'!$T$205:$T$208</definedName>
    <definedName name="OSRRefT22_16x_0" localSheetId="50">'301'!$T$75:$T$77</definedName>
    <definedName name="OSRRefT22_16x_0" localSheetId="63">'310'!$T$89</definedName>
    <definedName name="OSRRefT22_16x_0" localSheetId="71">'310 &amp; 491'!$T$91</definedName>
    <definedName name="OSRRefT22_16x_0" localSheetId="57">'315'!$T$141</definedName>
    <definedName name="OSRRefT22_16x_0" localSheetId="58">'326'!$T$104</definedName>
    <definedName name="OSRRefT22_16x_0" localSheetId="56">'331'!$T$138:$T$140</definedName>
    <definedName name="OSRRefT22_16x_0" localSheetId="54">'333'!$T$140:$T$143</definedName>
    <definedName name="OSRRefT22_16x_0" localSheetId="73">'405'!$T$79</definedName>
    <definedName name="OSRRefT22_16x_0" localSheetId="75">'411'!$T$71</definedName>
    <definedName name="OSRRefT22_16x_0" localSheetId="79">'415'!$T$78</definedName>
    <definedName name="OSRRefT22_16x_0" localSheetId="90">'444'!$T$81</definedName>
    <definedName name="OSRRefT22_16x_0" localSheetId="91">'450'!$T$77</definedName>
    <definedName name="OSRRefT22_16x_0" localSheetId="72">'491'!$T$80</definedName>
    <definedName name="OSRRefT22_16x_0" localSheetId="86">'492'!$T$85</definedName>
    <definedName name="OSRRefT22_16x_0" localSheetId="39">'Div 2'!$T$74:$T$78</definedName>
    <definedName name="OSRRefT22_16x_0" localSheetId="47">'Div 3'!$T$188</definedName>
    <definedName name="OSRRefT22_16x_0" localSheetId="70">'Div 4'!$T$81</definedName>
    <definedName name="OSRRefT22_16x_0" localSheetId="2">Summary!$T$217</definedName>
    <definedName name="OSRRefT22_17x_0" localSheetId="48">'300'!$T$186:$T$188</definedName>
    <definedName name="OSRRefT22_17x_0" localSheetId="49">'300 &amp; 317'!$T$210:$T$212</definedName>
    <definedName name="OSRRefT22_17x_0" localSheetId="50">'301'!$T$79</definedName>
    <definedName name="OSRRefT22_17x_0" localSheetId="63">'310'!$T$91</definedName>
    <definedName name="OSRRefT22_17x_0" localSheetId="71">'310 &amp; 491'!$T$93:$T$101</definedName>
    <definedName name="OSRRefT22_17x_0" localSheetId="58">'326'!$T$106</definedName>
    <definedName name="OSRRefT22_17x_0" localSheetId="56">'331'!$T$142:$T$143</definedName>
    <definedName name="OSRRefT22_17x_0" localSheetId="54">'333'!$T$145:$T$146</definedName>
    <definedName name="OSRRefT22_17x_0" localSheetId="79">'415'!$T$80</definedName>
    <definedName name="OSRRefT22_17x_0" localSheetId="90">'444'!$T$83</definedName>
    <definedName name="OSRRefT22_17x_0" localSheetId="91">'450'!$T$79</definedName>
    <definedName name="OSRRefT22_17x_0" localSheetId="72">'491'!$T$82:$T$90</definedName>
    <definedName name="OSRRefT22_17x_0" localSheetId="86">'492'!$T$87</definedName>
    <definedName name="OSRRefT22_17x_0" localSheetId="39">'Div 2'!$T$80:$T$81</definedName>
    <definedName name="OSRRefT22_17x_0" localSheetId="47">'Div 3'!$T$190:$T$193</definedName>
    <definedName name="OSRRefT22_17x_0" localSheetId="70">'Div 4'!$T$83:$T$86</definedName>
    <definedName name="OSRRefT22_17x_0" localSheetId="2">Summary!$T$219</definedName>
    <definedName name="OSRRefT22_18x_0" localSheetId="48">'300'!$T$190:$T$193</definedName>
    <definedName name="OSRRefT22_18x_0" localSheetId="49">'300 &amp; 317'!$T$214:$T$217</definedName>
    <definedName name="OSRRefT22_18x_0" localSheetId="50">'301'!$T$81:$T$86</definedName>
    <definedName name="OSRRefT22_18x_0" localSheetId="71">'310 &amp; 491'!$T$103</definedName>
    <definedName name="OSRRefT22_18x_0" localSheetId="56">'331'!$T$145:$T$150</definedName>
    <definedName name="OSRRefT22_18x_0" localSheetId="54">'333'!$T$148:$T$153</definedName>
    <definedName name="OSRRefT22_18x_0" localSheetId="72">'491'!$T$92</definedName>
    <definedName name="OSRRefT22_18x_0" localSheetId="86">'492'!$T$89:$T$91</definedName>
    <definedName name="OSRRefT22_18x_0" localSheetId="39">'Div 2'!$T$83</definedName>
    <definedName name="OSRRefT22_18x_0" localSheetId="47">'Div 3'!$T$195:$T$197</definedName>
    <definedName name="OSRRefT22_18x_0" localSheetId="70">'Div 4'!$T$88:$T$89</definedName>
    <definedName name="OSRRefT22_18x_0" localSheetId="2">Summary!$T$221:$T$224</definedName>
    <definedName name="OSRRefT22_19x_0" localSheetId="48">'300'!$T$195:$T$196</definedName>
    <definedName name="OSRRefT22_19x_0" localSheetId="49">'300 &amp; 317'!$T$219:$T$220</definedName>
    <definedName name="OSRRefT22_19x_0" localSheetId="50">'301'!$T$88</definedName>
    <definedName name="OSRRefT22_19x_0" localSheetId="71">'310 &amp; 491'!$T$105</definedName>
    <definedName name="OSRRefT22_19x_0" localSheetId="56">'331'!$T$152</definedName>
    <definedName name="OSRRefT22_19x_0" localSheetId="54">'333'!$T$155</definedName>
    <definedName name="OSRRefT22_19x_0" localSheetId="72">'491'!$T$94</definedName>
    <definedName name="OSRRefT22_19x_0" localSheetId="39">'Div 2'!$T$85:$T$86</definedName>
    <definedName name="OSRRefT22_19x_0" localSheetId="47">'Div 3'!$T$199:$T$203</definedName>
    <definedName name="OSRRefT22_19x_0" localSheetId="70">'Div 4'!$T$91:$T$99</definedName>
    <definedName name="OSRRefT22_19x_0" localSheetId="2">Summary!$T$226:$T$228</definedName>
    <definedName name="OSRRefT22_1x_0" localSheetId="40">'200'!$T$22</definedName>
    <definedName name="OSRRefT22_1x_0" localSheetId="41">'201'!$T$29:$T$32</definedName>
    <definedName name="OSRRefT22_1x_0" localSheetId="42">'202'!$T$29:$T$31</definedName>
    <definedName name="OSRRefT22_1x_0" localSheetId="43">'203'!$T$31:$T$35</definedName>
    <definedName name="OSRRefT22_1x_0" localSheetId="44">'204'!$T$30:$T$32</definedName>
    <definedName name="OSRRefT22_1x_0" localSheetId="45">'205'!$T$29</definedName>
    <definedName name="OSRRefT22_1x_0" localSheetId="46">'206'!$T$29:$T$32</definedName>
    <definedName name="OSRRefT22_1x_0" localSheetId="48">'300'!$T$140:$T$146</definedName>
    <definedName name="OSRRefT22_1x_0" localSheetId="49">'300 &amp; 317'!$T$164:$T$170</definedName>
    <definedName name="OSRRefT22_1x_0" localSheetId="50">'301'!$T$33:$T$39</definedName>
    <definedName name="OSRRefT22_1x_0" localSheetId="55">'307'!$T$50:$T$53</definedName>
    <definedName name="OSRRefT22_1x_0" localSheetId="51">'308'!$T$73:$T$79</definedName>
    <definedName name="OSRRefT22_1x_0" localSheetId="64">'309'!$T$29:$T$30</definedName>
    <definedName name="OSRRefT22_1x_0" localSheetId="63">'310'!$T$44:$T$49</definedName>
    <definedName name="OSRRefT22_1x_0" localSheetId="71">'310 &amp; 491'!$T$47:$T$53</definedName>
    <definedName name="OSRRefT22_1x_0" localSheetId="52">'311'!$T$73:$T$79</definedName>
    <definedName name="OSRRefT22_1x_0" localSheetId="65">'313'!$T$34</definedName>
    <definedName name="OSRRefT22_1x_0" localSheetId="57">'315'!$T$96:$T$101</definedName>
    <definedName name="OSRRefT22_1x_0" localSheetId="60">'316'!$T$43:$T$46</definedName>
    <definedName name="OSRRefT22_1x_0" localSheetId="62">'317'!$T$66:$T$70</definedName>
    <definedName name="OSRRefT22_1x_0" localSheetId="66">'321'!$T$37:$T$42</definedName>
    <definedName name="OSRRefT22_1x_0" localSheetId="67">'322'!$T$27</definedName>
    <definedName name="OSRRefT22_1x_0" localSheetId="68">'325'!$T$33:$T$35</definedName>
    <definedName name="OSRRefT22_1x_0" localSheetId="58">'326'!$T$61:$T$66</definedName>
    <definedName name="OSRRefT22_1x_0" localSheetId="69">'327'!$T$26</definedName>
    <definedName name="OSRRefT22_1x_0" localSheetId="56">'331'!$T$97:$T$102</definedName>
    <definedName name="OSRRefT22_1x_0" localSheetId="59">'332'!$T$45:$T$48</definedName>
    <definedName name="OSRRefT22_1x_0" localSheetId="54">'333'!$T$99:$T$104</definedName>
    <definedName name="OSRRefT22_1x_0" localSheetId="73">'405'!$T$33:$T$36</definedName>
    <definedName name="OSRRefT22_1x_0" localSheetId="74">'406'!$T$22</definedName>
    <definedName name="OSRRefT22_1x_0" localSheetId="75">'411'!$T$29:$T$33</definedName>
    <definedName name="OSRRefT22_1x_0" localSheetId="76">'412'!$T$22</definedName>
    <definedName name="OSRRefT22_1x_0" localSheetId="77">'413'!$T$26</definedName>
    <definedName name="OSRRefT22_1x_0" localSheetId="78">'414'!$T$24</definedName>
    <definedName name="OSRRefT22_1x_0" localSheetId="79">'415'!$T$34:$T$38</definedName>
    <definedName name="OSRRefT22_1x_0" localSheetId="80">'418'!$T$30:$T$33</definedName>
    <definedName name="OSRRefT22_1x_0" localSheetId="81">'420'!$T$24</definedName>
    <definedName name="OSRRefT22_1x_0" localSheetId="82">'423'!$T$23</definedName>
    <definedName name="OSRRefT22_1x_0" localSheetId="83">'424'!$T$22</definedName>
    <definedName name="OSRRefT22_1x_0" localSheetId="84">'425'!$T$28</definedName>
    <definedName name="OSRRefT22_1x_0" localSheetId="87">'430'!$T$29</definedName>
    <definedName name="OSRRefT22_1x_0" localSheetId="88">'433'!$T$35:$T$40</definedName>
    <definedName name="OSRRefT22_1x_0" localSheetId="89">'435'!$T$26</definedName>
    <definedName name="OSRRefT22_1x_0" localSheetId="90">'444'!$T$35:$T$40</definedName>
    <definedName name="OSRRefT22_1x_0" localSheetId="91">'450'!$T$35:$T$39</definedName>
    <definedName name="OSRRefT22_1x_0" localSheetId="72">'491'!$T$38:$T$43</definedName>
    <definedName name="OSRRefT22_1x_0" localSheetId="86">'492'!$T$37:$T$43</definedName>
    <definedName name="OSRRefT22_1x_0" localSheetId="93">'501'!$T$31:$T$36</definedName>
    <definedName name="OSRRefT22_1x_0" localSheetId="39">'Div 2'!$T$32:$T$37</definedName>
    <definedName name="OSRRefT22_1x_0" localSheetId="47">'Div 3'!$T$147:$T$153</definedName>
    <definedName name="OSRRefT22_1x_0" localSheetId="70">'Div 4'!$T$41:$T$47</definedName>
    <definedName name="OSRRefT22_1x_0" localSheetId="92">'Div 5'!$T$31:$T$36</definedName>
    <definedName name="OSRRefT22_1x_0" localSheetId="61">'Div 6'!$T$66:$T$70</definedName>
    <definedName name="OSRRefT22_1x_0" localSheetId="2">Summary!$T$176:$T$182</definedName>
    <definedName name="OSRRefT22_20x_0" localSheetId="48">'300'!$T$198:$T$204</definedName>
    <definedName name="OSRRefT22_20x_0" localSheetId="49">'300 &amp; 317'!$T$222:$T$228</definedName>
    <definedName name="OSRRefT22_20x_0" localSheetId="50">'301'!$T$90</definedName>
    <definedName name="OSRRefT22_20x_0" localSheetId="71">'310 &amp; 491'!$T$107:$T$108</definedName>
    <definedName name="OSRRefT22_20x_0" localSheetId="56">'331'!$T$154</definedName>
    <definedName name="OSRRefT22_20x_0" localSheetId="54">'333'!$T$157</definedName>
    <definedName name="OSRRefT22_20x_0" localSheetId="72">'491'!$T$96:$T$97</definedName>
    <definedName name="OSRRefT22_20x_0" localSheetId="47">'Div 3'!$T$205:$T$206</definedName>
    <definedName name="OSRRefT22_20x_0" localSheetId="70">'Div 4'!$T$101</definedName>
    <definedName name="OSRRefT22_20x_0" localSheetId="2">Summary!$T$230:$T$234</definedName>
    <definedName name="OSRRefT22_21x_0" localSheetId="48">'300'!$T$206:$T$207</definedName>
    <definedName name="OSRRefT22_21x_0" localSheetId="49">'300 &amp; 317'!$T$230:$T$231</definedName>
    <definedName name="OSRRefT22_21x_0" localSheetId="50">'301'!$T$92:$T$93</definedName>
    <definedName name="OSRRefT22_21x_0" localSheetId="71">'310 &amp; 491'!$T$110</definedName>
    <definedName name="OSRRefT22_21x_0" localSheetId="56">'331'!$T$156</definedName>
    <definedName name="OSRRefT22_21x_0" localSheetId="54">'333'!$T$159</definedName>
    <definedName name="OSRRefT22_21x_0" localSheetId="72">'491'!$T$99</definedName>
    <definedName name="OSRRefT22_21x_0" localSheetId="47">'Div 3'!$T$208:$T$214</definedName>
    <definedName name="OSRRefT22_21x_0" localSheetId="70">'Div 4'!$T$103</definedName>
    <definedName name="OSRRefT22_21x_0" localSheetId="2">Summary!$T$236:$T$237</definedName>
    <definedName name="OSRRefT22_22x_0" localSheetId="48">'300'!$T$209</definedName>
    <definedName name="OSRRefT22_22x_0" localSheetId="49">'300 &amp; 317'!$T$233</definedName>
    <definedName name="OSRRefT22_22x_0" localSheetId="50">'301'!$T$95</definedName>
    <definedName name="OSRRefT22_22x_0" localSheetId="56">'331'!$T$158</definedName>
    <definedName name="OSRRefT22_22x_0" localSheetId="54">'333'!$T$161</definedName>
    <definedName name="OSRRefT22_22x_0" localSheetId="47">'Div 3'!$T$216:$T$217</definedName>
    <definedName name="OSRRefT22_22x_0" localSheetId="70">'Div 4'!$T$105:$T$107</definedName>
    <definedName name="OSRRefT22_22x_0" localSheetId="2">Summary!$T$239:$T$247</definedName>
    <definedName name="OSRRefT22_23x_0" localSheetId="48">'300'!$T$211:$T$213</definedName>
    <definedName name="OSRRefT22_23x_0" localSheetId="49">'300 &amp; 317'!$T$235:$T$237</definedName>
    <definedName name="OSRRefT22_23x_0" localSheetId="47">'Div 3'!$T$219</definedName>
    <definedName name="OSRRefT22_23x_0" localSheetId="70">'Div 4'!$T$109</definedName>
    <definedName name="OSRRefT22_23x_0" localSheetId="2">Summary!$T$249:$T$250</definedName>
    <definedName name="OSRRefT22_24x_0" localSheetId="48">'300'!$T$215</definedName>
    <definedName name="OSRRefT22_24x_0" localSheetId="49">'300 &amp; 317'!$T$239</definedName>
    <definedName name="OSRRefT22_24x_0" localSheetId="47">'Div 3'!$T$221:$T$223</definedName>
    <definedName name="OSRRefT22_24x_0" localSheetId="2">Summary!$T$252</definedName>
    <definedName name="OSRRefT22_25x_0" localSheetId="47">'Div 3'!$T$225</definedName>
    <definedName name="OSRRefT22_25x_0" localSheetId="2">Summary!$T$254:$T$256</definedName>
    <definedName name="OSRRefT22_26x_0" localSheetId="2">Summary!$T$258</definedName>
    <definedName name="OSRRefT22_2x_0" localSheetId="40">'200'!$T$24</definedName>
    <definedName name="OSRRefT22_2x_0" localSheetId="41">'201'!$T$34</definedName>
    <definedName name="OSRRefT22_2x_0" localSheetId="42">'202'!$T$33</definedName>
    <definedName name="OSRRefT22_2x_0" localSheetId="43">'203'!$T$37</definedName>
    <definedName name="OSRRefT22_2x_0" localSheetId="44">'204'!$T$34</definedName>
    <definedName name="OSRRefT22_2x_0" localSheetId="45">'205'!$T$31</definedName>
    <definedName name="OSRRefT22_2x_0" localSheetId="46">'206'!$T$34</definedName>
    <definedName name="OSRRefT22_2x_0" localSheetId="48">'300'!$T$148</definedName>
    <definedName name="OSRRefT22_2x_0" localSheetId="49">'300 &amp; 317'!$T$172</definedName>
    <definedName name="OSRRefT22_2x_0" localSheetId="50">'301'!$T$41</definedName>
    <definedName name="OSRRefT22_2x_0" localSheetId="55">'307'!$T$55</definedName>
    <definedName name="OSRRefT22_2x_0" localSheetId="51">'308'!$T$81</definedName>
    <definedName name="OSRRefT22_2x_0" localSheetId="64">'309'!$T$32</definedName>
    <definedName name="OSRRefT22_2x_0" localSheetId="63">'310'!$T$51</definedName>
    <definedName name="OSRRefT22_2x_0" localSheetId="71">'310 &amp; 491'!$T$55</definedName>
    <definedName name="OSRRefT22_2x_0" localSheetId="52">'311'!$T$81</definedName>
    <definedName name="OSRRefT22_2x_0" localSheetId="65">'313'!$T$36</definedName>
    <definedName name="OSRRefT22_2x_0" localSheetId="57">'315'!$T$103</definedName>
    <definedName name="OSRRefT22_2x_0" localSheetId="60">'316'!$T$48</definedName>
    <definedName name="OSRRefT22_2x_0" localSheetId="62">'317'!$T$72</definedName>
    <definedName name="OSRRefT22_2x_0" localSheetId="66">'321'!$T$44</definedName>
    <definedName name="OSRRefT22_2x_0" localSheetId="67">'322'!$T$29</definedName>
    <definedName name="OSRRefT22_2x_0" localSheetId="68">'325'!$T$37</definedName>
    <definedName name="OSRRefT22_2x_0" localSheetId="58">'326'!$T$68</definedName>
    <definedName name="OSRRefT22_2x_0" localSheetId="56">'331'!$T$104</definedName>
    <definedName name="OSRRefT22_2x_0" localSheetId="59">'332'!$T$50</definedName>
    <definedName name="OSRRefT22_2x_0" localSheetId="54">'333'!$T$106</definedName>
    <definedName name="OSRRefT22_2x_0" localSheetId="73">'405'!$T$38</definedName>
    <definedName name="OSRRefT22_2x_0" localSheetId="74">'406'!$T$24</definedName>
    <definedName name="OSRRefT22_2x_0" localSheetId="75">'411'!$T$35</definedName>
    <definedName name="OSRRefT22_2x_0" localSheetId="76">'412'!$T$24</definedName>
    <definedName name="OSRRefT22_2x_0" localSheetId="77">'413'!$T$28</definedName>
    <definedName name="OSRRefT22_2x_0" localSheetId="78">'414'!$T$26</definedName>
    <definedName name="OSRRefT22_2x_0" localSheetId="79">'415'!$T$40</definedName>
    <definedName name="OSRRefT22_2x_0" localSheetId="80">'418'!$T$35</definedName>
    <definedName name="OSRRefT22_2x_0" localSheetId="82">'423'!$T$25</definedName>
    <definedName name="OSRRefT22_2x_0" localSheetId="83">'424'!$T$24</definedName>
    <definedName name="OSRRefT22_2x_0" localSheetId="84">'425'!$T$30</definedName>
    <definedName name="OSRRefT22_2x_0" localSheetId="87">'430'!$T$31</definedName>
    <definedName name="OSRRefT22_2x_0" localSheetId="88">'433'!$T$42</definedName>
    <definedName name="OSRRefT22_2x_0" localSheetId="89">'435'!$T$28</definedName>
    <definedName name="OSRRefT22_2x_0" localSheetId="90">'444'!$T$42</definedName>
    <definedName name="OSRRefT22_2x_0" localSheetId="91">'450'!$T$41</definedName>
    <definedName name="OSRRefT22_2x_0" localSheetId="72">'491'!$T$45</definedName>
    <definedName name="OSRRefT22_2x_0" localSheetId="86">'492'!$T$45</definedName>
    <definedName name="OSRRefT22_2x_0" localSheetId="93">'501'!$T$38</definedName>
    <definedName name="OSRRefT22_2x_0" localSheetId="39">'Div 2'!$T$39</definedName>
    <definedName name="OSRRefT22_2x_0" localSheetId="47">'Div 3'!$T$155</definedName>
    <definedName name="OSRRefT22_2x_0" localSheetId="70">'Div 4'!$T$49</definedName>
    <definedName name="OSRRefT22_2x_0" localSheetId="92">'Div 5'!$T$38</definedName>
    <definedName name="OSRRefT22_2x_0" localSheetId="61">'Div 6'!$T$72</definedName>
    <definedName name="OSRRefT22_2x_0" localSheetId="2">Summary!$T$184</definedName>
    <definedName name="OSRRefT22_3x_0" localSheetId="40">'200'!$T$26</definedName>
    <definedName name="OSRRefT22_3x_0" localSheetId="41">'201'!$T$36</definedName>
    <definedName name="OSRRefT22_3x_0" localSheetId="42">'202'!$T$35</definedName>
    <definedName name="OSRRefT22_3x_0" localSheetId="43">'203'!$T$39</definedName>
    <definedName name="OSRRefT22_3x_0" localSheetId="44">'204'!$T$36</definedName>
    <definedName name="OSRRefT22_3x_0" localSheetId="45">'205'!$T$33</definedName>
    <definedName name="OSRRefT22_3x_0" localSheetId="46">'206'!$T$36</definedName>
    <definedName name="OSRRefT22_3x_0" localSheetId="48">'300'!$T$150:$T$151</definedName>
    <definedName name="OSRRefT22_3x_0" localSheetId="49">'300 &amp; 317'!$T$174:$T$175</definedName>
    <definedName name="OSRRefT22_3x_0" localSheetId="50">'301'!$T$43:$T$44</definedName>
    <definedName name="OSRRefT22_3x_0" localSheetId="55">'307'!$T$57</definedName>
    <definedName name="OSRRefT22_3x_0" localSheetId="51">'308'!$T$83:$T$84</definedName>
    <definedName name="OSRRefT22_3x_0" localSheetId="64">'309'!$T$34</definedName>
    <definedName name="OSRRefT22_3x_0" localSheetId="63">'310'!$T$53</definedName>
    <definedName name="OSRRefT22_3x_0" localSheetId="71">'310 &amp; 491'!$T$57</definedName>
    <definedName name="OSRRefT22_3x_0" localSheetId="52">'311'!$T$83:$T$84</definedName>
    <definedName name="OSRRefT22_3x_0" localSheetId="65">'313'!$T$38</definedName>
    <definedName name="OSRRefT22_3x_0" localSheetId="57">'315'!$T$105:$T$106</definedName>
    <definedName name="OSRRefT22_3x_0" localSheetId="60">'316'!$T$50</definedName>
    <definedName name="OSRRefT22_3x_0" localSheetId="62">'317'!$T$74</definedName>
    <definedName name="OSRRefT22_3x_0" localSheetId="66">'321'!$T$46</definedName>
    <definedName name="OSRRefT22_3x_0" localSheetId="67">'322'!$T$31</definedName>
    <definedName name="OSRRefT22_3x_0" localSheetId="68">'325'!$T$39</definedName>
    <definedName name="OSRRefT22_3x_0" localSheetId="58">'326'!$T$70</definedName>
    <definedName name="OSRRefT22_3x_0" localSheetId="56">'331'!$T$106</definedName>
    <definedName name="OSRRefT22_3x_0" localSheetId="59">'332'!$T$52</definedName>
    <definedName name="OSRRefT22_3x_0" localSheetId="54">'333'!$T$108</definedName>
    <definedName name="OSRRefT22_3x_0" localSheetId="73">'405'!$T$40</definedName>
    <definedName name="OSRRefT22_3x_0" localSheetId="74">'406'!$T$26</definedName>
    <definedName name="OSRRefT22_3x_0" localSheetId="75">'411'!$T$37</definedName>
    <definedName name="OSRRefT22_3x_0" localSheetId="76">'412'!$T$26:$T$27</definedName>
    <definedName name="OSRRefT22_3x_0" localSheetId="77">'413'!$T$30</definedName>
    <definedName name="OSRRefT22_3x_0" localSheetId="78">'414'!$T$28</definedName>
    <definedName name="OSRRefT22_3x_0" localSheetId="79">'415'!$T$42</definedName>
    <definedName name="OSRRefT22_3x_0" localSheetId="80">'418'!$T$37</definedName>
    <definedName name="OSRRefT22_3x_0" localSheetId="82">'423'!$T$27</definedName>
    <definedName name="OSRRefT22_3x_0" localSheetId="83">'424'!$T$26</definedName>
    <definedName name="OSRRefT22_3x_0" localSheetId="84">'425'!$T$32</definedName>
    <definedName name="OSRRefT22_3x_0" localSheetId="87">'430'!$T$33</definedName>
    <definedName name="OSRRefT22_3x_0" localSheetId="88">'433'!$T$44</definedName>
    <definedName name="OSRRefT22_3x_0" localSheetId="89">'435'!$T$30</definedName>
    <definedName name="OSRRefT22_3x_0" localSheetId="90">'444'!$T$44</definedName>
    <definedName name="OSRRefT22_3x_0" localSheetId="91">'450'!$T$43</definedName>
    <definedName name="OSRRefT22_3x_0" localSheetId="72">'491'!$T$47</definedName>
    <definedName name="OSRRefT22_3x_0" localSheetId="86">'492'!$T$47</definedName>
    <definedName name="OSRRefT22_3x_0" localSheetId="93">'501'!$T$40</definedName>
    <definedName name="OSRRefT22_3x_0" localSheetId="39">'Div 2'!$T$41</definedName>
    <definedName name="OSRRefT22_3x_0" localSheetId="47">'Div 3'!$T$157:$T$158</definedName>
    <definedName name="OSRRefT22_3x_0" localSheetId="70">'Div 4'!$T$51</definedName>
    <definedName name="OSRRefT22_3x_0" localSheetId="92">'Div 5'!$T$40</definedName>
    <definedName name="OSRRefT22_3x_0" localSheetId="61">'Div 6'!$T$74</definedName>
    <definedName name="OSRRefT22_3x_0" localSheetId="2">Summary!$T$186:$T$187</definedName>
    <definedName name="OSRRefT22_4x_0" localSheetId="41">'201'!$T$38</definedName>
    <definedName name="OSRRefT22_4x_0" localSheetId="42">'202'!$T$37</definedName>
    <definedName name="OSRRefT22_4x_0" localSheetId="43">'203'!$T$41</definedName>
    <definedName name="OSRRefT22_4x_0" localSheetId="44">'204'!$T$38</definedName>
    <definedName name="OSRRefT22_4x_0" localSheetId="45">'205'!$T$35:$T$36</definedName>
    <definedName name="OSRRefT22_4x_0" localSheetId="46">'206'!$T$38</definedName>
    <definedName name="OSRRefT22_4x_0" localSheetId="48">'300'!$T$153</definedName>
    <definedName name="OSRRefT22_4x_0" localSheetId="49">'300 &amp; 317'!$T$177</definedName>
    <definedName name="OSRRefT22_4x_0" localSheetId="50">'301'!$T$46</definedName>
    <definedName name="OSRRefT22_4x_0" localSheetId="55">'307'!$T$59:$T$60</definedName>
    <definedName name="OSRRefT22_4x_0" localSheetId="51">'308'!$T$86</definedName>
    <definedName name="OSRRefT22_4x_0" localSheetId="64">'309'!$T$36</definedName>
    <definedName name="OSRRefT22_4x_0" localSheetId="63">'310'!$T$55</definedName>
    <definedName name="OSRRefT22_4x_0" localSheetId="71">'310 &amp; 491'!$T$59</definedName>
    <definedName name="OSRRefT22_4x_0" localSheetId="52">'311'!$T$86</definedName>
    <definedName name="OSRRefT22_4x_0" localSheetId="65">'313'!$T$40</definedName>
    <definedName name="OSRRefT22_4x_0" localSheetId="57">'315'!$T$108</definedName>
    <definedName name="OSRRefT22_4x_0" localSheetId="60">'316'!$T$52</definedName>
    <definedName name="OSRRefT22_4x_0" localSheetId="62">'317'!$T$76</definedName>
    <definedName name="OSRRefT22_4x_0" localSheetId="66">'321'!$T$48</definedName>
    <definedName name="OSRRefT22_4x_0" localSheetId="67">'322'!$T$33:$T$34</definedName>
    <definedName name="OSRRefT22_4x_0" localSheetId="68">'325'!$T$41</definedName>
    <definedName name="OSRRefT22_4x_0" localSheetId="58">'326'!$T$72</definedName>
    <definedName name="OSRRefT22_4x_0" localSheetId="56">'331'!$T$108</definedName>
    <definedName name="OSRRefT22_4x_0" localSheetId="59">'332'!$T$54</definedName>
    <definedName name="OSRRefT22_4x_0" localSheetId="54">'333'!$T$110</definedName>
    <definedName name="OSRRefT22_4x_0" localSheetId="73">'405'!$T$42</definedName>
    <definedName name="OSRRefT22_4x_0" localSheetId="74">'406'!$T$28</definedName>
    <definedName name="OSRRefT22_4x_0" localSheetId="75">'411'!$T$39:$T$40</definedName>
    <definedName name="OSRRefT22_4x_0" localSheetId="76">'412'!$T$29</definedName>
    <definedName name="OSRRefT22_4x_0" localSheetId="77">'413'!$T$32</definedName>
    <definedName name="OSRRefT22_4x_0" localSheetId="78">'414'!$T$30</definedName>
    <definedName name="OSRRefT22_4x_0" localSheetId="79">'415'!$T$44</definedName>
    <definedName name="OSRRefT22_4x_0" localSheetId="80">'418'!$T$39:$T$40</definedName>
    <definedName name="OSRRefT22_4x_0" localSheetId="84">'425'!$T$34</definedName>
    <definedName name="OSRRefT22_4x_0" localSheetId="87">'430'!$T$35</definedName>
    <definedName name="OSRRefT22_4x_0" localSheetId="88">'433'!$T$46</definedName>
    <definedName name="OSRRefT22_4x_0" localSheetId="89">'435'!$T$32</definedName>
    <definedName name="OSRRefT22_4x_0" localSheetId="90">'444'!$T$46</definedName>
    <definedName name="OSRRefT22_4x_0" localSheetId="91">'450'!$T$45</definedName>
    <definedName name="OSRRefT22_4x_0" localSheetId="72">'491'!$T$49</definedName>
    <definedName name="OSRRefT22_4x_0" localSheetId="86">'492'!$T$49</definedName>
    <definedName name="OSRRefT22_4x_0" localSheetId="93">'501'!$T$42:$T$43</definedName>
    <definedName name="OSRRefT22_4x_0" localSheetId="39">'Div 2'!$T$43</definedName>
    <definedName name="OSRRefT22_4x_0" localSheetId="47">'Div 3'!$T$160</definedName>
    <definedName name="OSRRefT22_4x_0" localSheetId="70">'Div 4'!$T$53</definedName>
    <definedName name="OSRRefT22_4x_0" localSheetId="92">'Div 5'!$T$42:$T$43</definedName>
    <definedName name="OSRRefT22_4x_0" localSheetId="61">'Div 6'!$T$76</definedName>
    <definedName name="OSRRefT22_4x_0" localSheetId="2">Summary!$T$189</definedName>
    <definedName name="OSRRefT22_5x_0" localSheetId="41">'201'!$T$40</definedName>
    <definedName name="OSRRefT22_5x_0" localSheetId="42">'202'!$T$39:$T$40</definedName>
    <definedName name="OSRRefT22_5x_0" localSheetId="43">'203'!$T$43</definedName>
    <definedName name="OSRRefT22_5x_0" localSheetId="44">'204'!$T$40:$T$43</definedName>
    <definedName name="OSRRefT22_5x_0" localSheetId="45">'205'!$T$38:$T$40</definedName>
    <definedName name="OSRRefT22_5x_0" localSheetId="46">'206'!$T$40</definedName>
    <definedName name="OSRRefT22_5x_0" localSheetId="48">'300'!$T$155:$T$156</definedName>
    <definedName name="OSRRefT22_5x_0" localSheetId="49">'300 &amp; 317'!$T$179:$T$180</definedName>
    <definedName name="OSRRefT22_5x_0" localSheetId="50">'301'!$T$48:$T$49</definedName>
    <definedName name="OSRRefT22_5x_0" localSheetId="55">'307'!$T$62</definedName>
    <definedName name="OSRRefT22_5x_0" localSheetId="51">'308'!$T$88</definedName>
    <definedName name="OSRRefT22_5x_0" localSheetId="64">'309'!$T$38</definedName>
    <definedName name="OSRRefT22_5x_0" localSheetId="63">'310'!$T$57:$T$58</definedName>
    <definedName name="OSRRefT22_5x_0" localSheetId="71">'310 &amp; 491'!$T$61:$T$62</definedName>
    <definedName name="OSRRefT22_5x_0" localSheetId="52">'311'!$T$88</definedName>
    <definedName name="OSRRefT22_5x_0" localSheetId="65">'313'!$T$42</definedName>
    <definedName name="OSRRefT22_5x_0" localSheetId="57">'315'!$T$110</definedName>
    <definedName name="OSRRefT22_5x_0" localSheetId="60">'316'!$T$54</definedName>
    <definedName name="OSRRefT22_5x_0" localSheetId="62">'317'!$T$78:$T$79</definedName>
    <definedName name="OSRRefT22_5x_0" localSheetId="66">'321'!$T$50</definedName>
    <definedName name="OSRRefT22_5x_0" localSheetId="67">'322'!$T$36</definedName>
    <definedName name="OSRRefT22_5x_0" localSheetId="68">'325'!$T$43:$T$44</definedName>
    <definedName name="OSRRefT22_5x_0" localSheetId="58">'326'!$T$74</definedName>
    <definedName name="OSRRefT22_5x_0" localSheetId="56">'331'!$T$110:$T$111</definedName>
    <definedName name="OSRRefT22_5x_0" localSheetId="59">'332'!$T$56</definedName>
    <definedName name="OSRRefT22_5x_0" localSheetId="54">'333'!$T$112:$T$113</definedName>
    <definedName name="OSRRefT22_5x_0" localSheetId="73">'405'!$T$44:$T$45</definedName>
    <definedName name="OSRRefT22_5x_0" localSheetId="75">'411'!$T$42</definedName>
    <definedName name="OSRRefT22_5x_0" localSheetId="76">'412'!$T$31</definedName>
    <definedName name="OSRRefT22_5x_0" localSheetId="77">'413'!$T$34</definedName>
    <definedName name="OSRRefT22_5x_0" localSheetId="78">'414'!$T$32:$T$33</definedName>
    <definedName name="OSRRefT22_5x_0" localSheetId="79">'415'!$T$46:$T$47</definedName>
    <definedName name="OSRRefT22_5x_0" localSheetId="80">'418'!$T$42</definedName>
    <definedName name="OSRRefT22_5x_0" localSheetId="84">'425'!$T$36:$T$37</definedName>
    <definedName name="OSRRefT22_5x_0" localSheetId="87">'430'!$T$37:$T$38</definedName>
    <definedName name="OSRRefT22_5x_0" localSheetId="88">'433'!$T$48</definedName>
    <definedName name="OSRRefT22_5x_0" localSheetId="89">'435'!$T$34</definedName>
    <definedName name="OSRRefT22_5x_0" localSheetId="90">'444'!$T$48</definedName>
    <definedName name="OSRRefT22_5x_0" localSheetId="91">'450'!$T$47</definedName>
    <definedName name="OSRRefT22_5x_0" localSheetId="72">'491'!$T$51:$T$52</definedName>
    <definedName name="OSRRefT22_5x_0" localSheetId="86">'492'!$T$51</definedName>
    <definedName name="OSRRefT22_5x_0" localSheetId="93">'501'!$T$45</definedName>
    <definedName name="OSRRefT22_5x_0" localSheetId="39">'Div 2'!$T$45</definedName>
    <definedName name="OSRRefT22_5x_0" localSheetId="47">'Div 3'!$T$162:$T$163</definedName>
    <definedName name="OSRRefT22_5x_0" localSheetId="70">'Div 4'!$T$55:$T$56</definedName>
    <definedName name="OSRRefT22_5x_0" localSheetId="92">'Div 5'!$T$45</definedName>
    <definedName name="OSRRefT22_5x_0" localSheetId="61">'Div 6'!$T$78:$T$79</definedName>
    <definedName name="OSRRefT22_5x_0" localSheetId="2">Summary!$T$191:$T$192</definedName>
    <definedName name="OSRRefT22_6x_0" localSheetId="41">'201'!$T$42</definedName>
    <definedName name="OSRRefT22_6x_0" localSheetId="42">'202'!$T$42</definedName>
    <definedName name="OSRRefT22_6x_0" localSheetId="43">'203'!$T$45</definedName>
    <definedName name="OSRRefT22_6x_0" localSheetId="44">'204'!$T$45</definedName>
    <definedName name="OSRRefT22_6x_0" localSheetId="45">'205'!$T$42</definedName>
    <definedName name="OSRRefT22_6x_0" localSheetId="46">'206'!$T$42</definedName>
    <definedName name="OSRRefT22_6x_0" localSheetId="48">'300'!$T$158:$T$159</definedName>
    <definedName name="OSRRefT22_6x_0" localSheetId="49">'300 &amp; 317'!$T$182:$T$183</definedName>
    <definedName name="OSRRefT22_6x_0" localSheetId="50">'301'!$T$51:$T$52</definedName>
    <definedName name="OSRRefT22_6x_0" localSheetId="55">'307'!$T$64</definedName>
    <definedName name="OSRRefT22_6x_0" localSheetId="51">'308'!$T$90:$T$91</definedName>
    <definedName name="OSRRefT22_6x_0" localSheetId="64">'309'!$T$40</definedName>
    <definedName name="OSRRefT22_6x_0" localSheetId="63">'310'!$T$60</definedName>
    <definedName name="OSRRefT22_6x_0" localSheetId="71">'310 &amp; 491'!$T$64</definedName>
    <definedName name="OSRRefT22_6x_0" localSheetId="52">'311'!$T$90:$T$91</definedName>
    <definedName name="OSRRefT22_6x_0" localSheetId="65">'313'!$T$44</definedName>
    <definedName name="OSRRefT22_6x_0" localSheetId="57">'315'!$T$112:$T$113</definedName>
    <definedName name="OSRRefT22_6x_0" localSheetId="60">'316'!$T$56:$T$57</definedName>
    <definedName name="OSRRefT22_6x_0" localSheetId="62">'317'!$T$81</definedName>
    <definedName name="OSRRefT22_6x_0" localSheetId="66">'321'!$T$52</definedName>
    <definedName name="OSRRefT22_6x_0" localSheetId="67">'322'!$T$38</definedName>
    <definedName name="OSRRefT22_6x_0" localSheetId="68">'325'!$T$46</definedName>
    <definedName name="OSRRefT22_6x_0" localSheetId="58">'326'!$T$76</definedName>
    <definedName name="OSRRefT22_6x_0" localSheetId="56">'331'!$T$113</definedName>
    <definedName name="OSRRefT22_6x_0" localSheetId="59">'332'!$T$58:$T$59</definedName>
    <definedName name="OSRRefT22_6x_0" localSheetId="54">'333'!$T$115</definedName>
    <definedName name="OSRRefT22_6x_0" localSheetId="73">'405'!$T$47</definedName>
    <definedName name="OSRRefT22_6x_0" localSheetId="75">'411'!$T$44</definedName>
    <definedName name="OSRRefT22_6x_0" localSheetId="79">'415'!$T$49</definedName>
    <definedName name="OSRRefT22_6x_0" localSheetId="80">'418'!$T$44</definedName>
    <definedName name="OSRRefT22_6x_0" localSheetId="84">'425'!$T$39</definedName>
    <definedName name="OSRRefT22_6x_0" localSheetId="87">'430'!$T$40</definedName>
    <definedName name="OSRRefT22_6x_0" localSheetId="88">'433'!$T$50</definedName>
    <definedName name="OSRRefT22_6x_0" localSheetId="90">'444'!$T$50</definedName>
    <definedName name="OSRRefT22_6x_0" localSheetId="91">'450'!$T$49</definedName>
    <definedName name="OSRRefT22_6x_0" localSheetId="72">'491'!$T$54</definedName>
    <definedName name="OSRRefT22_6x_0" localSheetId="86">'492'!$T$53</definedName>
    <definedName name="OSRRefT22_6x_0" localSheetId="93">'501'!$T$47</definedName>
    <definedName name="OSRRefT22_6x_0" localSheetId="39">'Div 2'!$T$47</definedName>
    <definedName name="OSRRefT22_6x_0" localSheetId="47">'Div 3'!$T$165:$T$166</definedName>
    <definedName name="OSRRefT22_6x_0" localSheetId="70">'Div 4'!$T$58</definedName>
    <definedName name="OSRRefT22_6x_0" localSheetId="92">'Div 5'!$T$47</definedName>
    <definedName name="OSRRefT22_6x_0" localSheetId="61">'Div 6'!$T$81</definedName>
    <definedName name="OSRRefT22_6x_0" localSheetId="2">Summary!$T$194:$T$195</definedName>
    <definedName name="OSRRefT22_7x_0" localSheetId="41">'201'!$T$44</definedName>
    <definedName name="OSRRefT22_7x_0" localSheetId="42">'202'!$T$44:$T$46</definedName>
    <definedName name="OSRRefT22_7x_0" localSheetId="43">'203'!$T$47:$T$48</definedName>
    <definedName name="OSRRefT22_7x_0" localSheetId="44">'204'!$T$47:$T$48</definedName>
    <definedName name="OSRRefT22_7x_0" localSheetId="48">'300'!$T$161</definedName>
    <definedName name="OSRRefT22_7x_0" localSheetId="49">'300 &amp; 317'!$T$185</definedName>
    <definedName name="OSRRefT22_7x_0" localSheetId="50">'301'!$T$54</definedName>
    <definedName name="OSRRefT22_7x_0" localSheetId="55">'307'!$T$66</definedName>
    <definedName name="OSRRefT22_7x_0" localSheetId="51">'308'!$T$93</definedName>
    <definedName name="OSRRefT22_7x_0" localSheetId="64">'309'!$T$42</definedName>
    <definedName name="OSRRefT22_7x_0" localSheetId="63">'310'!$T$62</definedName>
    <definedName name="OSRRefT22_7x_0" localSheetId="71">'310 &amp; 491'!$T$66</definedName>
    <definedName name="OSRRefT22_7x_0" localSheetId="52">'311'!$T$93</definedName>
    <definedName name="OSRRefT22_7x_0" localSheetId="65">'313'!$T$46</definedName>
    <definedName name="OSRRefT22_7x_0" localSheetId="57">'315'!$T$115</definedName>
    <definedName name="OSRRefT22_7x_0" localSheetId="60">'316'!$T$59</definedName>
    <definedName name="OSRRefT22_7x_0" localSheetId="62">'317'!$T$83</definedName>
    <definedName name="OSRRefT22_7x_0" localSheetId="66">'321'!$T$54:$T$55</definedName>
    <definedName name="OSRRefT22_7x_0" localSheetId="67">'322'!$T$40</definedName>
    <definedName name="OSRRefT22_7x_0" localSheetId="68">'325'!$T$48</definedName>
    <definedName name="OSRRefT22_7x_0" localSheetId="58">'326'!$T$78</definedName>
    <definedName name="OSRRefT22_7x_0" localSheetId="56">'331'!$T$115</definedName>
    <definedName name="OSRRefT22_7x_0" localSheetId="59">'332'!$T$61</definedName>
    <definedName name="OSRRefT22_7x_0" localSheetId="54">'333'!$T$117</definedName>
    <definedName name="OSRRefT22_7x_0" localSheetId="73">'405'!$T$49</definedName>
    <definedName name="OSRRefT22_7x_0" localSheetId="75">'411'!$T$46</definedName>
    <definedName name="OSRRefT22_7x_0" localSheetId="79">'415'!$T$51</definedName>
    <definedName name="OSRRefT22_7x_0" localSheetId="80">'418'!$T$46</definedName>
    <definedName name="OSRRefT22_7x_0" localSheetId="84">'425'!$T$41</definedName>
    <definedName name="OSRRefT22_7x_0" localSheetId="87">'430'!$T$42</definedName>
    <definedName name="OSRRefT22_7x_0" localSheetId="88">'433'!$T$52</definedName>
    <definedName name="OSRRefT22_7x_0" localSheetId="90">'444'!$T$52</definedName>
    <definedName name="OSRRefT22_7x_0" localSheetId="91">'450'!$T$51</definedName>
    <definedName name="OSRRefT22_7x_0" localSheetId="72">'491'!$T$56</definedName>
    <definedName name="OSRRefT22_7x_0" localSheetId="86">'492'!$T$55</definedName>
    <definedName name="OSRRefT22_7x_0" localSheetId="93">'501'!$T$49:$T$52</definedName>
    <definedName name="OSRRefT22_7x_0" localSheetId="39">'Div 2'!$T$49</definedName>
    <definedName name="OSRRefT22_7x_0" localSheetId="47">'Div 3'!$T$168</definedName>
    <definedName name="OSRRefT22_7x_0" localSheetId="70">'Div 4'!$T$60</definedName>
    <definedName name="OSRRefT22_7x_0" localSheetId="92">'Div 5'!$T$49:$T$52</definedName>
    <definedName name="OSRRefT22_7x_0" localSheetId="61">'Div 6'!$T$83</definedName>
    <definedName name="OSRRefT22_7x_0" localSheetId="2">Summary!$T$197</definedName>
    <definedName name="OSRRefT22_8x_0" localSheetId="41">'201'!$T$46</definedName>
    <definedName name="OSRRefT22_8x_0" localSheetId="42">'202'!$T$48</definedName>
    <definedName name="OSRRefT22_8x_0" localSheetId="43">'203'!$T$50:$T$51</definedName>
    <definedName name="OSRRefT22_8x_0" localSheetId="44">'204'!$T$50</definedName>
    <definedName name="OSRRefT22_8x_0" localSheetId="48">'300'!$T$163</definedName>
    <definedName name="OSRRefT22_8x_0" localSheetId="49">'300 &amp; 317'!$T$187</definedName>
    <definedName name="OSRRefT22_8x_0" localSheetId="50">'301'!$T$56</definedName>
    <definedName name="OSRRefT22_8x_0" localSheetId="55">'307'!$T$68:$T$69</definedName>
    <definedName name="OSRRefT22_8x_0" localSheetId="51">'308'!$T$95</definedName>
    <definedName name="OSRRefT22_8x_0" localSheetId="64">'309'!$T$44:$T$45</definedName>
    <definedName name="OSRRefT22_8x_0" localSheetId="63">'310'!$T$64</definedName>
    <definedName name="OSRRefT22_8x_0" localSheetId="71">'310 &amp; 491'!$T$68:$T$69</definedName>
    <definedName name="OSRRefT22_8x_0" localSheetId="52">'311'!$T$95</definedName>
    <definedName name="OSRRefT22_8x_0" localSheetId="57">'315'!$T$117:$T$118</definedName>
    <definedName name="OSRRefT22_8x_0" localSheetId="60">'316'!$T$61:$T$63</definedName>
    <definedName name="OSRRefT22_8x_0" localSheetId="62">'317'!$T$85</definedName>
    <definedName name="OSRRefT22_8x_0" localSheetId="66">'321'!$T$57</definedName>
    <definedName name="OSRRefT22_8x_0" localSheetId="68">'325'!$T$50</definedName>
    <definedName name="OSRRefT22_8x_0" localSheetId="58">'326'!$T$80</definedName>
    <definedName name="OSRRefT22_8x_0" localSheetId="56">'331'!$T$117:$T$118</definedName>
    <definedName name="OSRRefT22_8x_0" localSheetId="59">'332'!$T$63:$T$65</definedName>
    <definedName name="OSRRefT22_8x_0" localSheetId="54">'333'!$T$119:$T$120</definedName>
    <definedName name="OSRRefT22_8x_0" localSheetId="73">'405'!$T$51</definedName>
    <definedName name="OSRRefT22_8x_0" localSheetId="75">'411'!$T$48</definedName>
    <definedName name="OSRRefT22_8x_0" localSheetId="79">'415'!$T$53</definedName>
    <definedName name="OSRRefT22_8x_0" localSheetId="80">'418'!$T$48:$T$49</definedName>
    <definedName name="OSRRefT22_8x_0" localSheetId="84">'425'!$T$43</definedName>
    <definedName name="OSRRefT22_8x_0" localSheetId="87">'430'!$T$44</definedName>
    <definedName name="OSRRefT22_8x_0" localSheetId="88">'433'!$T$54</definedName>
    <definedName name="OSRRefT22_8x_0" localSheetId="90">'444'!$T$54</definedName>
    <definedName name="OSRRefT22_8x_0" localSheetId="91">'450'!$T$53</definedName>
    <definedName name="OSRRefT22_8x_0" localSheetId="72">'491'!$T$58</definedName>
    <definedName name="OSRRefT22_8x_0" localSheetId="86">'492'!$T$57</definedName>
    <definedName name="OSRRefT22_8x_0" localSheetId="93">'501'!$T$54:$T$55</definedName>
    <definedName name="OSRRefT22_8x_0" localSheetId="39">'Div 2'!$T$51</definedName>
    <definedName name="OSRRefT22_8x_0" localSheetId="47">'Div 3'!$T$170</definedName>
    <definedName name="OSRRefT22_8x_0" localSheetId="70">'Div 4'!$T$62</definedName>
    <definedName name="OSRRefT22_8x_0" localSheetId="92">'Div 5'!$T$54:$T$55</definedName>
    <definedName name="OSRRefT22_8x_0" localSheetId="61">'Div 6'!$T$85</definedName>
    <definedName name="OSRRefT22_8x_0" localSheetId="2">Summary!$T$199</definedName>
    <definedName name="OSRRefT22_9x_0" localSheetId="41">'201'!$T$48:$T$50</definedName>
    <definedName name="OSRRefT22_9x_0" localSheetId="42">'202'!$T$50:$T$52</definedName>
    <definedName name="OSRRefT22_9x_0" localSheetId="43">'203'!$T$53:$T$54</definedName>
    <definedName name="OSRRefT22_9x_0" localSheetId="44">'204'!$T$52</definedName>
    <definedName name="OSRRefT22_9x_0" localSheetId="48">'300'!$T$165</definedName>
    <definedName name="OSRRefT22_9x_0" localSheetId="49">'300 &amp; 317'!$T$189</definedName>
    <definedName name="OSRRefT22_9x_0" localSheetId="50">'301'!$T$58</definedName>
    <definedName name="OSRRefT22_9x_0" localSheetId="55">'307'!$T$71:$T$72</definedName>
    <definedName name="OSRRefT22_9x_0" localSheetId="51">'308'!$T$97:$T$99</definedName>
    <definedName name="OSRRefT22_9x_0" localSheetId="64">'309'!$T$47:$T$48</definedName>
    <definedName name="OSRRefT22_9x_0" localSheetId="63">'310'!$T$66</definedName>
    <definedName name="OSRRefT22_9x_0" localSheetId="71">'310 &amp; 491'!$T$71</definedName>
    <definedName name="OSRRefT22_9x_0" localSheetId="52">'311'!$T$97:$T$99</definedName>
    <definedName name="OSRRefT22_9x_0" localSheetId="57">'315'!$T$120</definedName>
    <definedName name="OSRRefT22_9x_0" localSheetId="60">'316'!$T$65</definedName>
    <definedName name="OSRRefT22_9x_0" localSheetId="62">'317'!$T$87</definedName>
    <definedName name="OSRRefT22_9x_0" localSheetId="66">'321'!$T$59:$T$61</definedName>
    <definedName name="OSRRefT22_9x_0" localSheetId="68">'325'!$T$52</definedName>
    <definedName name="OSRRefT22_9x_0" localSheetId="58">'326'!$T$82</definedName>
    <definedName name="OSRRefT22_9x_0" localSheetId="56">'331'!$T$120</definedName>
    <definedName name="OSRRefT22_9x_0" localSheetId="59">'332'!$T$67</definedName>
    <definedName name="OSRRefT22_9x_0" localSheetId="54">'333'!$T$122</definedName>
    <definedName name="OSRRefT22_9x_0" localSheetId="73">'405'!$T$53</definedName>
    <definedName name="OSRRefT22_9x_0" localSheetId="75">'411'!$T$50</definedName>
    <definedName name="OSRRefT22_9x_0" localSheetId="79">'415'!$T$55</definedName>
    <definedName name="OSRRefT22_9x_0" localSheetId="80">'418'!$T$51</definedName>
    <definedName name="OSRRefT22_9x_0" localSheetId="88">'433'!$T$56</definedName>
    <definedName name="OSRRefT22_9x_0" localSheetId="90">'444'!$T$56</definedName>
    <definedName name="OSRRefT22_9x_0" localSheetId="91">'450'!$T$55</definedName>
    <definedName name="OSRRefT22_9x_0" localSheetId="72">'491'!$T$60</definedName>
    <definedName name="OSRRefT22_9x_0" localSheetId="86">'492'!$T$59</definedName>
    <definedName name="OSRRefT22_9x_0" localSheetId="93">'501'!$T$57</definedName>
    <definedName name="OSRRefT22_9x_0" localSheetId="39">'Div 2'!$T$53:$T$54</definedName>
    <definedName name="OSRRefT22_9x_0" localSheetId="47">'Div 3'!$T$172</definedName>
    <definedName name="OSRRefT22_9x_0" localSheetId="70">'Div 4'!$T$64</definedName>
    <definedName name="OSRRefT22_9x_0" localSheetId="92">'Div 5'!$T$57</definedName>
    <definedName name="OSRRefT22_9x_0" localSheetId="61">'Div 6'!$T$87</definedName>
    <definedName name="OSRRefT22_9x_0" localSheetId="2">Summary!$T$201</definedName>
    <definedName name="OSRRefT22x_0" localSheetId="40">'200'!$T$20,'200'!$T$22,'200'!$T$24,'200'!$T$26</definedName>
    <definedName name="OSRRefT22x_0" localSheetId="41">'201'!$T$20:$T$27,'201'!$T$29:$T$32,'201'!$T$34,'201'!$T$36,'201'!$T$38,'201'!$T$40,'201'!$T$42,'201'!$T$44,'201'!$T$46,'201'!$T$48:$T$50,'201'!$T$52:$T$54,'201'!$T$56,'201'!$T$58:$T$59,'201'!$T$61,'201'!$T$63</definedName>
    <definedName name="OSRRefT22x_0" localSheetId="42">'202'!$T$20:$T$27,'202'!$T$29:$T$31,'202'!$T$33,'202'!$T$35,'202'!$T$37,'202'!$T$39:$T$40,'202'!$T$42,'202'!$T$44:$T$46,'202'!$T$48,'202'!$T$50:$T$52,'202'!$T$54,'202'!$T$56,'202'!$T$58</definedName>
    <definedName name="OSRRefT22x_0" localSheetId="43">'203'!$T$20:$T$29,'203'!$T$31:$T$35,'203'!$T$37,'203'!$T$39,'203'!$T$41,'203'!$T$43,'203'!$T$45,'203'!$T$47:$T$48,'203'!$T$50:$T$51,'203'!$T$53:$T$54,'203'!$T$56:$T$59,'203'!$T$61,'203'!$T$63,'203'!$T$65</definedName>
    <definedName name="OSRRefT22x_0" localSheetId="44">'204'!$T$20:$T$28,'204'!$T$30:$T$32,'204'!$T$34,'204'!$T$36,'204'!$T$38,'204'!$T$40:$T$43,'204'!$T$45,'204'!$T$47:$T$48,'204'!$T$50,'204'!$T$52</definedName>
    <definedName name="OSRRefT22x_0" localSheetId="45">'205'!$T$20:$T$27,'205'!$T$29,'205'!$T$31,'205'!$T$33,'205'!$T$35:$T$36,'205'!$T$38:$T$40,'205'!$T$42</definedName>
    <definedName name="OSRRefT22x_0" localSheetId="46">'206'!$T$20:$T$27,'206'!$T$29:$T$32,'206'!$T$34,'206'!$T$36,'206'!$T$38,'206'!$T$40,'206'!$T$42</definedName>
    <definedName name="OSRRefT22x_0" localSheetId="48">'300'!$T$129:$T$138,'300'!$T$140:$T$146,'300'!$T$148,'300'!$T$150:$T$151,'300'!$T$153,'300'!$T$155:$T$156,'300'!$T$158:$T$159,'300'!$T$161,'300'!$T$163,'300'!$T$165,'300'!$T$167:$T$168,'300'!$T$170,'300'!$T$172,'300'!$T$174:$T$175,'300'!$T$177,'300'!$T$179,'300'!$T$181:$T$184,'300'!$T$186:$T$188,'300'!$T$190:$T$193,'300'!$T$195:$T$196,'300'!$T$198:$T$204,'300'!$T$206:$T$207,'300'!$T$209,'300'!$T$211:$T$213,'300'!$T$215</definedName>
    <definedName name="OSRRefT22x_0" localSheetId="49">'300 &amp; 317'!$T$153:$T$162,'300 &amp; 317'!$T$164:$T$170,'300 &amp; 317'!$T$172,'300 &amp; 317'!$T$174:$T$175,'300 &amp; 317'!$T$177,'300 &amp; 317'!$T$179:$T$180,'300 &amp; 317'!$T$182:$T$183,'300 &amp; 317'!$T$185,'300 &amp; 317'!$T$187,'300 &amp; 317'!$T$189,'300 &amp; 317'!$T$191:$T$192,'300 &amp; 317'!$T$194,'300 &amp; 317'!$T$196,'300 &amp; 317'!$T$198:$T$199,'300 &amp; 317'!$T$201,'300 &amp; 317'!$T$203,'300 &amp; 317'!$T$205:$T$208,'300 &amp; 317'!$T$210:$T$212,'300 &amp; 317'!$T$214:$T$217,'300 &amp; 317'!$T$219:$T$220,'300 &amp; 317'!$T$222:$T$228,'300 &amp; 317'!$T$230:$T$231,'300 &amp; 317'!$T$233,'300 &amp; 317'!$T$235:$T$237,'300 &amp; 317'!$T$239</definedName>
    <definedName name="OSRRefT22x_0" localSheetId="50">'301'!$T$22:$T$31,'301'!$T$33:$T$39,'301'!$T$41,'301'!$T$43:$T$44,'301'!$T$46,'301'!$T$48:$T$49,'301'!$T$51:$T$52,'301'!$T$54,'301'!$T$56,'301'!$T$58,'301'!$T$60,'301'!$T$62,'301'!$T$64,'301'!$T$66,'301'!$T$68,'301'!$T$70:$T$73,'301'!$T$75:$T$77,'301'!$T$79,'301'!$T$81:$T$86,'301'!$T$88,'301'!$T$90,'301'!$T$92:$T$93,'301'!$T$95</definedName>
    <definedName name="OSRRefT22x_0" localSheetId="55">'307'!$T$43:$T$48,'307'!$T$50:$T$53,'307'!$T$55,'307'!$T$57,'307'!$T$59:$T$60,'307'!$T$62,'307'!$T$64,'307'!$T$66,'307'!$T$68:$T$69,'307'!$T$71:$T$72,'307'!$T$74,'307'!$T$76:$T$79,'307'!$T$81,'307'!$T$83</definedName>
    <definedName name="OSRRefT22x_0" localSheetId="51">'308'!$T$63:$T$71,'308'!$T$73:$T$79,'308'!$T$81,'308'!$T$83:$T$84,'308'!$T$86,'308'!$T$88,'308'!$T$90:$T$91,'308'!$T$93,'308'!$T$95,'308'!$T$97:$T$99,'308'!$T$101:$T$102,'308'!$T$104:$T$105,'308'!$T$107:$T$108,'308'!$T$110,'308'!$T$112</definedName>
    <definedName name="OSRRefT22x_0" localSheetId="64">'309'!$T$26:$T$27,'309'!$T$29:$T$30,'309'!$T$32,'309'!$T$34,'309'!$T$36,'309'!$T$38,'309'!$T$40,'309'!$T$42,'309'!$T$44:$T$45,'309'!$T$47:$T$48,'309'!$T$50:$T$51,'309'!$T$53,'309'!$T$55</definedName>
    <definedName name="OSRRefT22x_0" localSheetId="63">'310'!$T$34:$T$42,'310'!$T$44:$T$49,'310'!$T$51,'310'!$T$53,'310'!$T$55,'310'!$T$57:$T$58,'310'!$T$60,'310'!$T$62,'310'!$T$64,'310'!$T$66,'310'!$T$68,'310'!$T$70:$T$71,'310'!$T$73,'310'!$T$75:$T$78,'310'!$T$80:$T$85,'310'!$T$87,'310'!$T$89,'310'!$T$91</definedName>
    <definedName name="OSRRefT22x_0" localSheetId="71">'310 &amp; 491'!$T$37:$T$45,'310 &amp; 491'!$T$47:$T$53,'310 &amp; 491'!$T$55,'310 &amp; 491'!$T$57,'310 &amp; 491'!$T$59,'310 &amp; 491'!$T$61:$T$62,'310 &amp; 491'!$T$64,'310 &amp; 491'!$T$66,'310 &amp; 491'!$T$68:$T$69,'310 &amp; 491'!$T$71,'310 &amp; 491'!$T$73,'310 &amp; 491'!$T$75,'310 &amp; 491'!$T$77,'310 &amp; 491'!$T$79:$T$82,'310 &amp; 491'!$T$84,'310 &amp; 491'!$T$86:$T$89,'310 &amp; 491'!$T$91,'310 &amp; 491'!$T$93:$T$101,'310 &amp; 491'!$T$103,'310 &amp; 491'!$T$105,'310 &amp; 491'!$T$107:$T$108,'310 &amp; 491'!$T$110</definedName>
    <definedName name="OSRRefT22x_0" localSheetId="52">'311'!$T$63:$T$71,'311'!$T$73:$T$79,'311'!$T$81,'311'!$T$83:$T$84,'311'!$T$86,'311'!$T$88,'311'!$T$90:$T$91,'311'!$T$93,'311'!$T$95,'311'!$T$97:$T$99,'311'!$T$101:$T$102,'311'!$T$104:$T$105,'311'!$T$107:$T$108,'311'!$T$110,'311'!$T$112</definedName>
    <definedName name="OSRRefT22x_0" localSheetId="65">'313'!$T$25:$T$32,'313'!$T$34,'313'!$T$36,'313'!$T$38,'313'!$T$40,'313'!$T$42,'313'!$T$44,'313'!$T$46</definedName>
    <definedName name="OSRRefT22x_0" localSheetId="57">'315'!$T$87:$T$94,'315'!$T$96:$T$101,'315'!$T$103,'315'!$T$105:$T$106,'315'!$T$108,'315'!$T$110,'315'!$T$112:$T$113,'315'!$T$115,'315'!$T$117:$T$118,'315'!$T$120,'315'!$T$122:$T$123,'315'!$T$125:$T$126,'315'!$T$128:$T$129,'315'!$T$131:$T$135,'315'!$T$137,'315'!$T$139,'315'!$T$141</definedName>
    <definedName name="OSRRefT22x_0" localSheetId="60">'316'!$T$34:$T$41,'316'!$T$43:$T$46,'316'!$T$48,'316'!$T$50,'316'!$T$52,'316'!$T$54,'316'!$T$56:$T$57,'316'!$T$59,'316'!$T$61:$T$63,'316'!$T$65,'316'!$T$67,'316'!$T$69:$T$74,'316'!$T$76,'316'!$T$78</definedName>
    <definedName name="OSRRefT22x_0" localSheetId="62">'317'!$T$56:$T$64,'317'!$T$66:$T$70,'317'!$T$72,'317'!$T$74,'317'!$T$76,'317'!$T$78:$T$79,'317'!$T$81,'317'!$T$83,'317'!$T$85,'317'!$T$87,'317'!$T$89:$T$92,'317'!$T$94,'317'!$T$96</definedName>
    <definedName name="OSRRefT22x_0" localSheetId="66">'321'!$T$27:$T$35,'321'!$T$37:$T$42,'321'!$T$44,'321'!$T$46,'321'!$T$48,'321'!$T$50,'321'!$T$52,'321'!$T$54:$T$55,'321'!$T$57,'321'!$T$59:$T$61,'321'!$T$63:$T$67,'321'!$T$69,'321'!$T$71,'321'!$T$73</definedName>
    <definedName name="OSRRefT22x_0" localSheetId="67">'322'!$T$21:$T$25,'322'!$T$27,'322'!$T$29,'322'!$T$31,'322'!$T$33:$T$34,'322'!$T$36,'322'!$T$38,'322'!$T$40</definedName>
    <definedName name="OSRRefT22x_0" localSheetId="68">'325'!$T$24:$T$31,'325'!$T$33:$T$35,'325'!$T$37,'325'!$T$39,'325'!$T$41,'325'!$T$43:$T$44,'325'!$T$46,'325'!$T$48,'325'!$T$50,'325'!$T$52,'325'!$T$54:$T$55,'325'!$T$57:$T$60,'325'!$T$62:$T$67,'325'!$T$69,'325'!$T$71,'325'!$T$73</definedName>
    <definedName name="OSRRefT22x_0" localSheetId="58">'326'!$T$52:$T$59,'326'!$T$61:$T$66,'326'!$T$68,'326'!$T$70,'326'!$T$72,'326'!$T$74,'326'!$T$76,'326'!$T$78,'326'!$T$80,'326'!$T$82,'326'!$T$84,'326'!$T$86:$T$88,'326'!$T$90:$T$92,'326'!$T$94:$T$95,'326'!$T$97:$T$100,'326'!$T$102,'326'!$T$104,'326'!$T$106</definedName>
    <definedName name="OSRRefT22x_0" localSheetId="69">'327'!$T$24,'327'!$T$26</definedName>
    <definedName name="OSRRefT22x_0" localSheetId="56">'331'!$T$88:$T$95,'331'!$T$97:$T$102,'331'!$T$104,'331'!$T$106,'331'!$T$108,'331'!$T$110:$T$111,'331'!$T$113,'331'!$T$115,'331'!$T$117:$T$118,'331'!$T$120,'331'!$T$122,'331'!$T$124:$T$125,'331'!$T$127,'331'!$T$129,'331'!$T$131:$T$133,'331'!$T$135:$T$136,'331'!$T$138:$T$140,'331'!$T$142:$T$143,'331'!$T$145:$T$150,'331'!$T$152,'331'!$T$154,'331'!$T$156,'331'!$T$158</definedName>
    <definedName name="OSRRefT22x_0" localSheetId="59">'332'!$T$36:$T$43,'332'!$T$45:$T$48,'332'!$T$50,'332'!$T$52,'332'!$T$54,'332'!$T$56,'332'!$T$58:$T$59,'332'!$T$61,'332'!$T$63:$T$65,'332'!$T$67,'332'!$T$69,'332'!$T$71:$T$76,'332'!$T$78,'332'!$T$80</definedName>
    <definedName name="OSRRefT22x_0" localSheetId="54">'333'!$T$90:$T$97,'333'!$T$99:$T$104,'333'!$T$106,'333'!$T$108,'333'!$T$110,'333'!$T$112:$T$113,'333'!$T$115,'333'!$T$117,'333'!$T$119:$T$120,'333'!$T$122,'333'!$T$124,'333'!$T$126:$T$127,'333'!$T$129,'333'!$T$131,'333'!$T$133:$T$135,'333'!$T$137:$T$138,'333'!$T$140:$T$143,'333'!$T$145:$T$146,'333'!$T$148:$T$153,'333'!$T$155,'333'!$T$157,'333'!$T$159,'333'!$T$161</definedName>
    <definedName name="OSRRefT22x_0" localSheetId="73">'405'!$T$24:$T$31,'405'!$T$33:$T$36,'405'!$T$38,'405'!$T$40,'405'!$T$42,'405'!$T$44:$T$45,'405'!$T$47,'405'!$T$49,'405'!$T$51,'405'!$T$53,'405'!$T$55:$T$56,'405'!$T$58:$T$61,'405'!$T$63,'405'!$T$65:$T$73,'405'!$T$75,'405'!$T$77,'405'!$T$79</definedName>
    <definedName name="OSRRefT22x_0" localSheetId="74">'406'!$T$20,'406'!$T$22,'406'!$T$24,'406'!$T$26,'406'!$T$28</definedName>
    <definedName name="OSRRefT22x_0" localSheetId="75">'411'!$T$20:$T$27,'411'!$T$29:$T$33,'411'!$T$35,'411'!$T$37,'411'!$T$39:$T$40,'411'!$T$42,'411'!$T$44,'411'!$T$46,'411'!$T$48,'411'!$T$50,'411'!$T$52:$T$55,'411'!$T$57:$T$59,'411'!$T$61,'411'!$T$63:$T$64,'411'!$T$66,'411'!$T$68:$T$69,'411'!$T$71</definedName>
    <definedName name="OSRRefT22x_0" localSheetId="76">'412'!$T$20,'412'!$T$22,'412'!$T$24,'412'!$T$26:$T$27,'412'!$T$29,'412'!$T$31</definedName>
    <definedName name="OSRRefT22x_0" localSheetId="77">'413'!$T$20:$T$24,'413'!$T$26,'413'!$T$28,'413'!$T$30,'413'!$T$32,'413'!$T$34</definedName>
    <definedName name="OSRRefT22x_0" localSheetId="78">'414'!$T$22,'414'!$T$24,'414'!$T$26,'414'!$T$28,'414'!$T$30,'414'!$T$32:$T$33</definedName>
    <definedName name="OSRRefT22x_0" localSheetId="79">'415'!$T$24:$T$32,'415'!$T$34:$T$38,'415'!$T$40,'415'!$T$42,'415'!$T$44,'415'!$T$46:$T$47,'415'!$T$49,'415'!$T$51,'415'!$T$53,'415'!$T$55,'415'!$T$57,'415'!$T$59:$T$60,'415'!$T$62:$T$65,'415'!$T$67,'415'!$T$69:$T$74,'415'!$T$76,'415'!$T$78,'415'!$T$80</definedName>
    <definedName name="OSRRefT22x_0" localSheetId="80">'418'!$T$21:$T$28,'418'!$T$30:$T$33,'418'!$T$35,'418'!$T$37,'418'!$T$39:$T$40,'418'!$T$42,'418'!$T$44,'418'!$T$46,'418'!$T$48:$T$49,'418'!$T$51,'418'!$T$53,'418'!$T$55:$T$60,'418'!$T$62,'418'!$T$64</definedName>
    <definedName name="OSRRefT22x_0" localSheetId="81">'420'!$T$22,'420'!$T$24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'425'!$T$22:$T$26,'425'!$T$28,'425'!$T$30,'425'!$T$32,'425'!$T$34,'425'!$T$36:$T$37,'425'!$T$39,'425'!$T$41,'425'!$T$43</definedName>
    <definedName name="OSRRefT22x_0" localSheetId="87">'430'!$T$20:$T$27,'430'!$T$29,'430'!$T$31,'430'!$T$33,'430'!$T$35,'430'!$T$37:$T$38,'430'!$T$40,'430'!$T$42,'430'!$T$44</definedName>
    <definedName name="OSRRefT22x_0" localSheetId="88">'433'!$T$25:$T$33,'433'!$T$35:$T$40,'433'!$T$42,'433'!$T$44,'433'!$T$46,'433'!$T$48,'433'!$T$50,'433'!$T$52,'433'!$T$54,'433'!$T$56,'433'!$T$58,'433'!$T$60:$T$61,'433'!$T$63:$T$65,'433'!$T$67:$T$74,'433'!$T$76,'433'!$T$78</definedName>
    <definedName name="OSRRefT22x_0" localSheetId="89">'435'!$T$23:$T$24,'435'!$T$26,'435'!$T$28,'435'!$T$30,'435'!$T$32,'435'!$T$34</definedName>
    <definedName name="OSRRefT22x_0" localSheetId="90">'444'!$T$25:$T$33,'444'!$T$35:$T$40,'444'!$T$42,'444'!$T$44,'444'!$T$46,'444'!$T$48,'444'!$T$50,'444'!$T$52,'444'!$T$54,'444'!$T$56,'444'!$T$58,'444'!$T$60:$T$61,'444'!$T$63:$T$66,'444'!$T$68,'444'!$T$70:$T$77,'444'!$T$79,'444'!$T$81,'444'!$T$83</definedName>
    <definedName name="OSRRefT22x_0" localSheetId="91">'450'!$T$25:$T$33,'450'!$T$35:$T$39,'450'!$T$41,'450'!$T$43,'450'!$T$45,'450'!$T$47,'450'!$T$49,'450'!$T$51,'450'!$T$53,'450'!$T$55,'450'!$T$57,'450'!$T$59,'450'!$T$61:$T$62,'450'!$T$64:$T$66,'450'!$T$68:$T$73,'450'!$T$75,'450'!$T$77,'450'!$T$79</definedName>
    <definedName name="OSRRefT22x_0" localSheetId="72">'491'!$T$28:$T$36,'491'!$T$38:$T$43,'491'!$T$45,'491'!$T$47,'491'!$T$49,'491'!$T$51:$T$52,'491'!$T$54,'491'!$T$56,'491'!$T$58,'491'!$T$60,'491'!$T$62,'491'!$T$64,'491'!$T$66,'491'!$T$68:$T$71,'491'!$T$73,'491'!$T$75:$T$78,'491'!$T$80,'491'!$T$82:$T$90,'491'!$T$92,'491'!$T$94,'491'!$T$96:$T$97,'491'!$T$99</definedName>
    <definedName name="OSRRefT22x_0" localSheetId="86">'492'!$T$27:$T$35,'492'!$T$37:$T$43,'492'!$T$45,'492'!$T$47,'492'!$T$49,'492'!$T$51,'492'!$T$53,'492'!$T$55,'492'!$T$57,'492'!$T$59,'492'!$T$61,'492'!$T$63,'492'!$T$65:$T$67,'492'!$T$69:$T$72,'492'!$T$74,'492'!$T$76:$T$83,'492'!$T$85,'492'!$T$87,'492'!$T$89:$T$91</definedName>
    <definedName name="OSRRefT22x_0" localSheetId="93">'501'!$T$21:$T$29,'501'!$T$31:$T$36,'501'!$T$38,'501'!$T$40,'501'!$T$42:$T$43,'501'!$T$45,'501'!$T$47,'501'!$T$49:$T$52,'501'!$T$54:$T$55,'501'!$T$57,'501'!$T$59</definedName>
    <definedName name="OSRRefT22x_0" localSheetId="39">'Div 2'!$T$20:$T$30,'Div 2'!$T$32:$T$37,'Div 2'!$T$39,'Div 2'!$T$41,'Div 2'!$T$43,'Div 2'!$T$45,'Div 2'!$T$47,'Div 2'!$T$49,'Div 2'!$T$51,'Div 2'!$T$53:$T$54,'Div 2'!$T$56,'Div 2'!$T$58,'Div 2'!$T$60:$T$62,'Div 2'!$T$64:$T$67,'Div 2'!$T$69,'Div 2'!$T$71:$T$72,'Div 2'!$T$74:$T$78,'Div 2'!$T$80:$T$81,'Div 2'!$T$83,'Div 2'!$T$85:$T$86</definedName>
    <definedName name="OSRRefT22x_0" localSheetId="47">'Div 3'!$T$136:$T$145,'Div 3'!$T$147:$T$153,'Div 3'!$T$155,'Div 3'!$T$157:$T$158,'Div 3'!$T$160,'Div 3'!$T$162:$T$163,'Div 3'!$T$165:$T$166,'Div 3'!$T$168,'Div 3'!$T$170,'Div 3'!$T$172,'Div 3'!$T$174:$T$175,'Div 3'!$T$177,'Div 3'!$T$179,'Div 3'!$T$181,'Div 3'!$T$183:$T$184,'Div 3'!$T$186,'Div 3'!$T$188,'Div 3'!$T$190:$T$193,'Div 3'!$T$195:$T$197,'Div 3'!$T$199:$T$203,'Div 3'!$T$205:$T$206,'Div 3'!$T$208:$T$214,'Div 3'!$T$216:$T$217,'Div 3'!$T$219,'Div 3'!$T$221:$T$223,'Div 3'!$T$225</definedName>
    <definedName name="OSRRefT22x_0" localSheetId="70">'Div 4'!$T$31:$T$39,'Div 4'!$T$41:$T$47,'Div 4'!$T$49,'Div 4'!$T$51,'Div 4'!$T$53,'Div 4'!$T$55:$T$56,'Div 4'!$T$58,'Div 4'!$T$60,'Div 4'!$T$62,'Div 4'!$T$64,'Div 4'!$T$66,'Div 4'!$T$68,'Div 4'!$T$70,'Div 4'!$T$72,'Div 4'!$T$74,'Div 4'!$T$76:$T$79,'Div 4'!$T$81,'Div 4'!$T$83:$T$86,'Div 4'!$T$88:$T$89,'Div 4'!$T$91:$T$99,'Div 4'!$T$101,'Div 4'!$T$103,'Div 4'!$T$105:$T$107,'Div 4'!$T$109</definedName>
    <definedName name="OSRRefT22x_0" localSheetId="92">'Div 5'!$T$21:$T$29,'Div 5'!$T$31:$T$36,'Div 5'!$T$38,'Div 5'!$T$40,'Div 5'!$T$42:$T$43,'Div 5'!$T$45,'Div 5'!$T$47,'Div 5'!$T$49:$T$52,'Div 5'!$T$54:$T$55,'Div 5'!$T$57,'Div 5'!$T$59</definedName>
    <definedName name="OSRRefT22x_0" localSheetId="61">'Div 6'!$T$56:$T$64,'Div 6'!$T$66:$T$70,'Div 6'!$T$72,'Div 6'!$T$74,'Div 6'!$T$76,'Div 6'!$T$78:$T$79,'Div 6'!$T$81,'Div 6'!$T$83,'Div 6'!$T$85,'Div 6'!$T$87,'Div 6'!$T$89:$T$92,'Div 6'!$T$94,'Div 6'!$T$96</definedName>
    <definedName name="OSRRefT22x_0" localSheetId="2">Summary!$T$165:$T$174,Summary!$T$176:$T$182,Summary!$T$184,Summary!$T$186:$T$187,Summary!$T$189,Summary!$T$191:$T$192,Summary!$T$194:$T$195,Summary!$T$197,Summary!$T$199,Summary!$T$201,Summary!$T$203:$T$204,Summary!$T$206,Summary!$T$208,Summary!$T$210,Summary!$T$212:$T$213,Summary!$T$215,Summary!$T$217,Summary!$T$219,Summary!$T$221:$T$224,Summary!$T$226:$T$228,Summary!$T$230:$T$234,Summary!$T$236:$T$237,Summary!$T$239:$T$247,Summary!$T$249:$T$250,Summary!$T$252,Summary!$T$254:$T$256,Summary!$T$258</definedName>
    <definedName name="OSRRefT25x_0" localSheetId="48">'300'!$T$218:$T$222</definedName>
    <definedName name="OSRRefT25x_0" localSheetId="49">'300 &amp; 317'!$T$242:$T$248</definedName>
    <definedName name="OSRRefT25x_0" localSheetId="50">'301'!$T$98</definedName>
    <definedName name="OSRRefT25x_0" localSheetId="51">'308'!$T$115:$T$117</definedName>
    <definedName name="OSRRefT25x_0" localSheetId="71">'310 &amp; 491'!$T$113:$T$115</definedName>
    <definedName name="OSRRefT25x_0" localSheetId="52">'311'!$T$115:$T$117</definedName>
    <definedName name="OSRRefT25x_0" localSheetId="57">'315'!$T$144:$T$146</definedName>
    <definedName name="OSRRefT25x_0" localSheetId="60">'316'!$T$81</definedName>
    <definedName name="OSRRefT25x_0" localSheetId="62">'317'!$T$99:$T$101</definedName>
    <definedName name="OSRRefT25x_0" localSheetId="56">'331'!$T$161:$T$163</definedName>
    <definedName name="OSRRefT25x_0" localSheetId="59">'332'!$T$83:$T$84</definedName>
    <definedName name="OSRRefT25x_0" localSheetId="54">'333'!$T$164:$T$166</definedName>
    <definedName name="OSRRefT25x_0" localSheetId="73">'405'!$T$82</definedName>
    <definedName name="OSRRefT25x_0" localSheetId="75">'411'!$T$74:$T$75</definedName>
    <definedName name="OSRRefT25x_0" localSheetId="79">'415'!$T$83</definedName>
    <definedName name="OSRRefT25x_0" localSheetId="80">'418'!$T$67</definedName>
    <definedName name="OSRRefT25x_0" localSheetId="82">'423'!$T$30</definedName>
    <definedName name="OSRRefT25x_0" localSheetId="85">'455'!$T$21:$T$22</definedName>
    <definedName name="OSRRefT25x_0" localSheetId="72">'491'!$T$102:$T$104</definedName>
    <definedName name="OSRRefT25x_0" localSheetId="93">'501'!$T$62</definedName>
    <definedName name="OSRRefT25x_0" localSheetId="47">'Div 3'!$T$228:$T$232</definedName>
    <definedName name="OSRRefT25x_0" localSheetId="70">'Div 4'!$T$112:$T$114</definedName>
    <definedName name="OSRRefT25x_0" localSheetId="92">'Div 5'!$T$62</definedName>
    <definedName name="OSRRefT25x_0" localSheetId="61">'Div 6'!$T$99:$T$101</definedName>
    <definedName name="OSRRefT25x_0" localSheetId="2">Summary!$T$261:$T$269</definedName>
    <definedName name="_xlnm.Print_Area" localSheetId="38">'100'!$A$1:$Z$34</definedName>
    <definedName name="_xlnm.Print_Area" localSheetId="40">'200'!$A$1:$Z$40</definedName>
    <definedName name="_xlnm.Print_Area" localSheetId="41">'201'!$A$1:$Z$77</definedName>
    <definedName name="_xlnm.Print_Area" localSheetId="42">'202'!$A$1:$Z$72</definedName>
    <definedName name="_xlnm.Print_Area" localSheetId="43">'203'!$A$1:$Z$79</definedName>
    <definedName name="_xlnm.Print_Area" localSheetId="44">'204'!$A$1:$Z$66</definedName>
    <definedName name="_xlnm.Print_Area" localSheetId="45">'205'!$A$1:$Z$56</definedName>
    <definedName name="_xlnm.Print_Area" localSheetId="46">'206'!$A$1:$Z$56</definedName>
    <definedName name="_xlnm.Print_Area" localSheetId="48">'300'!$A$1:$Z$234</definedName>
    <definedName name="_xlnm.Print_Area" localSheetId="49">'300 &amp; 317'!$A$1:$Z$260</definedName>
    <definedName name="_xlnm.Print_Area" localSheetId="50">'301'!$A$1:$Z$110</definedName>
    <definedName name="_xlnm.Print_Area" localSheetId="55">'307'!$A$1:$Z$97</definedName>
    <definedName name="_xlnm.Print_Area" localSheetId="51">'308'!$A$1:$Z$129</definedName>
    <definedName name="_xlnm.Print_Area" localSheetId="64">'309'!$A$1:$Z$69</definedName>
    <definedName name="_xlnm.Print_Area" localSheetId="63">'310'!$A$1:$Z$105</definedName>
    <definedName name="_xlnm.Print_Area" localSheetId="71">'310 &amp; 491'!$A$1:$Z$127</definedName>
    <definedName name="_xlnm.Print_Area" localSheetId="52">'311'!$A$1:$Z$129</definedName>
    <definedName name="_xlnm.Print_Area" localSheetId="65">'313'!$A$1:$Z$60</definedName>
    <definedName name="_xlnm.Print_Area" localSheetId="57">'315'!$A$1:$Z$158</definedName>
    <definedName name="_xlnm.Print_Area" localSheetId="60">'316'!$A$1:$Z$93</definedName>
    <definedName name="_xlnm.Print_Area" localSheetId="62">'317'!$A$1:$Z$113</definedName>
    <definedName name="_xlnm.Print_Area" localSheetId="66">'321'!$A$1:$Z$87</definedName>
    <definedName name="_xlnm.Print_Area" localSheetId="67">'322'!$A$1:$Z$54</definedName>
    <definedName name="_xlnm.Print_Area" localSheetId="53">'324'!$A$1:$Z$39</definedName>
    <definedName name="_xlnm.Print_Area" localSheetId="68">'325'!$A$1:$Z$87</definedName>
    <definedName name="_xlnm.Print_Area" localSheetId="58">'326'!$A$1:$Z$120</definedName>
    <definedName name="_xlnm.Print_Area" localSheetId="69">'327'!$A$1:$Z$40</definedName>
    <definedName name="_xlnm.Print_Area" localSheetId="56">'331'!$A$1:$Z$175</definedName>
    <definedName name="_xlnm.Print_Area" localSheetId="59">'332'!$A$1:$Z$96</definedName>
    <definedName name="_xlnm.Print_Area" localSheetId="54">'333'!$A$1:$Z$178</definedName>
    <definedName name="_xlnm.Print_Area" localSheetId="73">'405'!$A$1:$Z$94</definedName>
    <definedName name="_xlnm.Print_Area" localSheetId="74">'406'!$A$1:$Z$42</definedName>
    <definedName name="_xlnm.Print_Area" localSheetId="75">'411'!$A$1:$Z$87</definedName>
    <definedName name="_xlnm.Print_Area" localSheetId="76">'412'!$A$1:$Z$45</definedName>
    <definedName name="_xlnm.Print_Area" localSheetId="77">'413'!$A$1:$Z$48</definedName>
    <definedName name="_xlnm.Print_Area" localSheetId="78">'414'!$A$1:$Z$47</definedName>
    <definedName name="_xlnm.Print_Area" localSheetId="79">'415'!$A$1:$Z$95</definedName>
    <definedName name="_xlnm.Print_Area" localSheetId="80">'418'!$A$1:$Z$79</definedName>
    <definedName name="_xlnm.Print_Area" localSheetId="81">'420'!$A$1:$Z$38</definedName>
    <definedName name="_xlnm.Print_Area" localSheetId="82">'423'!$A$1:$Z$42</definedName>
    <definedName name="_xlnm.Print_Area" localSheetId="83">'424'!$A$1:$Z$40</definedName>
    <definedName name="_xlnm.Print_Area" localSheetId="84">'425'!$A$1:$Z$57</definedName>
    <definedName name="_xlnm.Print_Area" localSheetId="87">'430'!$A$1:$Z$58</definedName>
    <definedName name="_xlnm.Print_Area" localSheetId="88">'433'!$A$1:$Z$92</definedName>
    <definedName name="_xlnm.Print_Area" localSheetId="89">'435'!$A$1:$Z$48</definedName>
    <definedName name="_xlnm.Print_Area" localSheetId="90">'444'!$A$1:$Z$97</definedName>
    <definedName name="_xlnm.Print_Area" localSheetId="91">'450'!$A$1:$Z$93</definedName>
    <definedName name="_xlnm.Print_Area" localSheetId="85">'455'!$A$1:$Z$34</definedName>
    <definedName name="_xlnm.Print_Area" localSheetId="72">'491'!$A$1:$Z$116</definedName>
    <definedName name="_xlnm.Print_Area" localSheetId="86">'492'!$A$1:$Z$105</definedName>
    <definedName name="_xlnm.Print_Area" localSheetId="93">'501'!$A$1:$Z$74</definedName>
    <definedName name="_xlnm.Print_Area" localSheetId="94">Dept!$A$1:$Z$39</definedName>
    <definedName name="_xlnm.Print_Area" localSheetId="5">'Div 1'!$A$1:$Z$34</definedName>
    <definedName name="_xlnm.Print_Area" localSheetId="39">'Div 2'!$A$1:$Z$100</definedName>
    <definedName name="_xlnm.Print_Area" localSheetId="47">'Div 3'!$A$1:$Z$244</definedName>
    <definedName name="_xlnm.Print_Area" localSheetId="70">'Div 4'!$A$1:$Z$126</definedName>
    <definedName name="_xlnm.Print_Area" localSheetId="92">'Div 5'!$A$1:$Z$74</definedName>
    <definedName name="_xlnm.Print_Area" localSheetId="61">'Div 6'!$A$1:$Z$113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Summary!$A$1:$Z$283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4">'309'!$1:$10</definedName>
    <definedName name="_xlnm.Print_Titles" localSheetId="63">'310'!$1:$10</definedName>
    <definedName name="_xlnm.Print_Titles" localSheetId="71">'310 &amp; 491'!$1:$10</definedName>
    <definedName name="_xlnm.Print_Titles" localSheetId="52">'311'!$1:$10</definedName>
    <definedName name="_xlnm.Print_Titles" localSheetId="65">'313'!$1:$10</definedName>
    <definedName name="_xlnm.Print_Titles" localSheetId="57">'315'!$1:$10</definedName>
    <definedName name="_xlnm.Print_Titles" localSheetId="60">'316'!$1:$10</definedName>
    <definedName name="_xlnm.Print_Titles" localSheetId="62">'317'!$1:$10</definedName>
    <definedName name="_xlnm.Print_Titles" localSheetId="66">'321'!$1:$10</definedName>
    <definedName name="_xlnm.Print_Titles" localSheetId="67">'322'!$1:$10</definedName>
    <definedName name="_xlnm.Print_Titles" localSheetId="53">'324'!$1:$10</definedName>
    <definedName name="_xlnm.Print_Titles" localSheetId="68">'325'!$1:$10</definedName>
    <definedName name="_xlnm.Print_Titles" localSheetId="58">'326'!$1:$10</definedName>
    <definedName name="_xlnm.Print_Titles" localSheetId="69">'327'!$1:$10</definedName>
    <definedName name="_xlnm.Print_Titles" localSheetId="56">'331'!$1:$10</definedName>
    <definedName name="_xlnm.Print_Titles" localSheetId="59">'332'!$1:$10</definedName>
    <definedName name="_xlnm.Print_Titles" localSheetId="54">'333'!$1:$10</definedName>
    <definedName name="_xlnm.Print_Titles" localSheetId="73">'405'!$1:$10</definedName>
    <definedName name="_xlnm.Print_Titles" localSheetId="74">'406'!$1:$10</definedName>
    <definedName name="_xlnm.Print_Titles" localSheetId="75">'411'!$1:$10</definedName>
    <definedName name="_xlnm.Print_Titles" localSheetId="76">'412'!$1:$10</definedName>
    <definedName name="_xlnm.Print_Titles" localSheetId="77">'413'!$1:$10</definedName>
    <definedName name="_xlnm.Print_Titles" localSheetId="78">'414'!$1:$10</definedName>
    <definedName name="_xlnm.Print_Titles" localSheetId="79">'415'!$1:$10</definedName>
    <definedName name="_xlnm.Print_Titles" localSheetId="80">'418'!$1:$10</definedName>
    <definedName name="_xlnm.Print_Titles" localSheetId="81">'420'!$1:$10</definedName>
    <definedName name="_xlnm.Print_Titles" localSheetId="82">'423'!$1:$10</definedName>
    <definedName name="_xlnm.Print_Titles" localSheetId="83">'424'!$1:$10</definedName>
    <definedName name="_xlnm.Print_Titles" localSheetId="84">'425'!$1:$10</definedName>
    <definedName name="_xlnm.Print_Titles" localSheetId="87">'430'!$1:$10</definedName>
    <definedName name="_xlnm.Print_Titles" localSheetId="88">'433'!$1:$10</definedName>
    <definedName name="_xlnm.Print_Titles" localSheetId="89">'435'!$1:$10</definedName>
    <definedName name="_xlnm.Print_Titles" localSheetId="90">'444'!$1:$10</definedName>
    <definedName name="_xlnm.Print_Titles" localSheetId="91">'450'!$1:$10</definedName>
    <definedName name="_xlnm.Print_Titles" localSheetId="85">'455'!$1:$10</definedName>
    <definedName name="_xlnm.Print_Titles" localSheetId="72">'491'!$1:$10</definedName>
    <definedName name="_xlnm.Print_Titles" localSheetId="86">'492'!$1:$10</definedName>
    <definedName name="_xlnm.Print_Titles" localSheetId="93">'501'!$1:$10</definedName>
    <definedName name="_xlnm.Print_Titles" localSheetId="94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70">'Div 4'!$1:$10</definedName>
    <definedName name="_xlnm.Print_Titles" localSheetId="92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1">'OSR_300 (2)_7...54cb56fc_UFX0O2'!$1:$10</definedName>
    <definedName name="_xlnm.Print_Titles" localSheetId="15">'OSR_300 (2)_c...79cd3046_1TJM0H'!$1:$10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(2)_0...c51cc666_QIOT67'!$1:$10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5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3">'OSR_Div 3 (2)...b7db256a_40ITCB'!$1:$10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(2...09141158_1BG9FGV'!$1:$10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6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H24" i="100"/>
  <c r="N24" i="100" s="1"/>
  <c r="D24" i="100"/>
  <c r="T22" i="100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D20" i="100"/>
  <c r="T16" i="100"/>
  <c r="Z16" i="100" s="1"/>
  <c r="P16" i="100"/>
  <c r="H16" i="100"/>
  <c r="D16" i="100"/>
  <c r="B16" i="100"/>
  <c r="T15" i="100"/>
  <c r="Z15" i="100" s="1"/>
  <c r="P15" i="100"/>
  <c r="H15" i="100"/>
  <c r="D15" i="100"/>
  <c r="T13" i="100"/>
  <c r="Z13" i="100" s="1"/>
  <c r="P13" i="100"/>
  <c r="H13" i="100"/>
  <c r="N13" i="100" s="1"/>
  <c r="D13" i="100"/>
  <c r="B13" i="100"/>
  <c r="T12" i="100"/>
  <c r="P12" i="100"/>
  <c r="R34" i="100" s="1"/>
  <c r="H12" i="100"/>
  <c r="J21" i="100" s="1"/>
  <c r="D12" i="100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P22" i="99"/>
  <c r="H22" i="99"/>
  <c r="D22" i="99"/>
  <c r="B22" i="99"/>
  <c r="T21" i="99"/>
  <c r="Z21" i="99" s="1"/>
  <c r="P21" i="99"/>
  <c r="H21" i="99"/>
  <c r="N21" i="99" s="1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V34" i="99" s="1"/>
  <c r="P12" i="99"/>
  <c r="R36" i="99" s="1"/>
  <c r="H12" i="99"/>
  <c r="J16" i="99" s="1"/>
  <c r="D12" i="99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D13" i="98"/>
  <c r="B13" i="98"/>
  <c r="T12" i="98"/>
  <c r="P12" i="98"/>
  <c r="R27" i="98" s="1"/>
  <c r="H12" i="98"/>
  <c r="J20" i="98" s="1"/>
  <c r="D12" i="98"/>
  <c r="F27" i="98" s="1"/>
  <c r="D6" i="98"/>
  <c r="D5" i="98"/>
  <c r="D4" i="98"/>
  <c r="X66" i="97"/>
  <c r="Z66" i="97" s="1"/>
  <c r="N66" i="97"/>
  <c r="L66" i="97"/>
  <c r="J66" i="97"/>
  <c r="T62" i="97"/>
  <c r="R62" i="97"/>
  <c r="P62" i="97"/>
  <c r="X62" i="97" s="1"/>
  <c r="Z62" i="97" s="1"/>
  <c r="L62" i="97"/>
  <c r="H62" i="97"/>
  <c r="N62" i="97" s="1"/>
  <c r="D62" i="97"/>
  <c r="B62" i="97"/>
  <c r="Z61" i="97"/>
  <c r="T61" i="97"/>
  <c r="P61" i="97"/>
  <c r="X61" i="97" s="1"/>
  <c r="L61" i="97"/>
  <c r="N61" i="97" s="1"/>
  <c r="H61" i="97"/>
  <c r="D61" i="97"/>
  <c r="Z59" i="97"/>
  <c r="X59" i="97"/>
  <c r="R59" i="97"/>
  <c r="N59" i="97"/>
  <c r="L59" i="97"/>
  <c r="B59" i="97"/>
  <c r="T58" i="97"/>
  <c r="Z58" i="97" s="1"/>
  <c r="P58" i="97"/>
  <c r="N58" i="97"/>
  <c r="H58" i="97"/>
  <c r="D58" i="97"/>
  <c r="L58" i="97" s="1"/>
  <c r="B58" i="97"/>
  <c r="Z57" i="97"/>
  <c r="X57" i="97"/>
  <c r="R57" i="97"/>
  <c r="L57" i="97"/>
  <c r="N57" i="97" s="1"/>
  <c r="B57" i="97"/>
  <c r="T56" i="97"/>
  <c r="P56" i="97"/>
  <c r="X56" i="97" s="1"/>
  <c r="Z56" i="97" s="1"/>
  <c r="L56" i="97"/>
  <c r="H56" i="97"/>
  <c r="N56" i="97" s="1"/>
  <c r="D56" i="97"/>
  <c r="B56" i="97"/>
  <c r="Z55" i="97"/>
  <c r="X55" i="97"/>
  <c r="N55" i="97"/>
  <c r="L55" i="97"/>
  <c r="B55" i="97"/>
  <c r="X54" i="97"/>
  <c r="Z54" i="97" s="1"/>
  <c r="N54" i="97"/>
  <c r="L54" i="97"/>
  <c r="B54" i="97"/>
  <c r="T53" i="97"/>
  <c r="P53" i="97"/>
  <c r="X53" i="97" s="1"/>
  <c r="H53" i="97"/>
  <c r="D53" i="97"/>
  <c r="L53" i="97" s="1"/>
  <c r="N53" i="97" s="1"/>
  <c r="B53" i="97"/>
  <c r="X52" i="97"/>
  <c r="Z52" i="97" s="1"/>
  <c r="N52" i="97"/>
  <c r="L52" i="97"/>
  <c r="B52" i="97"/>
  <c r="Z51" i="97"/>
  <c r="X51" i="97"/>
  <c r="N51" i="97"/>
  <c r="L51" i="97"/>
  <c r="B51" i="97"/>
  <c r="Z50" i="97"/>
  <c r="X50" i="97"/>
  <c r="N50" i="97"/>
  <c r="L50" i="97"/>
  <c r="F50" i="97"/>
  <c r="B50" i="97"/>
  <c r="Z49" i="97"/>
  <c r="X49" i="97"/>
  <c r="N49" i="97"/>
  <c r="L49" i="97"/>
  <c r="B49" i="97"/>
  <c r="T48" i="97"/>
  <c r="Z48" i="97" s="1"/>
  <c r="P48" i="97"/>
  <c r="X48" i="97" s="1"/>
  <c r="N48" i="97"/>
  <c r="L48" i="97"/>
  <c r="H48" i="97"/>
  <c r="F48" i="97"/>
  <c r="D48" i="97"/>
  <c r="B48" i="97"/>
  <c r="Z47" i="97"/>
  <c r="X47" i="97"/>
  <c r="L47" i="97"/>
  <c r="N47" i="97" s="1"/>
  <c r="B47" i="97"/>
  <c r="X46" i="97"/>
  <c r="Z46" i="97" s="1"/>
  <c r="T46" i="97"/>
  <c r="P46" i="97"/>
  <c r="L46" i="97"/>
  <c r="N46" i="97" s="1"/>
  <c r="H46" i="97"/>
  <c r="D46" i="97"/>
  <c r="B46" i="97"/>
  <c r="X45" i="97"/>
  <c r="Z45" i="97" s="1"/>
  <c r="N45" i="97"/>
  <c r="L45" i="97"/>
  <c r="B45" i="97"/>
  <c r="T44" i="97"/>
  <c r="X44" i="97" s="1"/>
  <c r="Z44" i="97" s="1"/>
  <c r="P44" i="97"/>
  <c r="H44" i="97"/>
  <c r="D44" i="97"/>
  <c r="B44" i="97"/>
  <c r="X43" i="97"/>
  <c r="Z43" i="97" s="1"/>
  <c r="N43" i="97"/>
  <c r="L43" i="97"/>
  <c r="B43" i="97"/>
  <c r="Z42" i="97"/>
  <c r="X42" i="97"/>
  <c r="N42" i="97"/>
  <c r="L42" i="97"/>
  <c r="B42" i="97"/>
  <c r="X41" i="97"/>
  <c r="T41" i="97"/>
  <c r="Z41" i="97" s="1"/>
  <c r="P41" i="97"/>
  <c r="H41" i="97"/>
  <c r="N41" i="97" s="1"/>
  <c r="D41" i="97"/>
  <c r="B41" i="97"/>
  <c r="X40" i="97"/>
  <c r="Z40" i="97" s="1"/>
  <c r="N40" i="97"/>
  <c r="L40" i="97"/>
  <c r="B40" i="97"/>
  <c r="X39" i="97"/>
  <c r="T39" i="97"/>
  <c r="R39" i="97"/>
  <c r="P39" i="97"/>
  <c r="N39" i="97"/>
  <c r="H39" i="97"/>
  <c r="D39" i="97"/>
  <c r="L39" i="97" s="1"/>
  <c r="B39" i="97"/>
  <c r="Z38" i="97"/>
  <c r="X38" i="97"/>
  <c r="N38" i="97"/>
  <c r="L38" i="97"/>
  <c r="B38" i="97"/>
  <c r="T37" i="97"/>
  <c r="Z37" i="97" s="1"/>
  <c r="P37" i="97"/>
  <c r="N37" i="97"/>
  <c r="H37" i="97"/>
  <c r="D37" i="97"/>
  <c r="L37" i="97" s="1"/>
  <c r="B37" i="97"/>
  <c r="X36" i="97"/>
  <c r="Z36" i="97" s="1"/>
  <c r="N36" i="97"/>
  <c r="L36" i="97"/>
  <c r="B36" i="97"/>
  <c r="Z35" i="97"/>
  <c r="X35" i="97"/>
  <c r="L35" i="97"/>
  <c r="N35" i="97" s="1"/>
  <c r="F35" i="97"/>
  <c r="B35" i="97"/>
  <c r="X34" i="97"/>
  <c r="Z34" i="97" s="1"/>
  <c r="N34" i="97"/>
  <c r="L34" i="97"/>
  <c r="B34" i="97"/>
  <c r="Z33" i="97"/>
  <c r="X33" i="97"/>
  <c r="N33" i="97"/>
  <c r="L33" i="97"/>
  <c r="B33" i="97"/>
  <c r="X32" i="97"/>
  <c r="Z32" i="97" s="1"/>
  <c r="L32" i="97"/>
  <c r="N32" i="97" s="1"/>
  <c r="B32" i="97"/>
  <c r="X31" i="97"/>
  <c r="Z31" i="97" s="1"/>
  <c r="N31" i="97"/>
  <c r="L31" i="97"/>
  <c r="B31" i="97"/>
  <c r="T30" i="97"/>
  <c r="Z30" i="97" s="1"/>
  <c r="P30" i="97"/>
  <c r="X30" i="97" s="1"/>
  <c r="H30" i="97"/>
  <c r="N30" i="97" s="1"/>
  <c r="D30" i="97"/>
  <c r="L30" i="97" s="1"/>
  <c r="B30" i="97"/>
  <c r="Z29" i="97"/>
  <c r="X29" i="97"/>
  <c r="R29" i="97"/>
  <c r="N29" i="97"/>
  <c r="L29" i="97"/>
  <c r="B29" i="97"/>
  <c r="X28" i="97"/>
  <c r="Z28" i="97" s="1"/>
  <c r="N28" i="97"/>
  <c r="L28" i="97"/>
  <c r="B28" i="97"/>
  <c r="X27" i="97"/>
  <c r="Z27" i="97" s="1"/>
  <c r="N27" i="97"/>
  <c r="L27" i="97"/>
  <c r="B27" i="97"/>
  <c r="Z26" i="97"/>
  <c r="X26" i="97"/>
  <c r="N26" i="97"/>
  <c r="L26" i="97"/>
  <c r="B26" i="97"/>
  <c r="X25" i="97"/>
  <c r="Z25" i="97" s="1"/>
  <c r="N25" i="97"/>
  <c r="L25" i="97"/>
  <c r="B25" i="97"/>
  <c r="X24" i="97"/>
  <c r="Z24" i="97" s="1"/>
  <c r="R24" i="97"/>
  <c r="L24" i="97"/>
  <c r="N24" i="97" s="1"/>
  <c r="B24" i="97"/>
  <c r="Z23" i="97"/>
  <c r="X23" i="97"/>
  <c r="N23" i="97"/>
  <c r="L23" i="97"/>
  <c r="B23" i="97"/>
  <c r="X22" i="97"/>
  <c r="Z22" i="97" s="1"/>
  <c r="L22" i="97"/>
  <c r="N22" i="97" s="1"/>
  <c r="B22" i="97"/>
  <c r="Z21" i="97"/>
  <c r="X21" i="97"/>
  <c r="L21" i="97"/>
  <c r="N21" i="97" s="1"/>
  <c r="J21" i="97"/>
  <c r="F21" i="97"/>
  <c r="B21" i="97"/>
  <c r="T20" i="97"/>
  <c r="Z20" i="97" s="1"/>
  <c r="P20" i="97"/>
  <c r="X20" i="97" s="1"/>
  <c r="N20" i="97"/>
  <c r="L20" i="97"/>
  <c r="H20" i="97"/>
  <c r="D20" i="97"/>
  <c r="B20" i="97"/>
  <c r="X19" i="97"/>
  <c r="Z19" i="97" s="1"/>
  <c r="T19" i="97" a="1"/>
  <c r="T19" i="97"/>
  <c r="P19" i="97" a="1"/>
  <c r="P19" i="97" s="1"/>
  <c r="H19" i="97" a="1"/>
  <c r="H19" i="97"/>
  <c r="J19" i="97" s="1"/>
  <c r="D19" i="97" a="1"/>
  <c r="D19" i="97"/>
  <c r="L19" i="97" s="1"/>
  <c r="N19" i="97" s="1"/>
  <c r="H17" i="97"/>
  <c r="T15" i="97"/>
  <c r="Z15" i="97" s="1"/>
  <c r="P15" i="97"/>
  <c r="N15" i="97"/>
  <c r="H15" i="97"/>
  <c r="D15" i="97"/>
  <c r="L15" i="97" s="1"/>
  <c r="T13" i="97"/>
  <c r="P13" i="97"/>
  <c r="H13" i="97"/>
  <c r="D13" i="97"/>
  <c r="L13" i="97" s="1"/>
  <c r="N13" i="97" s="1"/>
  <c r="B13" i="97"/>
  <c r="P12" i="97"/>
  <c r="R48" i="97" s="1"/>
  <c r="H12" i="97"/>
  <c r="D12" i="97"/>
  <c r="F54" i="97" s="1"/>
  <c r="D6" i="97"/>
  <c r="D4" i="97"/>
  <c r="V28" i="96"/>
  <c r="F28" i="96"/>
  <c r="Z26" i="96"/>
  <c r="X26" i="96"/>
  <c r="N26" i="96"/>
  <c r="L26" i="96"/>
  <c r="J26" i="96"/>
  <c r="F26" i="96"/>
  <c r="V22" i="96"/>
  <c r="T22" i="96"/>
  <c r="P22" i="96"/>
  <c r="H22" i="96"/>
  <c r="F22" i="96"/>
  <c r="D22" i="96"/>
  <c r="B22" i="96"/>
  <c r="V21" i="96"/>
  <c r="T21" i="96"/>
  <c r="R21" i="96"/>
  <c r="P21" i="96"/>
  <c r="H21" i="96"/>
  <c r="D21" i="96"/>
  <c r="L21" i="96" s="1"/>
  <c r="N21" i="96" s="1"/>
  <c r="B21" i="96"/>
  <c r="J20" i="96"/>
  <c r="H20" i="96"/>
  <c r="V18" i="96"/>
  <c r="T18" i="96"/>
  <c r="Z18" i="96" s="1"/>
  <c r="R18" i="96"/>
  <c r="P18" i="96"/>
  <c r="X18" i="96" s="1"/>
  <c r="H18" i="96"/>
  <c r="N18" i="96" s="1"/>
  <c r="D18" i="96"/>
  <c r="L18" i="96" s="1"/>
  <c r="Z16" i="96"/>
  <c r="J16" i="96"/>
  <c r="H16" i="96"/>
  <c r="V14" i="96"/>
  <c r="T14" i="96"/>
  <c r="T16" i="96" s="1"/>
  <c r="R14" i="96"/>
  <c r="P14" i="96"/>
  <c r="X14" i="96" s="1"/>
  <c r="H14" i="96"/>
  <c r="N14" i="96" s="1"/>
  <c r="D14" i="96"/>
  <c r="L14" i="96" s="1"/>
  <c r="Z12" i="96"/>
  <c r="X12" i="96"/>
  <c r="T12" i="96"/>
  <c r="V20" i="96" s="1"/>
  <c r="P12" i="96"/>
  <c r="R28" i="96" s="1"/>
  <c r="H12" i="96"/>
  <c r="J31" i="96" s="1"/>
  <c r="D12" i="96"/>
  <c r="F20" i="96" s="1"/>
  <c r="D6" i="96"/>
  <c r="D4" i="96"/>
  <c r="Z85" i="95"/>
  <c r="X85" i="95"/>
  <c r="N85" i="95"/>
  <c r="L85" i="95"/>
  <c r="T81" i="95"/>
  <c r="Z81" i="95" s="1"/>
  <c r="P81" i="95"/>
  <c r="H81" i="95"/>
  <c r="N81" i="95" s="1"/>
  <c r="D81" i="95"/>
  <c r="Z79" i="95"/>
  <c r="X79" i="95"/>
  <c r="N79" i="95"/>
  <c r="L79" i="95"/>
  <c r="B79" i="95"/>
  <c r="Z78" i="95"/>
  <c r="T78" i="95"/>
  <c r="P78" i="95"/>
  <c r="X78" i="95" s="1"/>
  <c r="N78" i="95"/>
  <c r="H78" i="95"/>
  <c r="D78" i="95"/>
  <c r="L78" i="95" s="1"/>
  <c r="B78" i="95"/>
  <c r="Z77" i="95"/>
  <c r="X77" i="95"/>
  <c r="N77" i="95"/>
  <c r="L77" i="95"/>
  <c r="B77" i="95"/>
  <c r="Z76" i="95"/>
  <c r="T76" i="95"/>
  <c r="P76" i="95"/>
  <c r="X76" i="95" s="1"/>
  <c r="N76" i="95"/>
  <c r="L76" i="95"/>
  <c r="H76" i="95"/>
  <c r="D76" i="95"/>
  <c r="B76" i="95"/>
  <c r="Z75" i="95"/>
  <c r="X75" i="95"/>
  <c r="R75" i="95"/>
  <c r="N75" i="95"/>
  <c r="L75" i="95"/>
  <c r="B75" i="95"/>
  <c r="X74" i="95"/>
  <c r="Z74" i="95" s="1"/>
  <c r="T74" i="95"/>
  <c r="P74" i="95"/>
  <c r="L74" i="95"/>
  <c r="H74" i="95"/>
  <c r="N74" i="95" s="1"/>
  <c r="D74" i="95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T67" i="95"/>
  <c r="Z67" i="95" s="1"/>
  <c r="P67" i="95"/>
  <c r="X67" i="95" s="1"/>
  <c r="N67" i="95"/>
  <c r="H67" i="95"/>
  <c r="L67" i="95" s="1"/>
  <c r="D67" i="95"/>
  <c r="B67" i="95"/>
  <c r="Z66" i="95"/>
  <c r="X66" i="95"/>
  <c r="N66" i="95"/>
  <c r="L66" i="95"/>
  <c r="B66" i="95"/>
  <c r="Z65" i="95"/>
  <c r="X65" i="95"/>
  <c r="N65" i="95"/>
  <c r="L65" i="95"/>
  <c r="B65" i="95"/>
  <c r="Z64" i="95"/>
  <c r="X64" i="95"/>
  <c r="L64" i="95"/>
  <c r="N64" i="95" s="1"/>
  <c r="B64" i="95"/>
  <c r="T63" i="95"/>
  <c r="P63" i="95"/>
  <c r="X63" i="95" s="1"/>
  <c r="N63" i="95"/>
  <c r="L63" i="95"/>
  <c r="H63" i="95"/>
  <c r="D63" i="95"/>
  <c r="B63" i="95"/>
  <c r="Z62" i="95"/>
  <c r="X62" i="95"/>
  <c r="N62" i="95"/>
  <c r="L62" i="95"/>
  <c r="B62" i="95"/>
  <c r="X61" i="95"/>
  <c r="Z61" i="95" s="1"/>
  <c r="N61" i="95"/>
  <c r="L61" i="95"/>
  <c r="B61" i="95"/>
  <c r="T60" i="95"/>
  <c r="P60" i="95"/>
  <c r="X60" i="95" s="1"/>
  <c r="Z60" i="95" s="1"/>
  <c r="N60" i="95"/>
  <c r="L60" i="95"/>
  <c r="H60" i="95"/>
  <c r="D60" i="95"/>
  <c r="B60" i="95"/>
  <c r="Z59" i="95"/>
  <c r="X59" i="95"/>
  <c r="N59" i="95"/>
  <c r="L59" i="95"/>
  <c r="B59" i="95"/>
  <c r="Z58" i="95"/>
  <c r="X58" i="95"/>
  <c r="T58" i="95"/>
  <c r="P58" i="95"/>
  <c r="J58" i="95"/>
  <c r="H58" i="95"/>
  <c r="D58" i="95"/>
  <c r="B58" i="95"/>
  <c r="X57" i="95"/>
  <c r="Z57" i="95" s="1"/>
  <c r="L57" i="95"/>
  <c r="N57" i="95" s="1"/>
  <c r="B57" i="95"/>
  <c r="X56" i="95"/>
  <c r="T56" i="95"/>
  <c r="P56" i="95"/>
  <c r="H56" i="95"/>
  <c r="D56" i="95"/>
  <c r="B56" i="95"/>
  <c r="X55" i="95"/>
  <c r="Z55" i="95" s="1"/>
  <c r="N55" i="95"/>
  <c r="L55" i="95"/>
  <c r="B55" i="95"/>
  <c r="T54" i="95"/>
  <c r="P54" i="95"/>
  <c r="X54" i="95" s="1"/>
  <c r="Z54" i="95" s="1"/>
  <c r="N54" i="95"/>
  <c r="H54" i="95"/>
  <c r="D54" i="95"/>
  <c r="L54" i="95" s="1"/>
  <c r="B54" i="95"/>
  <c r="X53" i="95"/>
  <c r="Z53" i="95" s="1"/>
  <c r="N53" i="95"/>
  <c r="L53" i="95"/>
  <c r="B53" i="95"/>
  <c r="Z52" i="95"/>
  <c r="T52" i="95"/>
  <c r="P52" i="95"/>
  <c r="X52" i="95" s="1"/>
  <c r="N52" i="95"/>
  <c r="L52" i="95"/>
  <c r="H52" i="95"/>
  <c r="D52" i="95"/>
  <c r="B52" i="95"/>
  <c r="Z51" i="95"/>
  <c r="X51" i="95"/>
  <c r="N51" i="95"/>
  <c r="L51" i="95"/>
  <c r="B51" i="95"/>
  <c r="Z50" i="95"/>
  <c r="X50" i="95"/>
  <c r="T50" i="95"/>
  <c r="P50" i="95"/>
  <c r="N50" i="95"/>
  <c r="L50" i="95"/>
  <c r="H50" i="95"/>
  <c r="D50" i="95"/>
  <c r="B50" i="95"/>
  <c r="Z49" i="95"/>
  <c r="X49" i="95"/>
  <c r="N49" i="95"/>
  <c r="L49" i="95"/>
  <c r="B49" i="95"/>
  <c r="Z48" i="95"/>
  <c r="X48" i="95"/>
  <c r="T48" i="95"/>
  <c r="P48" i="95"/>
  <c r="H48" i="95"/>
  <c r="N48" i="95" s="1"/>
  <c r="F48" i="95"/>
  <c r="D48" i="95"/>
  <c r="B48" i="95"/>
  <c r="X47" i="95"/>
  <c r="Z47" i="95" s="1"/>
  <c r="L47" i="95"/>
  <c r="N47" i="95" s="1"/>
  <c r="B47" i="95"/>
  <c r="T46" i="95"/>
  <c r="P46" i="95"/>
  <c r="X46" i="95" s="1"/>
  <c r="Z46" i="95" s="1"/>
  <c r="N46" i="95"/>
  <c r="H46" i="95"/>
  <c r="D46" i="95"/>
  <c r="L46" i="95" s="1"/>
  <c r="B46" i="95"/>
  <c r="Z45" i="95"/>
  <c r="X45" i="95"/>
  <c r="N45" i="95"/>
  <c r="L45" i="95"/>
  <c r="B45" i="95"/>
  <c r="Z44" i="95"/>
  <c r="T44" i="95"/>
  <c r="P44" i="95"/>
  <c r="N44" i="95"/>
  <c r="L44" i="95"/>
  <c r="H44" i="95"/>
  <c r="D44" i="95"/>
  <c r="B44" i="95"/>
  <c r="Z43" i="95"/>
  <c r="X43" i="95"/>
  <c r="N43" i="95"/>
  <c r="L43" i="95"/>
  <c r="B43" i="95"/>
  <c r="Z42" i="95"/>
  <c r="X42" i="95"/>
  <c r="T42" i="95"/>
  <c r="P42" i="95"/>
  <c r="N42" i="95"/>
  <c r="L42" i="95"/>
  <c r="H42" i="95"/>
  <c r="D42" i="95"/>
  <c r="B42" i="95"/>
  <c r="Z41" i="95"/>
  <c r="X41" i="95"/>
  <c r="N41" i="95"/>
  <c r="L41" i="95"/>
  <c r="B41" i="95"/>
  <c r="T40" i="95"/>
  <c r="P40" i="95"/>
  <c r="H40" i="95"/>
  <c r="N40" i="95" s="1"/>
  <c r="D40" i="95"/>
  <c r="L40" i="95" s="1"/>
  <c r="B40" i="95"/>
  <c r="Z39" i="95"/>
  <c r="X39" i="95"/>
  <c r="N39" i="95"/>
  <c r="L39" i="95"/>
  <c r="B39" i="95"/>
  <c r="Z38" i="95"/>
  <c r="X38" i="95"/>
  <c r="L38" i="95"/>
  <c r="N38" i="95" s="1"/>
  <c r="B38" i="95"/>
  <c r="Z37" i="95"/>
  <c r="X37" i="95"/>
  <c r="N37" i="95"/>
  <c r="L37" i="95"/>
  <c r="B37" i="95"/>
  <c r="Z36" i="95"/>
  <c r="X36" i="95"/>
  <c r="N36" i="95"/>
  <c r="L36" i="95"/>
  <c r="B36" i="95"/>
  <c r="Z35" i="95"/>
  <c r="X35" i="95"/>
  <c r="L35" i="95"/>
  <c r="N35" i="95" s="1"/>
  <c r="B35" i="95"/>
  <c r="Z34" i="95"/>
  <c r="X34" i="95"/>
  <c r="T34" i="95"/>
  <c r="P34" i="95"/>
  <c r="L34" i="95"/>
  <c r="N34" i="95" s="1"/>
  <c r="H34" i="95"/>
  <c r="D34" i="95"/>
  <c r="B34" i="95"/>
  <c r="X33" i="95"/>
  <c r="Z33" i="95" s="1"/>
  <c r="N33" i="95"/>
  <c r="L33" i="95"/>
  <c r="B33" i="95"/>
  <c r="X32" i="95"/>
  <c r="Z32" i="95" s="1"/>
  <c r="R32" i="95"/>
  <c r="N32" i="95"/>
  <c r="L32" i="95"/>
  <c r="B32" i="95"/>
  <c r="X31" i="95"/>
  <c r="Z31" i="95" s="1"/>
  <c r="L31" i="95"/>
  <c r="N31" i="95" s="1"/>
  <c r="B31" i="95"/>
  <c r="X30" i="95"/>
  <c r="Z30" i="95" s="1"/>
  <c r="N30" i="95"/>
  <c r="L30" i="95"/>
  <c r="B30" i="95"/>
  <c r="X29" i="95"/>
  <c r="Z29" i="95" s="1"/>
  <c r="L29" i="95"/>
  <c r="N29" i="95" s="1"/>
  <c r="B29" i="95"/>
  <c r="Z28" i="95"/>
  <c r="X28" i="95"/>
  <c r="L28" i="95"/>
  <c r="N28" i="95" s="1"/>
  <c r="B28" i="95"/>
  <c r="X27" i="95"/>
  <c r="Z27" i="95" s="1"/>
  <c r="L27" i="95"/>
  <c r="N27" i="95" s="1"/>
  <c r="J27" i="95"/>
  <c r="F27" i="95"/>
  <c r="B27" i="95"/>
  <c r="Z26" i="95"/>
  <c r="X26" i="95"/>
  <c r="L26" i="95"/>
  <c r="N26" i="95" s="1"/>
  <c r="B26" i="95"/>
  <c r="X25" i="95"/>
  <c r="Z25" i="95" s="1"/>
  <c r="L25" i="95"/>
  <c r="N25" i="95" s="1"/>
  <c r="B25" i="95"/>
  <c r="Z24" i="95"/>
  <c r="X24" i="95"/>
  <c r="T24" i="95"/>
  <c r="P24" i="95"/>
  <c r="H24" i="95"/>
  <c r="D24" i="95"/>
  <c r="B24" i="95"/>
  <c r="T23" i="95" a="1"/>
  <c r="T23" i="95"/>
  <c r="P23" i="95" a="1"/>
  <c r="P23" i="95" s="1"/>
  <c r="H23" i="95" a="1"/>
  <c r="H23" i="95" s="1"/>
  <c r="D23" i="95" a="1"/>
  <c r="D23" i="95" s="1"/>
  <c r="Z19" i="95"/>
  <c r="X19" i="95"/>
  <c r="R19" i="95"/>
  <c r="N19" i="95"/>
  <c r="L19" i="95"/>
  <c r="B19" i="95"/>
  <c r="Z18" i="95"/>
  <c r="X18" i="95"/>
  <c r="R18" i="95"/>
  <c r="N18" i="95"/>
  <c r="L18" i="95"/>
  <c r="B18" i="95"/>
  <c r="X17" i="95"/>
  <c r="T17" i="95"/>
  <c r="Z17" i="95" s="1"/>
  <c r="P17" i="95"/>
  <c r="N17" i="95"/>
  <c r="H17" i="95"/>
  <c r="D17" i="95"/>
  <c r="L17" i="95" s="1"/>
  <c r="T15" i="95"/>
  <c r="Z15" i="95" s="1"/>
  <c r="P15" i="95"/>
  <c r="P12" i="95" s="1"/>
  <c r="R69" i="95" s="1"/>
  <c r="H15" i="95"/>
  <c r="N15" i="95" s="1"/>
  <c r="D15" i="95"/>
  <c r="L15" i="95" s="1"/>
  <c r="B15" i="95"/>
  <c r="Z14" i="95"/>
  <c r="X14" i="95"/>
  <c r="T14" i="95"/>
  <c r="P14" i="95"/>
  <c r="H14" i="95"/>
  <c r="H12" i="95" s="1"/>
  <c r="J30" i="95" s="1"/>
  <c r="D14" i="95"/>
  <c r="B14" i="95"/>
  <c r="Z13" i="95"/>
  <c r="X13" i="95"/>
  <c r="T13" i="95"/>
  <c r="P13" i="95"/>
  <c r="N13" i="95"/>
  <c r="H13" i="95"/>
  <c r="D13" i="95"/>
  <c r="L13" i="95" s="1"/>
  <c r="B13" i="95"/>
  <c r="D12" i="95"/>
  <c r="D6" i="95"/>
  <c r="D4" i="95"/>
  <c r="Z89" i="94"/>
  <c r="X89" i="94"/>
  <c r="N89" i="94"/>
  <c r="L89" i="94"/>
  <c r="F89" i="94"/>
  <c r="Z85" i="94"/>
  <c r="T85" i="94"/>
  <c r="P85" i="94"/>
  <c r="X85" i="94" s="1"/>
  <c r="H85" i="94"/>
  <c r="N85" i="94" s="1"/>
  <c r="D85" i="94"/>
  <c r="X83" i="94"/>
  <c r="Z83" i="94" s="1"/>
  <c r="N83" i="94"/>
  <c r="L83" i="94"/>
  <c r="B83" i="94"/>
  <c r="T82" i="94"/>
  <c r="P82" i="94"/>
  <c r="N82" i="94"/>
  <c r="L82" i="94"/>
  <c r="H82" i="94"/>
  <c r="D82" i="94"/>
  <c r="B82" i="94"/>
  <c r="Z81" i="94"/>
  <c r="X81" i="94"/>
  <c r="N81" i="94"/>
  <c r="L81" i="94"/>
  <c r="B81" i="94"/>
  <c r="Z80" i="94"/>
  <c r="X80" i="94"/>
  <c r="T80" i="94"/>
  <c r="P80" i="94"/>
  <c r="H80" i="94"/>
  <c r="N80" i="94" s="1"/>
  <c r="D80" i="94"/>
  <c r="L80" i="94" s="1"/>
  <c r="B80" i="94"/>
  <c r="X79" i="94"/>
  <c r="Z79" i="94" s="1"/>
  <c r="L79" i="94"/>
  <c r="N79" i="94" s="1"/>
  <c r="B79" i="94"/>
  <c r="T78" i="94"/>
  <c r="P78" i="94"/>
  <c r="H78" i="94"/>
  <c r="D78" i="94"/>
  <c r="B78" i="94"/>
  <c r="Z77" i="94"/>
  <c r="X77" i="94"/>
  <c r="N77" i="94"/>
  <c r="L77" i="94"/>
  <c r="B77" i="94"/>
  <c r="Z76" i="94"/>
  <c r="X76" i="94"/>
  <c r="N76" i="94"/>
  <c r="L76" i="94"/>
  <c r="B76" i="94"/>
  <c r="X75" i="94"/>
  <c r="Z75" i="94" s="1"/>
  <c r="V75" i="94"/>
  <c r="L75" i="94"/>
  <c r="N75" i="94" s="1"/>
  <c r="B75" i="94"/>
  <c r="X74" i="94"/>
  <c r="Z74" i="94" s="1"/>
  <c r="N74" i="94"/>
  <c r="L74" i="94"/>
  <c r="B74" i="94"/>
  <c r="Z73" i="94"/>
  <c r="X73" i="94"/>
  <c r="N73" i="94"/>
  <c r="L73" i="94"/>
  <c r="B73" i="94"/>
  <c r="X72" i="94"/>
  <c r="Z72" i="94" s="1"/>
  <c r="N72" i="94"/>
  <c r="L72" i="94"/>
  <c r="F72" i="94"/>
  <c r="B72" i="94"/>
  <c r="X71" i="94"/>
  <c r="Z71" i="94" s="1"/>
  <c r="L71" i="94"/>
  <c r="N71" i="94" s="1"/>
  <c r="F71" i="94"/>
  <c r="B71" i="94"/>
  <c r="Z70" i="94"/>
  <c r="X70" i="94"/>
  <c r="N70" i="94"/>
  <c r="L70" i="94"/>
  <c r="B70" i="94"/>
  <c r="Z69" i="94"/>
  <c r="T69" i="94"/>
  <c r="P69" i="94"/>
  <c r="X69" i="94" s="1"/>
  <c r="N69" i="94"/>
  <c r="L69" i="94"/>
  <c r="H69" i="94"/>
  <c r="D69" i="94"/>
  <c r="B69" i="94"/>
  <c r="X68" i="94"/>
  <c r="Z68" i="94" s="1"/>
  <c r="N68" i="94"/>
  <c r="L68" i="94"/>
  <c r="F68" i="94"/>
  <c r="B68" i="94"/>
  <c r="X67" i="94"/>
  <c r="Z67" i="94" s="1"/>
  <c r="T67" i="94"/>
  <c r="P67" i="94"/>
  <c r="N67" i="94"/>
  <c r="L67" i="94"/>
  <c r="H67" i="94"/>
  <c r="D67" i="94"/>
  <c r="B67" i="94"/>
  <c r="X66" i="94"/>
  <c r="Z66" i="94" s="1"/>
  <c r="N66" i="94"/>
  <c r="L66" i="94"/>
  <c r="B66" i="94"/>
  <c r="Z65" i="94"/>
  <c r="X65" i="94"/>
  <c r="N65" i="94"/>
  <c r="L65" i="94"/>
  <c r="B65" i="94"/>
  <c r="Z64" i="94"/>
  <c r="X64" i="94"/>
  <c r="N64" i="94"/>
  <c r="L64" i="94"/>
  <c r="B64" i="94"/>
  <c r="Z63" i="94"/>
  <c r="X63" i="94"/>
  <c r="L63" i="94"/>
  <c r="N63" i="94" s="1"/>
  <c r="J63" i="94"/>
  <c r="F63" i="94"/>
  <c r="B63" i="94"/>
  <c r="X62" i="94"/>
  <c r="Z62" i="94" s="1"/>
  <c r="T62" i="94"/>
  <c r="P62" i="94"/>
  <c r="L62" i="94"/>
  <c r="J62" i="94"/>
  <c r="H62" i="94"/>
  <c r="D62" i="94"/>
  <c r="B62" i="94"/>
  <c r="Z61" i="94"/>
  <c r="X61" i="94"/>
  <c r="N61" i="94"/>
  <c r="L61" i="94"/>
  <c r="B61" i="94"/>
  <c r="Z60" i="94"/>
  <c r="X60" i="94"/>
  <c r="N60" i="94"/>
  <c r="L60" i="94"/>
  <c r="B60" i="94"/>
  <c r="Z59" i="94"/>
  <c r="X59" i="94"/>
  <c r="T59" i="94"/>
  <c r="P59" i="94"/>
  <c r="H59" i="94"/>
  <c r="L59" i="94" s="1"/>
  <c r="N59" i="94" s="1"/>
  <c r="D59" i="94"/>
  <c r="B59" i="94"/>
  <c r="X58" i="94"/>
  <c r="Z58" i="94" s="1"/>
  <c r="L58" i="94"/>
  <c r="N58" i="94" s="1"/>
  <c r="B58" i="94"/>
  <c r="T57" i="94"/>
  <c r="P57" i="94"/>
  <c r="H57" i="94"/>
  <c r="D57" i="94"/>
  <c r="B57" i="94"/>
  <c r="Z56" i="94"/>
  <c r="X56" i="94"/>
  <c r="N56" i="94"/>
  <c r="L56" i="94"/>
  <c r="B56" i="94"/>
  <c r="T55" i="94"/>
  <c r="P55" i="94"/>
  <c r="X55" i="94" s="1"/>
  <c r="N55" i="94"/>
  <c r="H55" i="94"/>
  <c r="D55" i="94"/>
  <c r="L55" i="94" s="1"/>
  <c r="B55" i="94"/>
  <c r="X54" i="94"/>
  <c r="Z54" i="94" s="1"/>
  <c r="L54" i="94"/>
  <c r="N54" i="94" s="1"/>
  <c r="B54" i="94"/>
  <c r="Z53" i="94"/>
  <c r="T53" i="94"/>
  <c r="P53" i="94"/>
  <c r="X53" i="94" s="1"/>
  <c r="N53" i="94"/>
  <c r="L53" i="94"/>
  <c r="H53" i="94"/>
  <c r="D53" i="94"/>
  <c r="B53" i="94"/>
  <c r="Z52" i="94"/>
  <c r="X52" i="94"/>
  <c r="N52" i="94"/>
  <c r="L52" i="94"/>
  <c r="F52" i="94"/>
  <c r="B52" i="94"/>
  <c r="Z51" i="94"/>
  <c r="X51" i="94"/>
  <c r="T51" i="94"/>
  <c r="P51" i="94"/>
  <c r="L51" i="94"/>
  <c r="J51" i="94"/>
  <c r="H51" i="94"/>
  <c r="N51" i="94" s="1"/>
  <c r="D51" i="94"/>
  <c r="B51" i="94"/>
  <c r="X50" i="94"/>
  <c r="Z50" i="94" s="1"/>
  <c r="N50" i="94"/>
  <c r="L50" i="94"/>
  <c r="B50" i="94"/>
  <c r="Z49" i="94"/>
  <c r="X49" i="94"/>
  <c r="T49" i="94"/>
  <c r="P49" i="94"/>
  <c r="H49" i="94"/>
  <c r="D49" i="94"/>
  <c r="L49" i="94" s="1"/>
  <c r="B49" i="94"/>
  <c r="Z48" i="94"/>
  <c r="X48" i="94"/>
  <c r="L48" i="94"/>
  <c r="N48" i="94" s="1"/>
  <c r="B48" i="94"/>
  <c r="T47" i="94"/>
  <c r="P47" i="94"/>
  <c r="N47" i="94"/>
  <c r="H47" i="94"/>
  <c r="D47" i="94"/>
  <c r="L47" i="94" s="1"/>
  <c r="B47" i="94"/>
  <c r="Z46" i="94"/>
  <c r="X46" i="94"/>
  <c r="L46" i="94"/>
  <c r="N46" i="94" s="1"/>
  <c r="B46" i="94"/>
  <c r="T45" i="94"/>
  <c r="P45" i="94"/>
  <c r="X45" i="94" s="1"/>
  <c r="Z45" i="94" s="1"/>
  <c r="N45" i="94"/>
  <c r="L45" i="94"/>
  <c r="H45" i="94"/>
  <c r="D45" i="94"/>
  <c r="B45" i="94"/>
  <c r="Z44" i="94"/>
  <c r="X44" i="94"/>
  <c r="N44" i="94"/>
  <c r="L44" i="94"/>
  <c r="B44" i="94"/>
  <c r="X43" i="94"/>
  <c r="Z43" i="94" s="1"/>
  <c r="T43" i="94"/>
  <c r="P43" i="94"/>
  <c r="H43" i="94"/>
  <c r="F43" i="94"/>
  <c r="D43" i="94"/>
  <c r="B43" i="94"/>
  <c r="X42" i="94"/>
  <c r="Z42" i="94" s="1"/>
  <c r="L42" i="94"/>
  <c r="N42" i="94" s="1"/>
  <c r="B42" i="94"/>
  <c r="Z41" i="94"/>
  <c r="T41" i="94"/>
  <c r="X41" i="94" s="1"/>
  <c r="P41" i="94"/>
  <c r="H41" i="94"/>
  <c r="F41" i="94"/>
  <c r="D41" i="94"/>
  <c r="B41" i="94"/>
  <c r="Z40" i="94"/>
  <c r="X40" i="94"/>
  <c r="N40" i="94"/>
  <c r="L40" i="94"/>
  <c r="J40" i="94"/>
  <c r="B40" i="94"/>
  <c r="X39" i="94"/>
  <c r="Z39" i="94" s="1"/>
  <c r="L39" i="94"/>
  <c r="N39" i="94" s="1"/>
  <c r="J39" i="94"/>
  <c r="B39" i="94"/>
  <c r="X38" i="94"/>
  <c r="Z38" i="94" s="1"/>
  <c r="L38" i="94"/>
  <c r="N38" i="94" s="1"/>
  <c r="B38" i="94"/>
  <c r="Z37" i="94"/>
  <c r="X37" i="94"/>
  <c r="N37" i="94"/>
  <c r="L37" i="94"/>
  <c r="B37" i="94"/>
  <c r="X36" i="94"/>
  <c r="Z36" i="94" s="1"/>
  <c r="N36" i="94"/>
  <c r="L36" i="94"/>
  <c r="B36" i="94"/>
  <c r="Z35" i="94"/>
  <c r="X35" i="94"/>
  <c r="L35" i="94"/>
  <c r="N35" i="94" s="1"/>
  <c r="B35" i="94"/>
  <c r="X34" i="94"/>
  <c r="Z34" i="94" s="1"/>
  <c r="T34" i="94"/>
  <c r="P34" i="94"/>
  <c r="N34" i="94"/>
  <c r="L34" i="94"/>
  <c r="H34" i="94"/>
  <c r="D34" i="94"/>
  <c r="B34" i="94"/>
  <c r="Z33" i="94"/>
  <c r="X33" i="94"/>
  <c r="N33" i="94"/>
  <c r="L33" i="94"/>
  <c r="B33" i="94"/>
  <c r="Z32" i="94"/>
  <c r="X32" i="94"/>
  <c r="N32" i="94"/>
  <c r="L32" i="94"/>
  <c r="B32" i="94"/>
  <c r="X31" i="94"/>
  <c r="Z31" i="94" s="1"/>
  <c r="L31" i="94"/>
  <c r="N31" i="94" s="1"/>
  <c r="B31" i="94"/>
  <c r="X30" i="94"/>
  <c r="Z30" i="94" s="1"/>
  <c r="L30" i="94"/>
  <c r="N30" i="94" s="1"/>
  <c r="B30" i="94"/>
  <c r="Z29" i="94"/>
  <c r="X29" i="94"/>
  <c r="L29" i="94"/>
  <c r="N29" i="94" s="1"/>
  <c r="J29" i="94"/>
  <c r="B29" i="94"/>
  <c r="Z28" i="94"/>
  <c r="X28" i="94"/>
  <c r="N28" i="94"/>
  <c r="L28" i="94"/>
  <c r="B28" i="94"/>
  <c r="X27" i="94"/>
  <c r="Z27" i="94" s="1"/>
  <c r="L27" i="94"/>
  <c r="N27" i="94" s="1"/>
  <c r="B27" i="94"/>
  <c r="X26" i="94"/>
  <c r="Z26" i="94" s="1"/>
  <c r="N26" i="94"/>
  <c r="L26" i="94"/>
  <c r="J26" i="94"/>
  <c r="B26" i="94"/>
  <c r="X25" i="94"/>
  <c r="Z25" i="94" s="1"/>
  <c r="N25" i="94"/>
  <c r="L25" i="94"/>
  <c r="B25" i="94"/>
  <c r="T24" i="94"/>
  <c r="P24" i="94"/>
  <c r="H24" i="94"/>
  <c r="F24" i="94"/>
  <c r="D24" i="94"/>
  <c r="L24" i="94" s="1"/>
  <c r="N24" i="94" s="1"/>
  <c r="B24" i="94"/>
  <c r="T23" i="94" a="1"/>
  <c r="T23" i="94" s="1"/>
  <c r="P23" i="94" a="1"/>
  <c r="P23" i="94" s="1"/>
  <c r="X23" i="94" s="1"/>
  <c r="H23" i="94" a="1"/>
  <c r="H23" i="94" s="1"/>
  <c r="D23" i="94" a="1"/>
  <c r="D23" i="94" s="1"/>
  <c r="H21" i="94"/>
  <c r="D21" i="94"/>
  <c r="X19" i="94"/>
  <c r="Z19" i="94" s="1"/>
  <c r="L19" i="94"/>
  <c r="N19" i="94" s="1"/>
  <c r="J19" i="94"/>
  <c r="F19" i="94"/>
  <c r="B19" i="94"/>
  <c r="X18" i="94"/>
  <c r="Z18" i="94" s="1"/>
  <c r="L18" i="94"/>
  <c r="N18" i="94" s="1"/>
  <c r="J18" i="94"/>
  <c r="F18" i="94"/>
  <c r="B18" i="94"/>
  <c r="X17" i="94"/>
  <c r="T17" i="94"/>
  <c r="Z17" i="94" s="1"/>
  <c r="P17" i="94"/>
  <c r="N17" i="94"/>
  <c r="L17" i="94"/>
  <c r="J17" i="94"/>
  <c r="H17" i="94"/>
  <c r="D17" i="94"/>
  <c r="T15" i="94"/>
  <c r="P15" i="94"/>
  <c r="X15" i="94" s="1"/>
  <c r="Z15" i="94" s="1"/>
  <c r="N15" i="94"/>
  <c r="L15" i="94"/>
  <c r="H15" i="94"/>
  <c r="D15" i="94"/>
  <c r="B15" i="94"/>
  <c r="T14" i="94"/>
  <c r="P14" i="94"/>
  <c r="N14" i="94"/>
  <c r="H14" i="94"/>
  <c r="D14" i="94"/>
  <c r="L14" i="94" s="1"/>
  <c r="B14" i="94"/>
  <c r="T13" i="94"/>
  <c r="P13" i="94"/>
  <c r="L13" i="94"/>
  <c r="H13" i="94"/>
  <c r="D13" i="94"/>
  <c r="B13" i="94"/>
  <c r="T12" i="94"/>
  <c r="V58" i="94" s="1"/>
  <c r="L12" i="94"/>
  <c r="N12" i="94" s="1"/>
  <c r="H12" i="94"/>
  <c r="J85" i="94" s="1"/>
  <c r="D12" i="94"/>
  <c r="F80" i="94" s="1"/>
  <c r="D6" i="94"/>
  <c r="D4" i="94"/>
  <c r="Z40" i="93"/>
  <c r="X40" i="93"/>
  <c r="N40" i="93"/>
  <c r="L40" i="93"/>
  <c r="J40" i="93"/>
  <c r="X36" i="93"/>
  <c r="T36" i="93"/>
  <c r="Z36" i="93" s="1"/>
  <c r="P36" i="93"/>
  <c r="H36" i="93"/>
  <c r="N36" i="93" s="1"/>
  <c r="D36" i="93"/>
  <c r="X34" i="93"/>
  <c r="Z34" i="93" s="1"/>
  <c r="N34" i="93"/>
  <c r="L34" i="93"/>
  <c r="J34" i="93"/>
  <c r="B34" i="93"/>
  <c r="T33" i="93"/>
  <c r="P33" i="93"/>
  <c r="X33" i="93" s="1"/>
  <c r="Z33" i="93" s="1"/>
  <c r="N33" i="93"/>
  <c r="H33" i="93"/>
  <c r="D33" i="93"/>
  <c r="L33" i="93" s="1"/>
  <c r="B33" i="93"/>
  <c r="Z32" i="93"/>
  <c r="X32" i="93"/>
  <c r="N32" i="93"/>
  <c r="L32" i="93"/>
  <c r="B32" i="93"/>
  <c r="Z31" i="93"/>
  <c r="T31" i="93"/>
  <c r="P31" i="93"/>
  <c r="X31" i="93" s="1"/>
  <c r="N31" i="93"/>
  <c r="L31" i="93"/>
  <c r="J31" i="93"/>
  <c r="H31" i="93"/>
  <c r="D31" i="93"/>
  <c r="B31" i="93"/>
  <c r="Z30" i="93"/>
  <c r="X30" i="93"/>
  <c r="N30" i="93"/>
  <c r="L30" i="93"/>
  <c r="B30" i="93"/>
  <c r="Z29" i="93"/>
  <c r="X29" i="93"/>
  <c r="T29" i="93"/>
  <c r="P29" i="93"/>
  <c r="J29" i="93"/>
  <c r="H29" i="93"/>
  <c r="D29" i="93"/>
  <c r="B29" i="93"/>
  <c r="Z28" i="93"/>
  <c r="X28" i="93"/>
  <c r="N28" i="93"/>
  <c r="L28" i="93"/>
  <c r="B28" i="93"/>
  <c r="T27" i="93"/>
  <c r="P27" i="93"/>
  <c r="N27" i="93"/>
  <c r="H27" i="93"/>
  <c r="D27" i="93"/>
  <c r="L27" i="93" s="1"/>
  <c r="B27" i="93"/>
  <c r="Z26" i="93"/>
  <c r="X26" i="93"/>
  <c r="N26" i="93"/>
  <c r="L26" i="93"/>
  <c r="J26" i="93"/>
  <c r="B26" i="93"/>
  <c r="Z25" i="93"/>
  <c r="T25" i="93"/>
  <c r="P25" i="93"/>
  <c r="X25" i="93" s="1"/>
  <c r="N25" i="93"/>
  <c r="H25" i="93"/>
  <c r="D25" i="93"/>
  <c r="L25" i="93" s="1"/>
  <c r="B25" i="93"/>
  <c r="Z24" i="93"/>
  <c r="X24" i="93"/>
  <c r="N24" i="93"/>
  <c r="L24" i="93"/>
  <c r="B24" i="93"/>
  <c r="Z23" i="93"/>
  <c r="X23" i="93"/>
  <c r="N23" i="93"/>
  <c r="L23" i="93"/>
  <c r="J23" i="93"/>
  <c r="B23" i="93"/>
  <c r="Z22" i="93"/>
  <c r="T22" i="93"/>
  <c r="P22" i="93"/>
  <c r="X22" i="93" s="1"/>
  <c r="N22" i="93"/>
  <c r="L22" i="93"/>
  <c r="H22" i="93"/>
  <c r="D22" i="93"/>
  <c r="B22" i="93"/>
  <c r="T21" i="93" a="1"/>
  <c r="T21" i="93" s="1"/>
  <c r="P21" i="93" a="1"/>
  <c r="P21" i="93" s="1"/>
  <c r="J21" i="93"/>
  <c r="H21" i="93" a="1"/>
  <c r="H21" i="93"/>
  <c r="N21" i="93" s="1"/>
  <c r="D21" i="93" a="1"/>
  <c r="D21" i="93" s="1"/>
  <c r="J19" i="93"/>
  <c r="H19" i="93"/>
  <c r="Z17" i="93"/>
  <c r="X17" i="93"/>
  <c r="N17" i="93"/>
  <c r="L17" i="93"/>
  <c r="B17" i="93"/>
  <c r="T16" i="93"/>
  <c r="Z16" i="93" s="1"/>
  <c r="P16" i="93"/>
  <c r="N16" i="93"/>
  <c r="H16" i="93"/>
  <c r="D16" i="93"/>
  <c r="L16" i="93" s="1"/>
  <c r="Z14" i="93"/>
  <c r="X14" i="93"/>
  <c r="T14" i="93"/>
  <c r="P14" i="93"/>
  <c r="N14" i="93"/>
  <c r="H14" i="93"/>
  <c r="D14" i="93"/>
  <c r="L14" i="93" s="1"/>
  <c r="B14" i="93"/>
  <c r="Z13" i="93"/>
  <c r="T13" i="93"/>
  <c r="T12" i="93" s="1"/>
  <c r="P13" i="93"/>
  <c r="X13" i="93" s="1"/>
  <c r="H13" i="93"/>
  <c r="N13" i="93" s="1"/>
  <c r="D13" i="93"/>
  <c r="L13" i="93" s="1"/>
  <c r="B13" i="93"/>
  <c r="H12" i="93"/>
  <c r="D12" i="93"/>
  <c r="D6" i="93"/>
  <c r="D4" i="93"/>
  <c r="Z84" i="92"/>
  <c r="X84" i="92"/>
  <c r="L84" i="92"/>
  <c r="N84" i="92" s="1"/>
  <c r="T80" i="92"/>
  <c r="P80" i="92"/>
  <c r="H80" i="92"/>
  <c r="D80" i="92"/>
  <c r="Z78" i="92"/>
  <c r="X78" i="92"/>
  <c r="N78" i="92"/>
  <c r="L78" i="92"/>
  <c r="B78" i="92"/>
  <c r="T77" i="92"/>
  <c r="Z77" i="92" s="1"/>
  <c r="R77" i="92"/>
  <c r="P77" i="92"/>
  <c r="X77" i="92" s="1"/>
  <c r="N77" i="92"/>
  <c r="L77" i="92"/>
  <c r="H77" i="92"/>
  <c r="D77" i="92"/>
  <c r="B77" i="92"/>
  <c r="Z76" i="92"/>
  <c r="X76" i="92"/>
  <c r="L76" i="92"/>
  <c r="N76" i="92" s="1"/>
  <c r="B76" i="92"/>
  <c r="Z75" i="92"/>
  <c r="X75" i="92"/>
  <c r="T75" i="92"/>
  <c r="P75" i="92"/>
  <c r="L75" i="92"/>
  <c r="N75" i="92" s="1"/>
  <c r="H75" i="92"/>
  <c r="D75" i="92"/>
  <c r="B75" i="92"/>
  <c r="Z74" i="92"/>
  <c r="X74" i="92"/>
  <c r="N74" i="92"/>
  <c r="L74" i="92"/>
  <c r="B74" i="92"/>
  <c r="Z73" i="92"/>
  <c r="X73" i="92"/>
  <c r="N73" i="92"/>
  <c r="L73" i="92"/>
  <c r="B73" i="92"/>
  <c r="Z72" i="92"/>
  <c r="X72" i="92"/>
  <c r="N72" i="92"/>
  <c r="L72" i="92"/>
  <c r="B72" i="92"/>
  <c r="Z71" i="92"/>
  <c r="X71" i="92"/>
  <c r="N71" i="92"/>
  <c r="L71" i="92"/>
  <c r="B71" i="92"/>
  <c r="X70" i="92"/>
  <c r="Z70" i="92" s="1"/>
  <c r="N70" i="92"/>
  <c r="L70" i="92"/>
  <c r="B70" i="92"/>
  <c r="Z69" i="92"/>
  <c r="X69" i="92"/>
  <c r="V69" i="92"/>
  <c r="N69" i="92"/>
  <c r="L69" i="92"/>
  <c r="B69" i="92"/>
  <c r="X68" i="92"/>
  <c r="Z68" i="92" s="1"/>
  <c r="N68" i="92"/>
  <c r="L68" i="92"/>
  <c r="B68" i="92"/>
  <c r="Z67" i="92"/>
  <c r="X67" i="92"/>
  <c r="N67" i="92"/>
  <c r="L67" i="92"/>
  <c r="B67" i="92"/>
  <c r="T66" i="92"/>
  <c r="P66" i="92"/>
  <c r="L66" i="92"/>
  <c r="H66" i="92"/>
  <c r="N66" i="92" s="1"/>
  <c r="D66" i="92"/>
  <c r="B66" i="92"/>
  <c r="Z65" i="92"/>
  <c r="X65" i="92"/>
  <c r="L65" i="92"/>
  <c r="N65" i="92" s="1"/>
  <c r="B65" i="92"/>
  <c r="X64" i="92"/>
  <c r="Z64" i="92" s="1"/>
  <c r="N64" i="92"/>
  <c r="L64" i="92"/>
  <c r="B64" i="92"/>
  <c r="Z63" i="92"/>
  <c r="X63" i="92"/>
  <c r="N63" i="92"/>
  <c r="L63" i="92"/>
  <c r="B63" i="92"/>
  <c r="T62" i="92"/>
  <c r="P62" i="92"/>
  <c r="L62" i="92"/>
  <c r="H62" i="92"/>
  <c r="D62" i="92"/>
  <c r="B62" i="92"/>
  <c r="Z61" i="92"/>
  <c r="X61" i="92"/>
  <c r="N61" i="92"/>
  <c r="L61" i="92"/>
  <c r="B61" i="92"/>
  <c r="X60" i="92"/>
  <c r="Z60" i="92" s="1"/>
  <c r="N60" i="92"/>
  <c r="L60" i="92"/>
  <c r="B60" i="92"/>
  <c r="Z59" i="92"/>
  <c r="T59" i="92"/>
  <c r="P59" i="92"/>
  <c r="X59" i="92" s="1"/>
  <c r="N59" i="92"/>
  <c r="H59" i="92"/>
  <c r="D59" i="92"/>
  <c r="L59" i="92" s="1"/>
  <c r="B59" i="92"/>
  <c r="X58" i="92"/>
  <c r="Z58" i="92" s="1"/>
  <c r="N58" i="92"/>
  <c r="L58" i="92"/>
  <c r="F58" i="92"/>
  <c r="B58" i="92"/>
  <c r="T57" i="92"/>
  <c r="P57" i="92"/>
  <c r="X57" i="92" s="1"/>
  <c r="Z57" i="92" s="1"/>
  <c r="N57" i="92"/>
  <c r="L57" i="92"/>
  <c r="H57" i="92"/>
  <c r="F57" i="92"/>
  <c r="D57" i="92"/>
  <c r="B57" i="92"/>
  <c r="X56" i="92"/>
  <c r="Z56" i="92" s="1"/>
  <c r="L56" i="92"/>
  <c r="N56" i="92" s="1"/>
  <c r="B56" i="92"/>
  <c r="T55" i="92"/>
  <c r="X55" i="92" s="1"/>
  <c r="Z55" i="92" s="1"/>
  <c r="R55" i="92"/>
  <c r="P55" i="92"/>
  <c r="L55" i="92"/>
  <c r="N55" i="92" s="1"/>
  <c r="H55" i="92"/>
  <c r="D55" i="92"/>
  <c r="B55" i="92"/>
  <c r="X54" i="92"/>
  <c r="Z54" i="92" s="1"/>
  <c r="R54" i="92"/>
  <c r="L54" i="92"/>
  <c r="N54" i="92" s="1"/>
  <c r="B54" i="92"/>
  <c r="X53" i="92"/>
  <c r="Z53" i="92" s="1"/>
  <c r="T53" i="92"/>
  <c r="P53" i="92"/>
  <c r="H53" i="92"/>
  <c r="D53" i="92"/>
  <c r="B53" i="92"/>
  <c r="Z52" i="92"/>
  <c r="X52" i="92"/>
  <c r="N52" i="92"/>
  <c r="L52" i="92"/>
  <c r="B52" i="92"/>
  <c r="Z51" i="92"/>
  <c r="T51" i="92"/>
  <c r="R51" i="92"/>
  <c r="P51" i="92"/>
  <c r="X51" i="92" s="1"/>
  <c r="N51" i="92"/>
  <c r="H51" i="92"/>
  <c r="D51" i="92"/>
  <c r="L51" i="92" s="1"/>
  <c r="B51" i="92"/>
  <c r="Z50" i="92"/>
  <c r="X50" i="92"/>
  <c r="N50" i="92"/>
  <c r="L50" i="92"/>
  <c r="B50" i="92"/>
  <c r="Z49" i="92"/>
  <c r="T49" i="92"/>
  <c r="P49" i="92"/>
  <c r="X49" i="92" s="1"/>
  <c r="N49" i="92"/>
  <c r="L49" i="92"/>
  <c r="H49" i="92"/>
  <c r="D49" i="92"/>
  <c r="B49" i="92"/>
  <c r="X48" i="92"/>
  <c r="Z48" i="92" s="1"/>
  <c r="L48" i="92"/>
  <c r="N48" i="92" s="1"/>
  <c r="B48" i="92"/>
  <c r="T47" i="92"/>
  <c r="X47" i="92" s="1"/>
  <c r="Z47" i="92" s="1"/>
  <c r="P47" i="92"/>
  <c r="L47" i="92"/>
  <c r="N47" i="92" s="1"/>
  <c r="H47" i="92"/>
  <c r="D47" i="92"/>
  <c r="B47" i="92"/>
  <c r="Z46" i="92"/>
  <c r="X46" i="92"/>
  <c r="N46" i="92"/>
  <c r="L46" i="92"/>
  <c r="B46" i="92"/>
  <c r="Z45" i="92"/>
  <c r="X45" i="92"/>
  <c r="T45" i="92"/>
  <c r="P45" i="92"/>
  <c r="N45" i="92"/>
  <c r="H45" i="92"/>
  <c r="D45" i="92"/>
  <c r="B45" i="92"/>
  <c r="Z44" i="92"/>
  <c r="X44" i="92"/>
  <c r="N44" i="92"/>
  <c r="L44" i="92"/>
  <c r="B44" i="92"/>
  <c r="T43" i="92"/>
  <c r="Z43" i="92" s="1"/>
  <c r="P43" i="92"/>
  <c r="X43" i="92" s="1"/>
  <c r="N43" i="92"/>
  <c r="H43" i="92"/>
  <c r="D43" i="92"/>
  <c r="L43" i="92" s="1"/>
  <c r="B43" i="92"/>
  <c r="X42" i="92"/>
  <c r="Z42" i="92" s="1"/>
  <c r="N42" i="92"/>
  <c r="L42" i="92"/>
  <c r="F42" i="92"/>
  <c r="B42" i="92"/>
  <c r="T41" i="92"/>
  <c r="P41" i="92"/>
  <c r="X41" i="92" s="1"/>
  <c r="Z41" i="92" s="1"/>
  <c r="N41" i="92"/>
  <c r="L41" i="92"/>
  <c r="H41" i="92"/>
  <c r="F41" i="92"/>
  <c r="D41" i="92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N38" i="92"/>
  <c r="L38" i="92"/>
  <c r="B38" i="92"/>
  <c r="Z37" i="92"/>
  <c r="X37" i="92"/>
  <c r="N37" i="92"/>
  <c r="L37" i="92"/>
  <c r="B37" i="92"/>
  <c r="X36" i="92"/>
  <c r="Z36" i="92" s="1"/>
  <c r="N36" i="92"/>
  <c r="L36" i="92"/>
  <c r="B36" i="92"/>
  <c r="Z35" i="92"/>
  <c r="X35" i="92"/>
  <c r="N35" i="92"/>
  <c r="L35" i="92"/>
  <c r="B35" i="92"/>
  <c r="T34" i="92"/>
  <c r="P34" i="92"/>
  <c r="X34" i="92" s="1"/>
  <c r="H34" i="92"/>
  <c r="D34" i="92"/>
  <c r="L34" i="92" s="1"/>
  <c r="N34" i="92" s="1"/>
  <c r="B34" i="92"/>
  <c r="Z33" i="92"/>
  <c r="X33" i="92"/>
  <c r="L33" i="92"/>
  <c r="N33" i="92" s="1"/>
  <c r="B33" i="92"/>
  <c r="X32" i="92"/>
  <c r="Z32" i="92" s="1"/>
  <c r="L32" i="92"/>
  <c r="N32" i="92" s="1"/>
  <c r="B32" i="92"/>
  <c r="Z31" i="92"/>
  <c r="X31" i="92"/>
  <c r="N31" i="92"/>
  <c r="L31" i="92"/>
  <c r="B31" i="92"/>
  <c r="X30" i="92"/>
  <c r="Z30" i="92" s="1"/>
  <c r="L30" i="92"/>
  <c r="N30" i="92" s="1"/>
  <c r="B30" i="92"/>
  <c r="X29" i="92"/>
  <c r="Z29" i="92" s="1"/>
  <c r="N29" i="92"/>
  <c r="L29" i="92"/>
  <c r="B29" i="92"/>
  <c r="Z28" i="92"/>
  <c r="X28" i="92"/>
  <c r="L28" i="92"/>
  <c r="N28" i="92" s="1"/>
  <c r="B28" i="92"/>
  <c r="Z27" i="92"/>
  <c r="X27" i="92"/>
  <c r="V27" i="92"/>
  <c r="N27" i="92"/>
  <c r="L27" i="92"/>
  <c r="B27" i="92"/>
  <c r="X26" i="92"/>
  <c r="Z26" i="92" s="1"/>
  <c r="L26" i="92"/>
  <c r="N26" i="92" s="1"/>
  <c r="F26" i="92"/>
  <c r="B26" i="92"/>
  <c r="Z25" i="92"/>
  <c r="X25" i="92"/>
  <c r="L25" i="92"/>
  <c r="N25" i="92" s="1"/>
  <c r="B25" i="92"/>
  <c r="X24" i="92"/>
  <c r="Z24" i="92" s="1"/>
  <c r="T24" i="92"/>
  <c r="P24" i="92"/>
  <c r="L24" i="92"/>
  <c r="H24" i="92"/>
  <c r="D24" i="92"/>
  <c r="B24" i="92"/>
  <c r="T23" i="92" a="1"/>
  <c r="T23" i="92" s="1"/>
  <c r="P23" i="92" a="1"/>
  <c r="P23" i="92" s="1"/>
  <c r="X23" i="92" s="1"/>
  <c r="H23" i="92" a="1"/>
  <c r="H23" i="92" s="1"/>
  <c r="D23" i="92" a="1"/>
  <c r="D23" i="92"/>
  <c r="L23" i="92" s="1"/>
  <c r="N23" i="92" s="1"/>
  <c r="Z19" i="92"/>
  <c r="X19" i="92"/>
  <c r="R19" i="92"/>
  <c r="N19" i="92"/>
  <c r="L19" i="92"/>
  <c r="B19" i="92"/>
  <c r="X18" i="92"/>
  <c r="Z18" i="92" s="1"/>
  <c r="N18" i="92"/>
  <c r="L18" i="92"/>
  <c r="F18" i="92"/>
  <c r="B18" i="92"/>
  <c r="X17" i="92"/>
  <c r="Z17" i="92" s="1"/>
  <c r="T17" i="92"/>
  <c r="P17" i="92"/>
  <c r="H17" i="92"/>
  <c r="N17" i="92" s="1"/>
  <c r="D17" i="92"/>
  <c r="T15" i="92"/>
  <c r="X15" i="92" s="1"/>
  <c r="P15" i="92"/>
  <c r="L15" i="92"/>
  <c r="H15" i="92"/>
  <c r="N15" i="92" s="1"/>
  <c r="D15" i="92"/>
  <c r="B15" i="92"/>
  <c r="X14" i="92"/>
  <c r="Z14" i="92" s="1"/>
  <c r="T14" i="92"/>
  <c r="P14" i="92"/>
  <c r="N14" i="92"/>
  <c r="H14" i="92"/>
  <c r="D14" i="92"/>
  <c r="D12" i="92" s="1"/>
  <c r="F46" i="92" s="1"/>
  <c r="B14" i="92"/>
  <c r="Z13" i="92"/>
  <c r="T13" i="92"/>
  <c r="P13" i="92"/>
  <c r="X13" i="92" s="1"/>
  <c r="H13" i="92"/>
  <c r="D13" i="92"/>
  <c r="B13" i="92"/>
  <c r="T12" i="92"/>
  <c r="V54" i="92" s="1"/>
  <c r="P12" i="92"/>
  <c r="R75" i="92" s="1"/>
  <c r="D6" i="92"/>
  <c r="D4" i="92"/>
  <c r="Z50" i="91"/>
  <c r="X50" i="91"/>
  <c r="N50" i="91"/>
  <c r="L50" i="91"/>
  <c r="Z46" i="91"/>
  <c r="X46" i="91"/>
  <c r="T46" i="91"/>
  <c r="P46" i="91"/>
  <c r="L46" i="91"/>
  <c r="H46" i="91"/>
  <c r="N46" i="91" s="1"/>
  <c r="D46" i="91"/>
  <c r="Z44" i="91"/>
  <c r="X44" i="91"/>
  <c r="R44" i="91"/>
  <c r="N44" i="91"/>
  <c r="L44" i="91"/>
  <c r="B44" i="91"/>
  <c r="Z43" i="91"/>
  <c r="V43" i="91"/>
  <c r="T43" i="91"/>
  <c r="X43" i="91" s="1"/>
  <c r="R43" i="91"/>
  <c r="P43" i="91"/>
  <c r="N43" i="91"/>
  <c r="L43" i="91"/>
  <c r="H43" i="91"/>
  <c r="D43" i="91"/>
  <c r="B43" i="91"/>
  <c r="X42" i="91"/>
  <c r="Z42" i="91" s="1"/>
  <c r="V42" i="91"/>
  <c r="N42" i="91"/>
  <c r="L42" i="91"/>
  <c r="B42" i="91"/>
  <c r="X41" i="91"/>
  <c r="Z41" i="91" s="1"/>
  <c r="V41" i="91"/>
  <c r="T41" i="91"/>
  <c r="P41" i="91"/>
  <c r="H41" i="91"/>
  <c r="N41" i="91" s="1"/>
  <c r="D41" i="91"/>
  <c r="L41" i="91" s="1"/>
  <c r="B41" i="91"/>
  <c r="X40" i="91"/>
  <c r="Z40" i="91" s="1"/>
  <c r="N40" i="91"/>
  <c r="L40" i="91"/>
  <c r="B40" i="91"/>
  <c r="T39" i="91"/>
  <c r="P39" i="91"/>
  <c r="N39" i="91"/>
  <c r="H39" i="91"/>
  <c r="D39" i="91"/>
  <c r="L39" i="91" s="1"/>
  <c r="B39" i="91"/>
  <c r="Z38" i="91"/>
  <c r="X38" i="91"/>
  <c r="N38" i="91"/>
  <c r="L38" i="91"/>
  <c r="B38" i="91"/>
  <c r="Z37" i="91"/>
  <c r="X37" i="91"/>
  <c r="V37" i="91"/>
  <c r="N37" i="91"/>
  <c r="L37" i="91"/>
  <c r="B37" i="91"/>
  <c r="T36" i="91"/>
  <c r="P36" i="91"/>
  <c r="X36" i="91" s="1"/>
  <c r="Z36" i="91" s="1"/>
  <c r="H36" i="91"/>
  <c r="N36" i="91" s="1"/>
  <c r="D36" i="91"/>
  <c r="B36" i="91"/>
  <c r="Z35" i="91"/>
  <c r="X35" i="91"/>
  <c r="V35" i="91"/>
  <c r="N35" i="91"/>
  <c r="L35" i="91"/>
  <c r="B35" i="91"/>
  <c r="X34" i="91"/>
  <c r="T34" i="91"/>
  <c r="P34" i="91"/>
  <c r="L34" i="91"/>
  <c r="N34" i="91" s="1"/>
  <c r="H34" i="91"/>
  <c r="D34" i="91"/>
  <c r="B34" i="91"/>
  <c r="X33" i="91"/>
  <c r="Z33" i="91" s="1"/>
  <c r="V33" i="91"/>
  <c r="N33" i="91"/>
  <c r="L33" i="91"/>
  <c r="B33" i="91"/>
  <c r="T32" i="91"/>
  <c r="R32" i="91"/>
  <c r="P32" i="91"/>
  <c r="X32" i="91" s="1"/>
  <c r="H32" i="91"/>
  <c r="N32" i="91" s="1"/>
  <c r="D32" i="91"/>
  <c r="L32" i="91" s="1"/>
  <c r="B32" i="91"/>
  <c r="Z31" i="91"/>
  <c r="X31" i="91"/>
  <c r="V31" i="91"/>
  <c r="R31" i="91"/>
  <c r="N31" i="91"/>
  <c r="L31" i="91"/>
  <c r="B31" i="91"/>
  <c r="V30" i="91"/>
  <c r="T30" i="91"/>
  <c r="Z30" i="91" s="1"/>
  <c r="P30" i="91"/>
  <c r="X30" i="91" s="1"/>
  <c r="L30" i="91"/>
  <c r="H30" i="91"/>
  <c r="N30" i="91" s="1"/>
  <c r="D30" i="91"/>
  <c r="B30" i="91"/>
  <c r="Z29" i="91"/>
  <c r="X29" i="91"/>
  <c r="N29" i="91"/>
  <c r="L29" i="91"/>
  <c r="J29" i="91"/>
  <c r="B29" i="91"/>
  <c r="T28" i="91"/>
  <c r="P28" i="91"/>
  <c r="H28" i="91"/>
  <c r="D28" i="91"/>
  <c r="L28" i="91" s="1"/>
  <c r="B28" i="91"/>
  <c r="Z27" i="91"/>
  <c r="X27" i="91"/>
  <c r="N27" i="91"/>
  <c r="L27" i="91"/>
  <c r="B27" i="91"/>
  <c r="X26" i="91"/>
  <c r="Z26" i="91" s="1"/>
  <c r="L26" i="91"/>
  <c r="N26" i="91" s="1"/>
  <c r="B26" i="91"/>
  <c r="Z25" i="91"/>
  <c r="X25" i="91"/>
  <c r="L25" i="91"/>
  <c r="N25" i="91" s="1"/>
  <c r="B25" i="91"/>
  <c r="X24" i="91"/>
  <c r="Z24" i="91" s="1"/>
  <c r="N24" i="91"/>
  <c r="L24" i="91"/>
  <c r="B24" i="91"/>
  <c r="Z23" i="91"/>
  <c r="X23" i="91"/>
  <c r="V23" i="91"/>
  <c r="N23" i="91"/>
  <c r="L23" i="91"/>
  <c r="B23" i="91"/>
  <c r="X22" i="91"/>
  <c r="Z22" i="91" s="1"/>
  <c r="V22" i="91"/>
  <c r="L22" i="91"/>
  <c r="N22" i="91" s="1"/>
  <c r="B22" i="91"/>
  <c r="X21" i="91"/>
  <c r="Z21" i="91" s="1"/>
  <c r="V21" i="91"/>
  <c r="L21" i="91"/>
  <c r="N21" i="91" s="1"/>
  <c r="B21" i="91"/>
  <c r="X20" i="91"/>
  <c r="Z20" i="91" s="1"/>
  <c r="N20" i="91"/>
  <c r="L20" i="91"/>
  <c r="B20" i="91"/>
  <c r="V19" i="91"/>
  <c r="T19" i="91"/>
  <c r="R19" i="91"/>
  <c r="P19" i="91"/>
  <c r="H19" i="91"/>
  <c r="D19" i="91"/>
  <c r="L19" i="91" s="1"/>
  <c r="N19" i="91" s="1"/>
  <c r="B19" i="91"/>
  <c r="T18" i="91" a="1"/>
  <c r="T18" i="91" s="1"/>
  <c r="P18" i="91" a="1"/>
  <c r="P18" i="91" s="1"/>
  <c r="X18" i="91" s="1"/>
  <c r="H18" i="91" a="1"/>
  <c r="H18" i="91" s="1"/>
  <c r="D18" i="91" a="1"/>
  <c r="D18" i="91" s="1"/>
  <c r="L18" i="91" s="1"/>
  <c r="V16" i="91"/>
  <c r="T16" i="91"/>
  <c r="Z16" i="91" s="1"/>
  <c r="R16" i="91"/>
  <c r="P16" i="91"/>
  <c r="Z14" i="91"/>
  <c r="X14" i="91"/>
  <c r="V14" i="91"/>
  <c r="T14" i="91"/>
  <c r="P14" i="91"/>
  <c r="L14" i="91"/>
  <c r="H14" i="91"/>
  <c r="N14" i="91" s="1"/>
  <c r="D14" i="91"/>
  <c r="T12" i="91"/>
  <c r="P12" i="91"/>
  <c r="R36" i="91" s="1"/>
  <c r="H12" i="91"/>
  <c r="D12" i="91"/>
  <c r="D6" i="91"/>
  <c r="D4" i="91"/>
  <c r="Z49" i="90"/>
  <c r="X49" i="90"/>
  <c r="R49" i="90"/>
  <c r="N49" i="90"/>
  <c r="L49" i="90"/>
  <c r="Z45" i="90"/>
  <c r="X45" i="90"/>
  <c r="T45" i="90"/>
  <c r="P45" i="90"/>
  <c r="H45" i="90"/>
  <c r="D45" i="90"/>
  <c r="X43" i="90"/>
  <c r="Z43" i="90" s="1"/>
  <c r="N43" i="90"/>
  <c r="L43" i="90"/>
  <c r="B43" i="90"/>
  <c r="V42" i="90"/>
  <c r="T42" i="90"/>
  <c r="P42" i="90"/>
  <c r="N42" i="90"/>
  <c r="H42" i="90"/>
  <c r="D42" i="90"/>
  <c r="L42" i="90" s="1"/>
  <c r="B42" i="90"/>
  <c r="Z41" i="90"/>
  <c r="X41" i="90"/>
  <c r="N41" i="90"/>
  <c r="L41" i="90"/>
  <c r="B41" i="90"/>
  <c r="Z40" i="90"/>
  <c r="T40" i="90"/>
  <c r="P40" i="90"/>
  <c r="X40" i="90" s="1"/>
  <c r="N40" i="90"/>
  <c r="H40" i="90"/>
  <c r="D40" i="90"/>
  <c r="L40" i="90" s="1"/>
  <c r="B40" i="90"/>
  <c r="Z39" i="90"/>
  <c r="X39" i="90"/>
  <c r="N39" i="90"/>
  <c r="L39" i="90"/>
  <c r="B39" i="90"/>
  <c r="Z38" i="90"/>
  <c r="T38" i="90"/>
  <c r="P38" i="90"/>
  <c r="X38" i="90" s="1"/>
  <c r="N38" i="90"/>
  <c r="L38" i="90"/>
  <c r="J38" i="90"/>
  <c r="H38" i="90"/>
  <c r="D38" i="90"/>
  <c r="B38" i="90"/>
  <c r="X37" i="90"/>
  <c r="Z37" i="90" s="1"/>
  <c r="N37" i="90"/>
  <c r="L37" i="90"/>
  <c r="B37" i="90"/>
  <c r="Z36" i="90"/>
  <c r="X36" i="90"/>
  <c r="N36" i="90"/>
  <c r="L36" i="90"/>
  <c r="J36" i="90"/>
  <c r="B36" i="90"/>
  <c r="X35" i="90"/>
  <c r="Z35" i="90" s="1"/>
  <c r="T35" i="90"/>
  <c r="P35" i="90"/>
  <c r="H35" i="90"/>
  <c r="D35" i="90"/>
  <c r="B35" i="90"/>
  <c r="Z34" i="90"/>
  <c r="X34" i="90"/>
  <c r="N34" i="90"/>
  <c r="L34" i="90"/>
  <c r="B34" i="90"/>
  <c r="T33" i="90"/>
  <c r="P33" i="90"/>
  <c r="H33" i="90"/>
  <c r="N33" i="90" s="1"/>
  <c r="D33" i="90"/>
  <c r="L33" i="90" s="1"/>
  <c r="B33" i="90"/>
  <c r="Z32" i="90"/>
  <c r="X32" i="90"/>
  <c r="L32" i="90"/>
  <c r="N32" i="90" s="1"/>
  <c r="J32" i="90"/>
  <c r="B32" i="90"/>
  <c r="T31" i="90"/>
  <c r="P31" i="90"/>
  <c r="X31" i="90" s="1"/>
  <c r="H31" i="90"/>
  <c r="D31" i="90"/>
  <c r="L31" i="90" s="1"/>
  <c r="B31" i="90"/>
  <c r="Z30" i="90"/>
  <c r="X30" i="90"/>
  <c r="N30" i="90"/>
  <c r="L30" i="90"/>
  <c r="B30" i="90"/>
  <c r="T29" i="90"/>
  <c r="Z29" i="90" s="1"/>
  <c r="P29" i="90"/>
  <c r="N29" i="90"/>
  <c r="L29" i="90"/>
  <c r="H29" i="90"/>
  <c r="D29" i="90"/>
  <c r="B29" i="90"/>
  <c r="X28" i="90"/>
  <c r="Z28" i="90" s="1"/>
  <c r="V28" i="90"/>
  <c r="N28" i="90"/>
  <c r="L28" i="90"/>
  <c r="B28" i="90"/>
  <c r="T27" i="90"/>
  <c r="P27" i="90"/>
  <c r="X27" i="90" s="1"/>
  <c r="Z27" i="90" s="1"/>
  <c r="J27" i="90"/>
  <c r="H27" i="90"/>
  <c r="N27" i="90" s="1"/>
  <c r="D27" i="90"/>
  <c r="B27" i="90"/>
  <c r="Z26" i="90"/>
  <c r="X26" i="90"/>
  <c r="V26" i="90"/>
  <c r="N26" i="90"/>
  <c r="L26" i="90"/>
  <c r="B26" i="90"/>
  <c r="X25" i="90"/>
  <c r="Z25" i="90" s="1"/>
  <c r="R25" i="90"/>
  <c r="N25" i="90"/>
  <c r="L25" i="90"/>
  <c r="B25" i="90"/>
  <c r="Z24" i="90"/>
  <c r="X24" i="90"/>
  <c r="N24" i="90"/>
  <c r="L24" i="90"/>
  <c r="B24" i="90"/>
  <c r="X23" i="90"/>
  <c r="Z23" i="90" s="1"/>
  <c r="N23" i="90"/>
  <c r="L23" i="90"/>
  <c r="B23" i="90"/>
  <c r="Z22" i="90"/>
  <c r="X22" i="90"/>
  <c r="N22" i="90"/>
  <c r="L22" i="90"/>
  <c r="B22" i="90"/>
  <c r="T21" i="90"/>
  <c r="P21" i="90"/>
  <c r="N21" i="90"/>
  <c r="L21" i="90"/>
  <c r="H21" i="90"/>
  <c r="D21" i="90"/>
  <c r="B21" i="90"/>
  <c r="T20" i="90" a="1"/>
  <c r="T20" i="90"/>
  <c r="Z20" i="90" s="1"/>
  <c r="P20" i="90" a="1"/>
  <c r="P20" i="90" s="1"/>
  <c r="X20" i="90" s="1"/>
  <c r="J20" i="90"/>
  <c r="H20" i="90" a="1"/>
  <c r="H20" i="90"/>
  <c r="D20" i="90" a="1"/>
  <c r="D20" i="90" s="1"/>
  <c r="J18" i="90"/>
  <c r="Z16" i="90"/>
  <c r="X16" i="90"/>
  <c r="N16" i="90"/>
  <c r="L16" i="90"/>
  <c r="J16" i="90"/>
  <c r="B16" i="90"/>
  <c r="X15" i="90"/>
  <c r="T15" i="90"/>
  <c r="P15" i="90"/>
  <c r="H15" i="90"/>
  <c r="N15" i="90" s="1"/>
  <c r="D15" i="90"/>
  <c r="Z13" i="90"/>
  <c r="X13" i="90"/>
  <c r="T13" i="90"/>
  <c r="P13" i="90"/>
  <c r="P12" i="90" s="1"/>
  <c r="H13" i="90"/>
  <c r="N13" i="90" s="1"/>
  <c r="D13" i="90"/>
  <c r="B13" i="90"/>
  <c r="X12" i="90"/>
  <c r="T12" i="90"/>
  <c r="V37" i="90" s="1"/>
  <c r="N12" i="90"/>
  <c r="H12" i="90"/>
  <c r="J45" i="90" s="1"/>
  <c r="D6" i="90"/>
  <c r="D4" i="90"/>
  <c r="J37" i="89"/>
  <c r="F37" i="89"/>
  <c r="J34" i="89"/>
  <c r="Z32" i="89"/>
  <c r="X32" i="89"/>
  <c r="N32" i="89"/>
  <c r="L32" i="89"/>
  <c r="J32" i="89"/>
  <c r="J30" i="89"/>
  <c r="Z28" i="89"/>
  <c r="X28" i="89"/>
  <c r="T28" i="89"/>
  <c r="P28" i="89"/>
  <c r="N28" i="89"/>
  <c r="H28" i="89"/>
  <c r="D28" i="89"/>
  <c r="Z26" i="89"/>
  <c r="X26" i="89"/>
  <c r="N26" i="89"/>
  <c r="L26" i="89"/>
  <c r="B26" i="89"/>
  <c r="X25" i="89"/>
  <c r="Z25" i="89" s="1"/>
  <c r="V25" i="89"/>
  <c r="T25" i="89"/>
  <c r="P25" i="89"/>
  <c r="H25" i="89"/>
  <c r="F25" i="89"/>
  <c r="D25" i="89"/>
  <c r="B25" i="89"/>
  <c r="X24" i="89"/>
  <c r="Z24" i="89" s="1"/>
  <c r="N24" i="89"/>
  <c r="L24" i="89"/>
  <c r="B24" i="89"/>
  <c r="T23" i="89"/>
  <c r="P23" i="89"/>
  <c r="N23" i="89"/>
  <c r="H23" i="89"/>
  <c r="D23" i="89"/>
  <c r="L23" i="89" s="1"/>
  <c r="B23" i="89"/>
  <c r="X22" i="89"/>
  <c r="Z22" i="89" s="1"/>
  <c r="N22" i="89"/>
  <c r="L22" i="89"/>
  <c r="J22" i="89"/>
  <c r="F22" i="89"/>
  <c r="B22" i="89"/>
  <c r="T21" i="89"/>
  <c r="P21" i="89"/>
  <c r="X21" i="89" s="1"/>
  <c r="Z21" i="89" s="1"/>
  <c r="N21" i="89"/>
  <c r="H21" i="89"/>
  <c r="D21" i="89"/>
  <c r="L21" i="89" s="1"/>
  <c r="B21" i="89"/>
  <c r="X20" i="89"/>
  <c r="Z20" i="89" s="1"/>
  <c r="L20" i="89"/>
  <c r="N20" i="89" s="1"/>
  <c r="B20" i="89"/>
  <c r="T19" i="89"/>
  <c r="P19" i="89"/>
  <c r="X19" i="89" s="1"/>
  <c r="Z19" i="89" s="1"/>
  <c r="L19" i="89"/>
  <c r="N19" i="89" s="1"/>
  <c r="J19" i="89"/>
  <c r="H19" i="89"/>
  <c r="F19" i="89"/>
  <c r="D19" i="89"/>
  <c r="B19" i="89"/>
  <c r="T18" i="89" a="1"/>
  <c r="T18" i="89" s="1"/>
  <c r="P18" i="89" a="1"/>
  <c r="P18" i="89"/>
  <c r="J18" i="89"/>
  <c r="H18" i="89" a="1"/>
  <c r="H18" i="89" s="1"/>
  <c r="F18" i="89"/>
  <c r="D18" i="89" a="1"/>
  <c r="D18" i="89" s="1"/>
  <c r="F16" i="89"/>
  <c r="D16" i="89"/>
  <c r="X14" i="89"/>
  <c r="T14" i="89"/>
  <c r="Z14" i="89" s="1"/>
  <c r="P14" i="89"/>
  <c r="N14" i="89"/>
  <c r="L14" i="89"/>
  <c r="H14" i="89"/>
  <c r="F14" i="89"/>
  <c r="D14" i="89"/>
  <c r="T12" i="89"/>
  <c r="P12" i="89"/>
  <c r="L12" i="89"/>
  <c r="H12" i="89"/>
  <c r="J28" i="89" s="1"/>
  <c r="D12" i="89"/>
  <c r="F34" i="89" s="1"/>
  <c r="D6" i="89"/>
  <c r="D4" i="89"/>
  <c r="J39" i="88"/>
  <c r="Z34" i="88"/>
  <c r="X34" i="88"/>
  <c r="N34" i="88"/>
  <c r="L34" i="88"/>
  <c r="J32" i="88"/>
  <c r="T30" i="88"/>
  <c r="Z30" i="88" s="1"/>
  <c r="P30" i="88"/>
  <c r="L30" i="88"/>
  <c r="H30" i="88"/>
  <c r="N30" i="88" s="1"/>
  <c r="D30" i="88"/>
  <c r="D29" i="88" s="1"/>
  <c r="B30" i="88"/>
  <c r="J29" i="88"/>
  <c r="Z27" i="88"/>
  <c r="X27" i="88"/>
  <c r="R27" i="88"/>
  <c r="N27" i="88"/>
  <c r="L27" i="88"/>
  <c r="B27" i="88"/>
  <c r="T26" i="88"/>
  <c r="P26" i="88"/>
  <c r="H26" i="88"/>
  <c r="N26" i="88" s="1"/>
  <c r="F26" i="88"/>
  <c r="D26" i="88"/>
  <c r="L26" i="88" s="1"/>
  <c r="B26" i="88"/>
  <c r="Z25" i="88"/>
  <c r="X25" i="88"/>
  <c r="L25" i="88"/>
  <c r="N25" i="88" s="1"/>
  <c r="J25" i="88"/>
  <c r="B25" i="88"/>
  <c r="T24" i="88"/>
  <c r="Z24" i="88" s="1"/>
  <c r="R24" i="88"/>
  <c r="P24" i="88"/>
  <c r="X24" i="88" s="1"/>
  <c r="L24" i="88"/>
  <c r="H24" i="88"/>
  <c r="N24" i="88" s="1"/>
  <c r="D24" i="88"/>
  <c r="B24" i="88"/>
  <c r="Z23" i="88"/>
  <c r="X23" i="88"/>
  <c r="N23" i="88"/>
  <c r="L23" i="88"/>
  <c r="F23" i="88"/>
  <c r="B23" i="88"/>
  <c r="X22" i="88"/>
  <c r="T22" i="88"/>
  <c r="Z22" i="88" s="1"/>
  <c r="P22" i="88"/>
  <c r="N22" i="88"/>
  <c r="L22" i="88"/>
  <c r="H22" i="88"/>
  <c r="D22" i="88"/>
  <c r="B22" i="88"/>
  <c r="X21" i="88"/>
  <c r="Z21" i="88" s="1"/>
  <c r="N21" i="88"/>
  <c r="L21" i="88"/>
  <c r="B21" i="88"/>
  <c r="X20" i="88"/>
  <c r="Z20" i="88" s="1"/>
  <c r="N20" i="88"/>
  <c r="L20" i="88"/>
  <c r="B20" i="88"/>
  <c r="Z19" i="88"/>
  <c r="T19" i="88"/>
  <c r="P19" i="88"/>
  <c r="X19" i="88" s="1"/>
  <c r="N19" i="88"/>
  <c r="L19" i="88"/>
  <c r="J19" i="88"/>
  <c r="H19" i="88"/>
  <c r="D19" i="88"/>
  <c r="B19" i="88"/>
  <c r="V18" i="88"/>
  <c r="T18" i="88" a="1"/>
  <c r="T18" i="88" s="1"/>
  <c r="P18" i="88" a="1"/>
  <c r="P18" i="88" s="1"/>
  <c r="J18" i="88"/>
  <c r="H18" i="88" a="1"/>
  <c r="H18" i="88" s="1"/>
  <c r="D18" i="88" a="1"/>
  <c r="D18" i="88" s="1"/>
  <c r="T16" i="88"/>
  <c r="F16" i="88"/>
  <c r="D16" i="88"/>
  <c r="T14" i="88"/>
  <c r="Z14" i="88" s="1"/>
  <c r="P14" i="88"/>
  <c r="X14" i="88" s="1"/>
  <c r="N14" i="88"/>
  <c r="L14" i="88"/>
  <c r="H14" i="88"/>
  <c r="F14" i="88"/>
  <c r="D14" i="88"/>
  <c r="T12" i="88"/>
  <c r="V26" i="88" s="1"/>
  <c r="P12" i="88"/>
  <c r="R30" i="88" s="1"/>
  <c r="H12" i="88"/>
  <c r="J22" i="88" s="1"/>
  <c r="D12" i="88"/>
  <c r="F39" i="88" s="1"/>
  <c r="D6" i="88"/>
  <c r="D4" i="88"/>
  <c r="Z30" i="87"/>
  <c r="X30" i="87"/>
  <c r="N30" i="87"/>
  <c r="L30" i="87"/>
  <c r="Z26" i="87"/>
  <c r="T26" i="87"/>
  <c r="R26" i="87"/>
  <c r="P26" i="87"/>
  <c r="X26" i="87" s="1"/>
  <c r="H26" i="87"/>
  <c r="N26" i="87" s="1"/>
  <c r="D26" i="87"/>
  <c r="L26" i="87" s="1"/>
  <c r="X24" i="87"/>
  <c r="Z24" i="87" s="1"/>
  <c r="N24" i="87"/>
  <c r="L24" i="87"/>
  <c r="B24" i="87"/>
  <c r="Z23" i="87"/>
  <c r="T23" i="87"/>
  <c r="P23" i="87"/>
  <c r="X23" i="87" s="1"/>
  <c r="N23" i="87"/>
  <c r="L23" i="87"/>
  <c r="J23" i="87"/>
  <c r="H23" i="87"/>
  <c r="D23" i="87"/>
  <c r="B23" i="87"/>
  <c r="X22" i="87"/>
  <c r="Z22" i="87" s="1"/>
  <c r="N22" i="87"/>
  <c r="L22" i="87"/>
  <c r="B22" i="87"/>
  <c r="X21" i="87"/>
  <c r="Z21" i="87" s="1"/>
  <c r="V21" i="87"/>
  <c r="T21" i="87"/>
  <c r="P21" i="87"/>
  <c r="H21" i="87"/>
  <c r="D21" i="87"/>
  <c r="B21" i="87"/>
  <c r="T20" i="87" a="1"/>
  <c r="T20" i="87"/>
  <c r="P20" i="87" a="1"/>
  <c r="P20" i="87"/>
  <c r="H20" i="87" a="1"/>
  <c r="H20" i="87" s="1"/>
  <c r="N20" i="87" s="1"/>
  <c r="D20" i="87" a="1"/>
  <c r="D20" i="87"/>
  <c r="L20" i="87" s="1"/>
  <c r="Z16" i="87"/>
  <c r="X16" i="87"/>
  <c r="T16" i="87"/>
  <c r="P16" i="87"/>
  <c r="J16" i="87"/>
  <c r="H16" i="87"/>
  <c r="D16" i="87"/>
  <c r="T14" i="87"/>
  <c r="P14" i="87"/>
  <c r="X14" i="87" s="1"/>
  <c r="Z14" i="87" s="1"/>
  <c r="N14" i="87"/>
  <c r="L14" i="87"/>
  <c r="H14" i="87"/>
  <c r="D14" i="87"/>
  <c r="B14" i="87"/>
  <c r="T13" i="87"/>
  <c r="Z13" i="87" s="1"/>
  <c r="P13" i="87"/>
  <c r="X13" i="87" s="1"/>
  <c r="N13" i="87"/>
  <c r="H13" i="87"/>
  <c r="D13" i="87"/>
  <c r="L13" i="87" s="1"/>
  <c r="B13" i="87"/>
  <c r="T12" i="87"/>
  <c r="P12" i="87"/>
  <c r="H12" i="87"/>
  <c r="D6" i="87"/>
  <c r="D4" i="87"/>
  <c r="R73" i="86"/>
  <c r="Z71" i="86"/>
  <c r="X71" i="86"/>
  <c r="N71" i="86"/>
  <c r="L71" i="86"/>
  <c r="T67" i="86"/>
  <c r="P67" i="86"/>
  <c r="H67" i="86"/>
  <c r="N67" i="86" s="1"/>
  <c r="D67" i="86"/>
  <c r="L67" i="86" s="1"/>
  <c r="B67" i="86"/>
  <c r="Z64" i="86"/>
  <c r="X64" i="86"/>
  <c r="N64" i="86"/>
  <c r="L64" i="86"/>
  <c r="B64" i="86"/>
  <c r="T63" i="86"/>
  <c r="P63" i="86"/>
  <c r="H63" i="86"/>
  <c r="N63" i="86" s="1"/>
  <c r="D63" i="86"/>
  <c r="L63" i="86" s="1"/>
  <c r="B63" i="86"/>
  <c r="X62" i="86"/>
  <c r="Z62" i="86" s="1"/>
  <c r="N62" i="86"/>
  <c r="L62" i="86"/>
  <c r="B62" i="86"/>
  <c r="T61" i="86"/>
  <c r="P61" i="86"/>
  <c r="X61" i="86" s="1"/>
  <c r="H61" i="86"/>
  <c r="N61" i="86" s="1"/>
  <c r="D61" i="86"/>
  <c r="L61" i="86" s="1"/>
  <c r="B61" i="86"/>
  <c r="Z60" i="86"/>
  <c r="X60" i="86"/>
  <c r="N60" i="86"/>
  <c r="L60" i="86"/>
  <c r="B60" i="86"/>
  <c r="Z59" i="86"/>
  <c r="X59" i="86"/>
  <c r="N59" i="86"/>
  <c r="L59" i="86"/>
  <c r="B59" i="86"/>
  <c r="Z58" i="86"/>
  <c r="X58" i="86"/>
  <c r="N58" i="86"/>
  <c r="L58" i="86"/>
  <c r="B58" i="86"/>
  <c r="Z57" i="86"/>
  <c r="X57" i="86"/>
  <c r="N57" i="86"/>
  <c r="L57" i="86"/>
  <c r="B57" i="86"/>
  <c r="Z56" i="86"/>
  <c r="X56" i="86"/>
  <c r="N56" i="86"/>
  <c r="L56" i="86"/>
  <c r="B56" i="86"/>
  <c r="Z55" i="86"/>
  <c r="X55" i="86"/>
  <c r="N55" i="86"/>
  <c r="L55" i="86"/>
  <c r="B55" i="86"/>
  <c r="Z54" i="86"/>
  <c r="X54" i="86"/>
  <c r="T54" i="86"/>
  <c r="P54" i="86"/>
  <c r="H54" i="86"/>
  <c r="N54" i="86" s="1"/>
  <c r="D54" i="86"/>
  <c r="L54" i="86" s="1"/>
  <c r="B54" i="86"/>
  <c r="Z53" i="86"/>
  <c r="X53" i="86"/>
  <c r="N53" i="86"/>
  <c r="L53" i="86"/>
  <c r="B53" i="86"/>
  <c r="T52" i="86"/>
  <c r="Z52" i="86" s="1"/>
  <c r="R52" i="86"/>
  <c r="P52" i="86"/>
  <c r="X52" i="86" s="1"/>
  <c r="N52" i="86"/>
  <c r="H52" i="86"/>
  <c r="D52" i="86"/>
  <c r="L52" i="86" s="1"/>
  <c r="B52" i="86"/>
  <c r="Z51" i="86"/>
  <c r="X51" i="86"/>
  <c r="N51" i="86"/>
  <c r="L51" i="86"/>
  <c r="B51" i="86"/>
  <c r="Z50" i="86"/>
  <c r="T50" i="86"/>
  <c r="P50" i="86"/>
  <c r="X50" i="86" s="1"/>
  <c r="N50" i="86"/>
  <c r="H50" i="86"/>
  <c r="L50" i="86" s="1"/>
  <c r="D50" i="86"/>
  <c r="B50" i="86"/>
  <c r="Z49" i="86"/>
  <c r="X49" i="86"/>
  <c r="N49" i="86"/>
  <c r="L49" i="86"/>
  <c r="B49" i="86"/>
  <c r="Z48" i="86"/>
  <c r="X48" i="86"/>
  <c r="N48" i="86"/>
  <c r="L48" i="86"/>
  <c r="B48" i="86"/>
  <c r="T47" i="86"/>
  <c r="P47" i="86"/>
  <c r="X47" i="86" s="1"/>
  <c r="N47" i="86"/>
  <c r="L47" i="86"/>
  <c r="H47" i="86"/>
  <c r="D47" i="86"/>
  <c r="B47" i="86"/>
  <c r="X46" i="86"/>
  <c r="Z46" i="86" s="1"/>
  <c r="N46" i="86"/>
  <c r="L46" i="86"/>
  <c r="B46" i="86"/>
  <c r="X45" i="86"/>
  <c r="Z45" i="86" s="1"/>
  <c r="T45" i="86"/>
  <c r="P45" i="86"/>
  <c r="H45" i="86"/>
  <c r="D45" i="86"/>
  <c r="B45" i="86"/>
  <c r="Z44" i="86"/>
  <c r="X44" i="86"/>
  <c r="N44" i="86"/>
  <c r="L44" i="86"/>
  <c r="B44" i="86"/>
  <c r="T43" i="86"/>
  <c r="P43" i="86"/>
  <c r="H43" i="86"/>
  <c r="N43" i="86" s="1"/>
  <c r="F43" i="86"/>
  <c r="D43" i="86"/>
  <c r="L43" i="86" s="1"/>
  <c r="B43" i="86"/>
  <c r="Z42" i="86"/>
  <c r="X42" i="86"/>
  <c r="N42" i="86"/>
  <c r="L42" i="86"/>
  <c r="B42" i="86"/>
  <c r="T41" i="86"/>
  <c r="Z41" i="86" s="1"/>
  <c r="P41" i="86"/>
  <c r="H41" i="86"/>
  <c r="N41" i="86" s="1"/>
  <c r="D41" i="86"/>
  <c r="L41" i="86" s="1"/>
  <c r="B41" i="86"/>
  <c r="Z40" i="86"/>
  <c r="X40" i="86"/>
  <c r="V40" i="86"/>
  <c r="N40" i="86"/>
  <c r="L40" i="86"/>
  <c r="B40" i="86"/>
  <c r="X39" i="86"/>
  <c r="Z39" i="86" s="1"/>
  <c r="L39" i="86"/>
  <c r="N39" i="86" s="1"/>
  <c r="B39" i="86"/>
  <c r="Z38" i="86"/>
  <c r="T38" i="86"/>
  <c r="P38" i="86"/>
  <c r="X38" i="86" s="1"/>
  <c r="N38" i="86"/>
  <c r="H38" i="86"/>
  <c r="L38" i="86" s="1"/>
  <c r="D38" i="86"/>
  <c r="B38" i="86"/>
  <c r="Z37" i="86"/>
  <c r="X37" i="86"/>
  <c r="N37" i="86"/>
  <c r="L37" i="86"/>
  <c r="B37" i="86"/>
  <c r="Z36" i="86"/>
  <c r="T36" i="86"/>
  <c r="X36" i="86" s="1"/>
  <c r="P36" i="86"/>
  <c r="N36" i="86"/>
  <c r="H36" i="86"/>
  <c r="D36" i="86"/>
  <c r="L36" i="86" s="1"/>
  <c r="B36" i="86"/>
  <c r="Z35" i="86"/>
  <c r="X35" i="86"/>
  <c r="N35" i="86"/>
  <c r="L35" i="86"/>
  <c r="B35" i="86"/>
  <c r="Z34" i="86"/>
  <c r="T34" i="86"/>
  <c r="P34" i="86"/>
  <c r="X34" i="86" s="1"/>
  <c r="H34" i="86"/>
  <c r="N34" i="86" s="1"/>
  <c r="D34" i="86"/>
  <c r="B34" i="86"/>
  <c r="Z33" i="86"/>
  <c r="X33" i="86"/>
  <c r="N33" i="86"/>
  <c r="L33" i="86"/>
  <c r="B33" i="86"/>
  <c r="Z32" i="86"/>
  <c r="X32" i="86"/>
  <c r="N32" i="86"/>
  <c r="L32" i="86"/>
  <c r="B32" i="86"/>
  <c r="Z31" i="86"/>
  <c r="X31" i="86"/>
  <c r="R31" i="86"/>
  <c r="N31" i="86"/>
  <c r="L31" i="86"/>
  <c r="B31" i="86"/>
  <c r="Z30" i="86"/>
  <c r="X30" i="86"/>
  <c r="V30" i="86"/>
  <c r="N30" i="86"/>
  <c r="L30" i="86"/>
  <c r="B30" i="86"/>
  <c r="T29" i="86"/>
  <c r="R29" i="86"/>
  <c r="P29" i="86"/>
  <c r="X29" i="86" s="1"/>
  <c r="Z29" i="86" s="1"/>
  <c r="H29" i="86"/>
  <c r="N29" i="86" s="1"/>
  <c r="D29" i="86"/>
  <c r="L29" i="86" s="1"/>
  <c r="B29" i="86"/>
  <c r="Z28" i="86"/>
  <c r="X28" i="86"/>
  <c r="V28" i="86"/>
  <c r="N28" i="86"/>
  <c r="L28" i="86"/>
  <c r="B28" i="86"/>
  <c r="X27" i="86"/>
  <c r="Z27" i="86" s="1"/>
  <c r="V27" i="86"/>
  <c r="N27" i="86"/>
  <c r="L27" i="86"/>
  <c r="B27" i="86"/>
  <c r="Z26" i="86"/>
  <c r="X26" i="86"/>
  <c r="N26" i="86"/>
  <c r="L26" i="86"/>
  <c r="B26" i="86"/>
  <c r="X25" i="86"/>
  <c r="Z25" i="86" s="1"/>
  <c r="R25" i="86"/>
  <c r="N25" i="86"/>
  <c r="L25" i="86"/>
  <c r="B25" i="86"/>
  <c r="Z24" i="86"/>
  <c r="X24" i="86"/>
  <c r="V24" i="86"/>
  <c r="R24" i="86"/>
  <c r="N24" i="86"/>
  <c r="L24" i="86"/>
  <c r="B24" i="86"/>
  <c r="X23" i="86"/>
  <c r="Z23" i="86" s="1"/>
  <c r="V23" i="86"/>
  <c r="R23" i="86"/>
  <c r="N23" i="86"/>
  <c r="L23" i="86"/>
  <c r="B23" i="86"/>
  <c r="Z22" i="86"/>
  <c r="X22" i="86"/>
  <c r="V22" i="86"/>
  <c r="N22" i="86"/>
  <c r="L22" i="86"/>
  <c r="B22" i="86"/>
  <c r="Z21" i="86"/>
  <c r="X21" i="86"/>
  <c r="R21" i="86"/>
  <c r="N21" i="86"/>
  <c r="L21" i="86"/>
  <c r="B21" i="86"/>
  <c r="T20" i="86"/>
  <c r="R20" i="86"/>
  <c r="P20" i="86"/>
  <c r="X20" i="86" s="1"/>
  <c r="Z20" i="86" s="1"/>
  <c r="N20" i="86"/>
  <c r="H20" i="86"/>
  <c r="D20" i="86"/>
  <c r="L20" i="86" s="1"/>
  <c r="B20" i="86"/>
  <c r="T19" i="86" a="1"/>
  <c r="T19" i="86" s="1"/>
  <c r="P19" i="86" a="1"/>
  <c r="P19" i="86" s="1"/>
  <c r="H19" i="86" a="1"/>
  <c r="H19" i="86" s="1"/>
  <c r="D19" i="86" a="1"/>
  <c r="D19" i="86" s="1"/>
  <c r="L19" i="86" s="1"/>
  <c r="N19" i="86" s="1"/>
  <c r="P17" i="86"/>
  <c r="X15" i="86"/>
  <c r="Z15" i="86" s="1"/>
  <c r="R15" i="86"/>
  <c r="N15" i="86"/>
  <c r="L15" i="86"/>
  <c r="B15" i="86"/>
  <c r="V14" i="86"/>
  <c r="T14" i="86"/>
  <c r="P14" i="86"/>
  <c r="N14" i="86"/>
  <c r="H14" i="86"/>
  <c r="F14" i="86"/>
  <c r="D14" i="86"/>
  <c r="L14" i="86" s="1"/>
  <c r="T12" i="86"/>
  <c r="V36" i="86" s="1"/>
  <c r="P12" i="86"/>
  <c r="R64" i="86" s="1"/>
  <c r="H12" i="86"/>
  <c r="J38" i="86" s="1"/>
  <c r="D12" i="86"/>
  <c r="D6" i="86"/>
  <c r="D4" i="86"/>
  <c r="Z87" i="85"/>
  <c r="X87" i="85"/>
  <c r="N87" i="85"/>
  <c r="L87" i="85"/>
  <c r="Z83" i="85"/>
  <c r="X83" i="85"/>
  <c r="T83" i="85"/>
  <c r="P83" i="85"/>
  <c r="P82" i="85" s="1"/>
  <c r="H83" i="85"/>
  <c r="D83" i="85"/>
  <c r="B83" i="85"/>
  <c r="T82" i="85"/>
  <c r="Z82" i="85" s="1"/>
  <c r="D82" i="85"/>
  <c r="Z80" i="85"/>
  <c r="X80" i="85"/>
  <c r="L80" i="85"/>
  <c r="N80" i="85" s="1"/>
  <c r="F80" i="85"/>
  <c r="B80" i="85"/>
  <c r="T79" i="85"/>
  <c r="Z79" i="85" s="1"/>
  <c r="P79" i="85"/>
  <c r="X79" i="85" s="1"/>
  <c r="N79" i="85"/>
  <c r="L79" i="85"/>
  <c r="H79" i="85"/>
  <c r="D79" i="85"/>
  <c r="B79" i="85"/>
  <c r="X78" i="85"/>
  <c r="Z78" i="85" s="1"/>
  <c r="N78" i="85"/>
  <c r="L78" i="85"/>
  <c r="B78" i="85"/>
  <c r="Z77" i="85"/>
  <c r="X77" i="85"/>
  <c r="T77" i="85"/>
  <c r="P77" i="85"/>
  <c r="H77" i="85"/>
  <c r="D77" i="85"/>
  <c r="B77" i="85"/>
  <c r="X76" i="85"/>
  <c r="Z76" i="85" s="1"/>
  <c r="N76" i="85"/>
  <c r="L76" i="85"/>
  <c r="B76" i="85"/>
  <c r="T75" i="85"/>
  <c r="P75" i="85"/>
  <c r="H75" i="85"/>
  <c r="D75" i="85"/>
  <c r="L75" i="85" s="1"/>
  <c r="N75" i="85" s="1"/>
  <c r="B75" i="85"/>
  <c r="X74" i="85"/>
  <c r="Z74" i="85" s="1"/>
  <c r="L74" i="85"/>
  <c r="N74" i="85" s="1"/>
  <c r="B74" i="85"/>
  <c r="Z73" i="85"/>
  <c r="X73" i="85"/>
  <c r="N73" i="85"/>
  <c r="L73" i="85"/>
  <c r="B73" i="85"/>
  <c r="Z72" i="85"/>
  <c r="X72" i="85"/>
  <c r="N72" i="85"/>
  <c r="L72" i="85"/>
  <c r="B72" i="85"/>
  <c r="X71" i="85"/>
  <c r="Z71" i="85" s="1"/>
  <c r="N71" i="85"/>
  <c r="L71" i="85"/>
  <c r="B71" i="85"/>
  <c r="X70" i="85"/>
  <c r="Z70" i="85" s="1"/>
  <c r="L70" i="85"/>
  <c r="N70" i="85" s="1"/>
  <c r="B70" i="85"/>
  <c r="X69" i="85"/>
  <c r="Z69" i="85" s="1"/>
  <c r="N69" i="85"/>
  <c r="L69" i="85"/>
  <c r="B69" i="85"/>
  <c r="Z68" i="85"/>
  <c r="T68" i="85"/>
  <c r="P68" i="85"/>
  <c r="X68" i="85" s="1"/>
  <c r="L68" i="85"/>
  <c r="N68" i="85" s="1"/>
  <c r="H68" i="85"/>
  <c r="D68" i="85"/>
  <c r="B68" i="85"/>
  <c r="X67" i="85"/>
  <c r="Z67" i="85" s="1"/>
  <c r="N67" i="85"/>
  <c r="L67" i="85"/>
  <c r="B67" i="85"/>
  <c r="X66" i="85"/>
  <c r="Z66" i="85" s="1"/>
  <c r="T66" i="85"/>
  <c r="P66" i="85"/>
  <c r="H66" i="85"/>
  <c r="F66" i="85"/>
  <c r="D66" i="85"/>
  <c r="B66" i="85"/>
  <c r="Z65" i="85"/>
  <c r="X65" i="85"/>
  <c r="N65" i="85"/>
  <c r="L65" i="85"/>
  <c r="B65" i="85"/>
  <c r="X64" i="85"/>
  <c r="Z64" i="85" s="1"/>
  <c r="N64" i="85"/>
  <c r="L64" i="85"/>
  <c r="B64" i="85"/>
  <c r="X63" i="85"/>
  <c r="Z63" i="85" s="1"/>
  <c r="N63" i="85"/>
  <c r="L63" i="85"/>
  <c r="B63" i="85"/>
  <c r="X62" i="85"/>
  <c r="Z62" i="85" s="1"/>
  <c r="L62" i="85"/>
  <c r="N62" i="85" s="1"/>
  <c r="B62" i="85"/>
  <c r="Z61" i="85"/>
  <c r="X61" i="85"/>
  <c r="T61" i="85"/>
  <c r="P61" i="85"/>
  <c r="H61" i="85"/>
  <c r="D61" i="85"/>
  <c r="B61" i="85"/>
  <c r="Z60" i="85"/>
  <c r="X60" i="85"/>
  <c r="N60" i="85"/>
  <c r="L60" i="85"/>
  <c r="B60" i="85"/>
  <c r="X59" i="85"/>
  <c r="Z59" i="85" s="1"/>
  <c r="N59" i="85"/>
  <c r="L59" i="85"/>
  <c r="B59" i="85"/>
  <c r="X58" i="85"/>
  <c r="Z58" i="85" s="1"/>
  <c r="T58" i="85"/>
  <c r="P58" i="85"/>
  <c r="H58" i="85"/>
  <c r="F58" i="85"/>
  <c r="D58" i="85"/>
  <c r="B58" i="85"/>
  <c r="Z57" i="85"/>
  <c r="X57" i="85"/>
  <c r="N57" i="85"/>
  <c r="L57" i="85"/>
  <c r="B57" i="85"/>
  <c r="T56" i="85"/>
  <c r="P56" i="85"/>
  <c r="H56" i="85"/>
  <c r="N56" i="85" s="1"/>
  <c r="D56" i="85"/>
  <c r="L56" i="85" s="1"/>
  <c r="B56" i="85"/>
  <c r="X55" i="85"/>
  <c r="Z55" i="85" s="1"/>
  <c r="N55" i="85"/>
  <c r="L55" i="85"/>
  <c r="F55" i="85"/>
  <c r="B55" i="85"/>
  <c r="T54" i="85"/>
  <c r="P54" i="85"/>
  <c r="X54" i="85" s="1"/>
  <c r="N54" i="85"/>
  <c r="H54" i="85"/>
  <c r="D54" i="85"/>
  <c r="L54" i="85" s="1"/>
  <c r="B54" i="85"/>
  <c r="X53" i="85"/>
  <c r="Z53" i="85" s="1"/>
  <c r="N53" i="85"/>
  <c r="L53" i="85"/>
  <c r="B53" i="85"/>
  <c r="T52" i="85"/>
  <c r="P52" i="85"/>
  <c r="X52" i="85" s="1"/>
  <c r="Z52" i="85" s="1"/>
  <c r="N52" i="85"/>
  <c r="L52" i="85"/>
  <c r="H52" i="85"/>
  <c r="D52" i="85"/>
  <c r="B52" i="85"/>
  <c r="Z51" i="85"/>
  <c r="X51" i="85"/>
  <c r="N51" i="85"/>
  <c r="L51" i="85"/>
  <c r="B51" i="85"/>
  <c r="X50" i="85"/>
  <c r="Z50" i="85" s="1"/>
  <c r="T50" i="85"/>
  <c r="P50" i="85"/>
  <c r="H50" i="85"/>
  <c r="F50" i="85"/>
  <c r="D50" i="85"/>
  <c r="B50" i="85"/>
  <c r="Z49" i="85"/>
  <c r="X49" i="85"/>
  <c r="N49" i="85"/>
  <c r="L49" i="85"/>
  <c r="B49" i="85"/>
  <c r="T48" i="85"/>
  <c r="P48" i="85"/>
  <c r="H48" i="85"/>
  <c r="N48" i="85" s="1"/>
  <c r="D48" i="85"/>
  <c r="L48" i="85" s="1"/>
  <c r="B48" i="85"/>
  <c r="Z47" i="85"/>
  <c r="X47" i="85"/>
  <c r="N47" i="85"/>
  <c r="L47" i="85"/>
  <c r="F47" i="85"/>
  <c r="B47" i="85"/>
  <c r="X46" i="85"/>
  <c r="Z46" i="85" s="1"/>
  <c r="L46" i="85"/>
  <c r="N46" i="85" s="1"/>
  <c r="B46" i="85"/>
  <c r="T45" i="85"/>
  <c r="P45" i="85"/>
  <c r="X45" i="85" s="1"/>
  <c r="Z45" i="85" s="1"/>
  <c r="L45" i="85"/>
  <c r="N45" i="85" s="1"/>
  <c r="H45" i="85"/>
  <c r="D45" i="85"/>
  <c r="B45" i="85"/>
  <c r="Z44" i="85"/>
  <c r="X44" i="85"/>
  <c r="L44" i="85"/>
  <c r="N44" i="85" s="1"/>
  <c r="F44" i="85"/>
  <c r="B44" i="85"/>
  <c r="T43" i="85"/>
  <c r="X43" i="85" s="1"/>
  <c r="Z43" i="85" s="1"/>
  <c r="P43" i="85"/>
  <c r="N43" i="85"/>
  <c r="L43" i="85"/>
  <c r="H43" i="85"/>
  <c r="D43" i="85"/>
  <c r="B43" i="85"/>
  <c r="X42" i="85"/>
  <c r="Z42" i="85" s="1"/>
  <c r="L42" i="85"/>
  <c r="N42" i="85" s="1"/>
  <c r="B42" i="85"/>
  <c r="X41" i="85"/>
  <c r="Z41" i="85" s="1"/>
  <c r="T41" i="85"/>
  <c r="P41" i="85"/>
  <c r="H41" i="85"/>
  <c r="D41" i="85"/>
  <c r="B41" i="85"/>
  <c r="X40" i="85"/>
  <c r="Z40" i="85" s="1"/>
  <c r="N40" i="85"/>
  <c r="L40" i="85"/>
  <c r="B40" i="85"/>
  <c r="T39" i="85"/>
  <c r="P39" i="85"/>
  <c r="X39" i="85" s="1"/>
  <c r="H39" i="85"/>
  <c r="F39" i="85"/>
  <c r="D39" i="85"/>
  <c r="L39" i="85" s="1"/>
  <c r="N39" i="85" s="1"/>
  <c r="B39" i="85"/>
  <c r="Z38" i="85"/>
  <c r="X38" i="85"/>
  <c r="N38" i="85"/>
  <c r="L38" i="85"/>
  <c r="B38" i="85"/>
  <c r="Z37" i="85"/>
  <c r="X37" i="85"/>
  <c r="L37" i="85"/>
  <c r="N37" i="85" s="1"/>
  <c r="B37" i="85"/>
  <c r="Z36" i="85"/>
  <c r="X36" i="85"/>
  <c r="N36" i="85"/>
  <c r="L36" i="85"/>
  <c r="B36" i="85"/>
  <c r="X35" i="85"/>
  <c r="Z35" i="85" s="1"/>
  <c r="L35" i="85"/>
  <c r="N35" i="85" s="1"/>
  <c r="B35" i="85"/>
  <c r="X34" i="85"/>
  <c r="Z34" i="85" s="1"/>
  <c r="L34" i="85"/>
  <c r="N34" i="85" s="1"/>
  <c r="B34" i="85"/>
  <c r="X33" i="85"/>
  <c r="Z33" i="85" s="1"/>
  <c r="T33" i="85"/>
  <c r="P33" i="85"/>
  <c r="H33" i="85"/>
  <c r="D33" i="85"/>
  <c r="B33" i="85"/>
  <c r="Z32" i="85"/>
  <c r="X32" i="85"/>
  <c r="N32" i="85"/>
  <c r="L32" i="85"/>
  <c r="B32" i="85"/>
  <c r="X31" i="85"/>
  <c r="Z31" i="85" s="1"/>
  <c r="L31" i="85"/>
  <c r="N31" i="85" s="1"/>
  <c r="B31" i="85"/>
  <c r="X30" i="85"/>
  <c r="Z30" i="85" s="1"/>
  <c r="L30" i="85"/>
  <c r="N30" i="85" s="1"/>
  <c r="B30" i="85"/>
  <c r="Z29" i="85"/>
  <c r="X29" i="85"/>
  <c r="N29" i="85"/>
  <c r="L29" i="85"/>
  <c r="B29" i="85"/>
  <c r="Z28" i="85"/>
  <c r="X28" i="85"/>
  <c r="N28" i="85"/>
  <c r="L28" i="85"/>
  <c r="F28" i="85"/>
  <c r="B28" i="85"/>
  <c r="X27" i="85"/>
  <c r="Z27" i="85" s="1"/>
  <c r="L27" i="85"/>
  <c r="N27" i="85" s="1"/>
  <c r="F27" i="85"/>
  <c r="B27" i="85"/>
  <c r="X26" i="85"/>
  <c r="Z26" i="85" s="1"/>
  <c r="L26" i="85"/>
  <c r="N26" i="85" s="1"/>
  <c r="B26" i="85"/>
  <c r="Z25" i="85"/>
  <c r="X25" i="85"/>
  <c r="N25" i="85"/>
  <c r="L25" i="85"/>
  <c r="B25" i="85"/>
  <c r="Z24" i="85"/>
  <c r="X24" i="85"/>
  <c r="N24" i="85"/>
  <c r="L24" i="85"/>
  <c r="B24" i="85"/>
  <c r="T23" i="85"/>
  <c r="P23" i="85"/>
  <c r="H23" i="85"/>
  <c r="D23" i="85"/>
  <c r="L23" i="85" s="1"/>
  <c r="N23" i="85" s="1"/>
  <c r="B23" i="85"/>
  <c r="T22" i="85" a="1"/>
  <c r="T22" i="85" s="1"/>
  <c r="P22" i="85" a="1"/>
  <c r="P22" i="85" s="1"/>
  <c r="X22" i="85" s="1"/>
  <c r="H22" i="85" a="1"/>
  <c r="H22" i="85" s="1"/>
  <c r="F22" i="85"/>
  <c r="D22" i="85" a="1"/>
  <c r="D22" i="85" s="1"/>
  <c r="L22" i="85" s="1"/>
  <c r="X18" i="85"/>
  <c r="Z18" i="85" s="1"/>
  <c r="L18" i="85"/>
  <c r="N18" i="85" s="1"/>
  <c r="B18" i="85"/>
  <c r="Z17" i="85"/>
  <c r="X17" i="85"/>
  <c r="N17" i="85"/>
  <c r="L17" i="85"/>
  <c r="B17" i="85"/>
  <c r="T16" i="85"/>
  <c r="P16" i="85"/>
  <c r="X16" i="85" s="1"/>
  <c r="Z16" i="85" s="1"/>
  <c r="L16" i="85"/>
  <c r="N16" i="85" s="1"/>
  <c r="H16" i="85"/>
  <c r="D16" i="85"/>
  <c r="T14" i="85"/>
  <c r="Z14" i="85" s="1"/>
  <c r="P14" i="85"/>
  <c r="X14" i="85" s="1"/>
  <c r="H14" i="85"/>
  <c r="D14" i="85"/>
  <c r="L14" i="85" s="1"/>
  <c r="N14" i="85" s="1"/>
  <c r="B14" i="85"/>
  <c r="T13" i="85"/>
  <c r="P13" i="85"/>
  <c r="H13" i="85"/>
  <c r="N13" i="85" s="1"/>
  <c r="D13" i="85"/>
  <c r="L13" i="85" s="1"/>
  <c r="B13" i="85"/>
  <c r="T12" i="85"/>
  <c r="D12" i="85"/>
  <c r="D6" i="85"/>
  <c r="D4" i="85"/>
  <c r="J44" i="84"/>
  <c r="R41" i="84"/>
  <c r="Z39" i="84"/>
  <c r="X39" i="84"/>
  <c r="L39" i="84"/>
  <c r="N39" i="84" s="1"/>
  <c r="J37" i="84"/>
  <c r="T35" i="84"/>
  <c r="R35" i="84"/>
  <c r="P35" i="84"/>
  <c r="H35" i="84"/>
  <c r="N35" i="84" s="1"/>
  <c r="D35" i="84"/>
  <c r="L35" i="84" s="1"/>
  <c r="Z33" i="84"/>
  <c r="X33" i="84"/>
  <c r="N33" i="84"/>
  <c r="L33" i="84"/>
  <c r="B33" i="84"/>
  <c r="Z32" i="84"/>
  <c r="X32" i="84"/>
  <c r="N32" i="84"/>
  <c r="L32" i="84"/>
  <c r="J32" i="84"/>
  <c r="B32" i="84"/>
  <c r="T31" i="84"/>
  <c r="Z31" i="84" s="1"/>
  <c r="P31" i="84"/>
  <c r="X31" i="84" s="1"/>
  <c r="N31" i="84"/>
  <c r="H31" i="84"/>
  <c r="D31" i="84"/>
  <c r="L31" i="84" s="1"/>
  <c r="B31" i="84"/>
  <c r="X30" i="84"/>
  <c r="Z30" i="84" s="1"/>
  <c r="N30" i="84"/>
  <c r="L30" i="84"/>
  <c r="B30" i="84"/>
  <c r="T29" i="84"/>
  <c r="P29" i="84"/>
  <c r="X29" i="84" s="1"/>
  <c r="Z29" i="84" s="1"/>
  <c r="N29" i="84"/>
  <c r="L29" i="84"/>
  <c r="J29" i="84"/>
  <c r="H29" i="84"/>
  <c r="D29" i="84"/>
  <c r="B29" i="84"/>
  <c r="Z28" i="84"/>
  <c r="X28" i="84"/>
  <c r="R28" i="84"/>
  <c r="N28" i="84"/>
  <c r="L28" i="84"/>
  <c r="B28" i="84"/>
  <c r="X27" i="84"/>
  <c r="T27" i="84"/>
  <c r="Z27" i="84" s="1"/>
  <c r="P27" i="84"/>
  <c r="H27" i="84"/>
  <c r="D27" i="84"/>
  <c r="B27" i="84"/>
  <c r="Z26" i="84"/>
  <c r="X26" i="84"/>
  <c r="N26" i="84"/>
  <c r="L26" i="84"/>
  <c r="B26" i="84"/>
  <c r="T25" i="84"/>
  <c r="P25" i="84"/>
  <c r="H25" i="84"/>
  <c r="N25" i="84" s="1"/>
  <c r="D25" i="84"/>
  <c r="L25" i="84" s="1"/>
  <c r="B25" i="84"/>
  <c r="Z24" i="84"/>
  <c r="X24" i="84"/>
  <c r="N24" i="84"/>
  <c r="L24" i="84"/>
  <c r="J24" i="84"/>
  <c r="B24" i="84"/>
  <c r="T23" i="84"/>
  <c r="Z23" i="84" s="1"/>
  <c r="P23" i="84"/>
  <c r="X23" i="84" s="1"/>
  <c r="N23" i="84"/>
  <c r="H23" i="84"/>
  <c r="D23" i="84"/>
  <c r="L23" i="84" s="1"/>
  <c r="B23" i="84"/>
  <c r="Z22" i="84"/>
  <c r="X22" i="84"/>
  <c r="N22" i="84"/>
  <c r="L22" i="84"/>
  <c r="B22" i="84"/>
  <c r="Z21" i="84"/>
  <c r="T21" i="84"/>
  <c r="P21" i="84"/>
  <c r="X21" i="84" s="1"/>
  <c r="L21" i="84"/>
  <c r="J21" i="84"/>
  <c r="H21" i="84"/>
  <c r="N21" i="84" s="1"/>
  <c r="D21" i="84"/>
  <c r="B21" i="84"/>
  <c r="T20" i="84" a="1"/>
  <c r="T20" i="84" s="1"/>
  <c r="P20" i="84" a="1"/>
  <c r="P20" i="84" s="1"/>
  <c r="J20" i="84"/>
  <c r="H20" i="84" a="1"/>
  <c r="H20" i="84" s="1"/>
  <c r="D20" i="84" a="1"/>
  <c r="D20" i="84" s="1"/>
  <c r="L20" i="84" s="1"/>
  <c r="Z16" i="84"/>
  <c r="X16" i="84"/>
  <c r="N16" i="84"/>
  <c r="L16" i="84"/>
  <c r="J16" i="84"/>
  <c r="B16" i="84"/>
  <c r="T15" i="84"/>
  <c r="Z15" i="84" s="1"/>
  <c r="P15" i="84"/>
  <c r="X15" i="84" s="1"/>
  <c r="N15" i="84"/>
  <c r="H15" i="84"/>
  <c r="D15" i="84"/>
  <c r="L15" i="84" s="1"/>
  <c r="T13" i="84"/>
  <c r="P13" i="84"/>
  <c r="P12" i="84" s="1"/>
  <c r="R25" i="84" s="1"/>
  <c r="H13" i="84"/>
  <c r="N13" i="84" s="1"/>
  <c r="D13" i="84"/>
  <c r="L13" i="84" s="1"/>
  <c r="B13" i="84"/>
  <c r="H12" i="84"/>
  <c r="J26" i="84" s="1"/>
  <c r="D6" i="84"/>
  <c r="D4" i="84"/>
  <c r="V42" i="83"/>
  <c r="F42" i="83"/>
  <c r="Z40" i="83"/>
  <c r="X40" i="83"/>
  <c r="N40" i="83"/>
  <c r="L40" i="83"/>
  <c r="V36" i="83"/>
  <c r="T36" i="83"/>
  <c r="P36" i="83"/>
  <c r="N36" i="83"/>
  <c r="H36" i="83"/>
  <c r="D36" i="83"/>
  <c r="L36" i="83" s="1"/>
  <c r="Z34" i="83"/>
  <c r="X34" i="83"/>
  <c r="N34" i="83"/>
  <c r="L34" i="83"/>
  <c r="B34" i="83"/>
  <c r="T33" i="83"/>
  <c r="Z33" i="83" s="1"/>
  <c r="P33" i="83"/>
  <c r="X33" i="83" s="1"/>
  <c r="N33" i="83"/>
  <c r="H33" i="83"/>
  <c r="D33" i="83"/>
  <c r="L33" i="83" s="1"/>
  <c r="B33" i="83"/>
  <c r="Z32" i="83"/>
  <c r="X32" i="83"/>
  <c r="N32" i="83"/>
  <c r="L32" i="83"/>
  <c r="B32" i="83"/>
  <c r="Z31" i="83"/>
  <c r="T31" i="83"/>
  <c r="P31" i="83"/>
  <c r="X31" i="83" s="1"/>
  <c r="L31" i="83"/>
  <c r="H31" i="83"/>
  <c r="N31" i="83" s="1"/>
  <c r="D31" i="83"/>
  <c r="B31" i="83"/>
  <c r="Z30" i="83"/>
  <c r="X30" i="83"/>
  <c r="V30" i="83"/>
  <c r="R30" i="83"/>
  <c r="N30" i="83"/>
  <c r="L30" i="83"/>
  <c r="B30" i="83"/>
  <c r="X29" i="83"/>
  <c r="V29" i="83"/>
  <c r="T29" i="83"/>
  <c r="P29" i="83"/>
  <c r="H29" i="83"/>
  <c r="D29" i="83"/>
  <c r="B29" i="83"/>
  <c r="Z28" i="83"/>
  <c r="X28" i="83"/>
  <c r="N28" i="83"/>
  <c r="L28" i="83"/>
  <c r="B28" i="83"/>
  <c r="T27" i="83"/>
  <c r="R27" i="83"/>
  <c r="P27" i="83"/>
  <c r="H27" i="83"/>
  <c r="N27" i="83" s="1"/>
  <c r="D27" i="83"/>
  <c r="L27" i="83" s="1"/>
  <c r="B27" i="83"/>
  <c r="Z26" i="83"/>
  <c r="X26" i="83"/>
  <c r="N26" i="83"/>
  <c r="L26" i="83"/>
  <c r="B26" i="83"/>
  <c r="T25" i="83"/>
  <c r="Z25" i="83" s="1"/>
  <c r="P25" i="83"/>
  <c r="X25" i="83" s="1"/>
  <c r="N25" i="83"/>
  <c r="H25" i="83"/>
  <c r="D25" i="83"/>
  <c r="L25" i="83" s="1"/>
  <c r="B25" i="83"/>
  <c r="Z24" i="83"/>
  <c r="X24" i="83"/>
  <c r="N24" i="83"/>
  <c r="L24" i="83"/>
  <c r="B24" i="83"/>
  <c r="Z23" i="83"/>
  <c r="X23" i="83"/>
  <c r="N23" i="83"/>
  <c r="L23" i="83"/>
  <c r="B23" i="83"/>
  <c r="Z22" i="83"/>
  <c r="X22" i="83"/>
  <c r="N22" i="83"/>
  <c r="L22" i="83"/>
  <c r="B22" i="83"/>
  <c r="X21" i="83"/>
  <c r="Z21" i="83" s="1"/>
  <c r="R21" i="83"/>
  <c r="N21" i="83"/>
  <c r="L21" i="83"/>
  <c r="J21" i="83"/>
  <c r="B21" i="83"/>
  <c r="Z20" i="83"/>
  <c r="X20" i="83"/>
  <c r="N20" i="83"/>
  <c r="L20" i="83"/>
  <c r="B20" i="83"/>
  <c r="T19" i="83"/>
  <c r="R19" i="83"/>
  <c r="P19" i="83"/>
  <c r="H19" i="83"/>
  <c r="N19" i="83" s="1"/>
  <c r="D19" i="83"/>
  <c r="L19" i="83" s="1"/>
  <c r="B19" i="83"/>
  <c r="T18" i="83" a="1"/>
  <c r="T18" i="83"/>
  <c r="P18" i="83" a="1"/>
  <c r="P18" i="83" s="1"/>
  <c r="X18" i="83" s="1"/>
  <c r="H18" i="83" a="1"/>
  <c r="H18" i="83"/>
  <c r="D18" i="83" a="1"/>
  <c r="D18" i="83"/>
  <c r="L18" i="83" s="1"/>
  <c r="R16" i="83"/>
  <c r="V14" i="83"/>
  <c r="T14" i="83"/>
  <c r="Z14" i="83" s="1"/>
  <c r="P14" i="83"/>
  <c r="X14" i="83" s="1"/>
  <c r="N14" i="83"/>
  <c r="H14" i="83"/>
  <c r="D14" i="83"/>
  <c r="L14" i="83" s="1"/>
  <c r="T12" i="83"/>
  <c r="V32" i="83" s="1"/>
  <c r="P12" i="83"/>
  <c r="R42" i="83" s="1"/>
  <c r="H12" i="83"/>
  <c r="D12" i="83"/>
  <c r="D6" i="83"/>
  <c r="D4" i="83"/>
  <c r="J39" i="82"/>
  <c r="Z37" i="82"/>
  <c r="X37" i="82"/>
  <c r="N37" i="82"/>
  <c r="L37" i="82"/>
  <c r="Z33" i="82"/>
  <c r="X33" i="82"/>
  <c r="T33" i="82"/>
  <c r="P33" i="82"/>
  <c r="H33" i="82"/>
  <c r="N33" i="82" s="1"/>
  <c r="D33" i="82"/>
  <c r="Z31" i="82"/>
  <c r="X31" i="82"/>
  <c r="N31" i="82"/>
  <c r="L31" i="82"/>
  <c r="B31" i="82"/>
  <c r="T30" i="82"/>
  <c r="P30" i="82"/>
  <c r="H30" i="82"/>
  <c r="N30" i="82" s="1"/>
  <c r="D30" i="82"/>
  <c r="L30" i="82" s="1"/>
  <c r="B30" i="82"/>
  <c r="Z29" i="82"/>
  <c r="X29" i="82"/>
  <c r="N29" i="82"/>
  <c r="L29" i="82"/>
  <c r="J29" i="82"/>
  <c r="F29" i="82"/>
  <c r="B29" i="82"/>
  <c r="T28" i="82"/>
  <c r="Z28" i="82" s="1"/>
  <c r="P28" i="82"/>
  <c r="X28" i="82" s="1"/>
  <c r="N28" i="82"/>
  <c r="H28" i="82"/>
  <c r="D28" i="82"/>
  <c r="L28" i="82" s="1"/>
  <c r="B28" i="82"/>
  <c r="Z27" i="82"/>
  <c r="X27" i="82"/>
  <c r="N27" i="82"/>
  <c r="L27" i="82"/>
  <c r="B27" i="82"/>
  <c r="Z26" i="82"/>
  <c r="X26" i="82"/>
  <c r="N26" i="82"/>
  <c r="L26" i="82"/>
  <c r="F26" i="82"/>
  <c r="B26" i="82"/>
  <c r="T25" i="82"/>
  <c r="P25" i="82"/>
  <c r="X25" i="82" s="1"/>
  <c r="N25" i="82"/>
  <c r="L25" i="82"/>
  <c r="H25" i="82"/>
  <c r="D25" i="82"/>
  <c r="B25" i="82"/>
  <c r="X24" i="82"/>
  <c r="Z24" i="82" s="1"/>
  <c r="V24" i="82"/>
  <c r="N24" i="82"/>
  <c r="L24" i="82"/>
  <c r="B24" i="82"/>
  <c r="X23" i="82"/>
  <c r="Z23" i="82" s="1"/>
  <c r="T23" i="82"/>
  <c r="P23" i="82"/>
  <c r="J23" i="82"/>
  <c r="H23" i="82"/>
  <c r="D23" i="82"/>
  <c r="B23" i="82"/>
  <c r="X22" i="82"/>
  <c r="Z22" i="82" s="1"/>
  <c r="R22" i="82"/>
  <c r="N22" i="82"/>
  <c r="L22" i="82"/>
  <c r="B22" i="82"/>
  <c r="V21" i="82"/>
  <c r="T21" i="82"/>
  <c r="P21" i="82"/>
  <c r="H21" i="82"/>
  <c r="F21" i="82"/>
  <c r="D21" i="82"/>
  <c r="L21" i="82" s="1"/>
  <c r="N21" i="82" s="1"/>
  <c r="B21" i="82"/>
  <c r="Z20" i="82"/>
  <c r="X20" i="82"/>
  <c r="N20" i="82"/>
  <c r="L20" i="82"/>
  <c r="J20" i="82"/>
  <c r="B20" i="82"/>
  <c r="Z19" i="82"/>
  <c r="V19" i="82"/>
  <c r="T19" i="82"/>
  <c r="P19" i="82"/>
  <c r="X19" i="82" s="1"/>
  <c r="H19" i="82"/>
  <c r="N19" i="82" s="1"/>
  <c r="D19" i="82"/>
  <c r="L19" i="82" s="1"/>
  <c r="B19" i="82"/>
  <c r="T18" i="82" a="1"/>
  <c r="T18" i="82" s="1"/>
  <c r="P18" i="82" a="1"/>
  <c r="P18" i="82" s="1"/>
  <c r="H18" i="82" a="1"/>
  <c r="H18" i="82" s="1"/>
  <c r="D18" i="82" a="1"/>
  <c r="D18" i="82" s="1"/>
  <c r="J16" i="82"/>
  <c r="H16" i="82"/>
  <c r="D16" i="82"/>
  <c r="V14" i="82"/>
  <c r="T14" i="82"/>
  <c r="P14" i="82"/>
  <c r="H14" i="82"/>
  <c r="N14" i="82" s="1"/>
  <c r="F14" i="82"/>
  <c r="D14" i="82"/>
  <c r="L14" i="82" s="1"/>
  <c r="Z12" i="82"/>
  <c r="X12" i="82"/>
  <c r="T12" i="82"/>
  <c r="V39" i="82" s="1"/>
  <c r="P12" i="82"/>
  <c r="R42" i="82" s="1"/>
  <c r="H12" i="82"/>
  <c r="D12" i="82"/>
  <c r="D6" i="82"/>
  <c r="D4" i="82"/>
  <c r="R84" i="81"/>
  <c r="Z79" i="81"/>
  <c r="X79" i="81"/>
  <c r="N79" i="81"/>
  <c r="L79" i="81"/>
  <c r="T75" i="81"/>
  <c r="P75" i="81"/>
  <c r="H75" i="81"/>
  <c r="N75" i="81" s="1"/>
  <c r="F75" i="81"/>
  <c r="D75" i="81"/>
  <c r="D73" i="81" s="1"/>
  <c r="L73" i="81" s="1"/>
  <c r="B75" i="81"/>
  <c r="T74" i="81"/>
  <c r="P74" i="81"/>
  <c r="L74" i="81"/>
  <c r="N74" i="81" s="1"/>
  <c r="H74" i="81"/>
  <c r="D74" i="81"/>
  <c r="B74" i="81"/>
  <c r="V73" i="81"/>
  <c r="J73" i="81"/>
  <c r="H73" i="81"/>
  <c r="F73" i="81"/>
  <c r="Z71" i="81"/>
  <c r="X71" i="81"/>
  <c r="N71" i="81"/>
  <c r="L71" i="81"/>
  <c r="J71" i="81"/>
  <c r="B71" i="81"/>
  <c r="T70" i="81"/>
  <c r="P70" i="81"/>
  <c r="X70" i="81" s="1"/>
  <c r="H70" i="81"/>
  <c r="D70" i="81"/>
  <c r="L70" i="81" s="1"/>
  <c r="B70" i="81"/>
  <c r="Z69" i="81"/>
  <c r="X69" i="81"/>
  <c r="N69" i="81"/>
  <c r="L69" i="81"/>
  <c r="J69" i="81"/>
  <c r="B69" i="81"/>
  <c r="Z68" i="81"/>
  <c r="X68" i="81"/>
  <c r="N68" i="81"/>
  <c r="L68" i="81"/>
  <c r="F68" i="81"/>
  <c r="B68" i="81"/>
  <c r="T67" i="81"/>
  <c r="Z67" i="81" s="1"/>
  <c r="P67" i="81"/>
  <c r="X67" i="81" s="1"/>
  <c r="N67" i="81"/>
  <c r="H67" i="81"/>
  <c r="D67" i="81"/>
  <c r="L67" i="81" s="1"/>
  <c r="B67" i="81"/>
  <c r="X66" i="81"/>
  <c r="Z66" i="81" s="1"/>
  <c r="L66" i="81"/>
  <c r="N66" i="81" s="1"/>
  <c r="F66" i="81"/>
  <c r="B66" i="81"/>
  <c r="T65" i="81"/>
  <c r="P65" i="81"/>
  <c r="X65" i="81" s="1"/>
  <c r="Z65" i="81" s="1"/>
  <c r="N65" i="81"/>
  <c r="L65" i="81"/>
  <c r="J65" i="81"/>
  <c r="H65" i="81"/>
  <c r="D65" i="81"/>
  <c r="B65" i="81"/>
  <c r="X64" i="81"/>
  <c r="Z64" i="81" s="1"/>
  <c r="R64" i="81"/>
  <c r="N64" i="81"/>
  <c r="L64" i="81"/>
  <c r="B64" i="81"/>
  <c r="Z63" i="81"/>
  <c r="X63" i="81"/>
  <c r="V63" i="81"/>
  <c r="N63" i="81"/>
  <c r="L63" i="81"/>
  <c r="B63" i="81"/>
  <c r="X62" i="81"/>
  <c r="Z62" i="81" s="1"/>
  <c r="T62" i="81"/>
  <c r="P62" i="81"/>
  <c r="H62" i="81"/>
  <c r="N62" i="81" s="1"/>
  <c r="D62" i="81"/>
  <c r="B62" i="81"/>
  <c r="X61" i="81"/>
  <c r="Z61" i="81" s="1"/>
  <c r="V61" i="81"/>
  <c r="N61" i="81"/>
  <c r="L61" i="81"/>
  <c r="B61" i="81"/>
  <c r="X60" i="81"/>
  <c r="T60" i="81"/>
  <c r="P60" i="81"/>
  <c r="H60" i="81"/>
  <c r="N60" i="81" s="1"/>
  <c r="D60" i="81"/>
  <c r="B60" i="81"/>
  <c r="Z59" i="81"/>
  <c r="X59" i="81"/>
  <c r="N59" i="81"/>
  <c r="L59" i="81"/>
  <c r="J59" i="81"/>
  <c r="B59" i="81"/>
  <c r="X58" i="81"/>
  <c r="Z58" i="81" s="1"/>
  <c r="R58" i="81"/>
  <c r="L58" i="81"/>
  <c r="N58" i="81" s="1"/>
  <c r="B58" i="81"/>
  <c r="X57" i="81"/>
  <c r="Z57" i="81" s="1"/>
  <c r="V57" i="81"/>
  <c r="N57" i="81"/>
  <c r="L57" i="81"/>
  <c r="B57" i="81"/>
  <c r="X56" i="81"/>
  <c r="T56" i="81"/>
  <c r="P56" i="81"/>
  <c r="H56" i="81"/>
  <c r="D56" i="81"/>
  <c r="B56" i="81"/>
  <c r="Z55" i="81"/>
  <c r="X55" i="81"/>
  <c r="N55" i="81"/>
  <c r="L55" i="81"/>
  <c r="J55" i="81"/>
  <c r="B55" i="81"/>
  <c r="X54" i="81"/>
  <c r="Z54" i="81" s="1"/>
  <c r="R54" i="81"/>
  <c r="N54" i="81"/>
  <c r="L54" i="81"/>
  <c r="B54" i="81"/>
  <c r="X53" i="81"/>
  <c r="Z53" i="81" s="1"/>
  <c r="V53" i="81"/>
  <c r="N53" i="81"/>
  <c r="L53" i="81"/>
  <c r="B53" i="81"/>
  <c r="X52" i="81"/>
  <c r="Z52" i="81" s="1"/>
  <c r="N52" i="81"/>
  <c r="L52" i="81"/>
  <c r="B52" i="81"/>
  <c r="Z51" i="81"/>
  <c r="X51" i="81"/>
  <c r="V51" i="81"/>
  <c r="T51" i="81"/>
  <c r="P51" i="81"/>
  <c r="J51" i="81"/>
  <c r="H51" i="81"/>
  <c r="F51" i="81"/>
  <c r="D51" i="81"/>
  <c r="B51" i="81"/>
  <c r="X50" i="81"/>
  <c r="Z50" i="81" s="1"/>
  <c r="R50" i="81"/>
  <c r="L50" i="81"/>
  <c r="N50" i="81" s="1"/>
  <c r="B50" i="81"/>
  <c r="V49" i="81"/>
  <c r="T49" i="81"/>
  <c r="R49" i="81"/>
  <c r="P49" i="81"/>
  <c r="H49" i="81"/>
  <c r="N49" i="81" s="1"/>
  <c r="F49" i="81"/>
  <c r="D49" i="81"/>
  <c r="L49" i="81" s="1"/>
  <c r="B49" i="81"/>
  <c r="X48" i="81"/>
  <c r="Z48" i="81" s="1"/>
  <c r="L48" i="81"/>
  <c r="N48" i="81" s="1"/>
  <c r="F48" i="81"/>
  <c r="B48" i="81"/>
  <c r="T47" i="81"/>
  <c r="Z47" i="81" s="1"/>
  <c r="R47" i="81"/>
  <c r="P47" i="81"/>
  <c r="X47" i="81" s="1"/>
  <c r="N47" i="81"/>
  <c r="H47" i="81"/>
  <c r="D47" i="81"/>
  <c r="L47" i="81" s="1"/>
  <c r="B47" i="81"/>
  <c r="X46" i="81"/>
  <c r="Z46" i="81" s="1"/>
  <c r="L46" i="81"/>
  <c r="N46" i="81" s="1"/>
  <c r="F46" i="81"/>
  <c r="B46" i="81"/>
  <c r="Z45" i="81"/>
  <c r="T45" i="81"/>
  <c r="P45" i="81"/>
  <c r="X45" i="81" s="1"/>
  <c r="N45" i="81"/>
  <c r="L45" i="81"/>
  <c r="J45" i="81"/>
  <c r="H45" i="81"/>
  <c r="D45" i="81"/>
  <c r="B45" i="81"/>
  <c r="X44" i="81"/>
  <c r="Z44" i="81" s="1"/>
  <c r="R44" i="81"/>
  <c r="L44" i="81"/>
  <c r="N44" i="81" s="1"/>
  <c r="B44" i="81"/>
  <c r="Z43" i="81"/>
  <c r="X43" i="81"/>
  <c r="V43" i="81"/>
  <c r="T43" i="81"/>
  <c r="P43" i="81"/>
  <c r="J43" i="81"/>
  <c r="H43" i="81"/>
  <c r="F43" i="81"/>
  <c r="D43" i="81"/>
  <c r="B43" i="81"/>
  <c r="Z42" i="81"/>
  <c r="X42" i="81"/>
  <c r="R42" i="81"/>
  <c r="N42" i="81"/>
  <c r="L42" i="81"/>
  <c r="B42" i="81"/>
  <c r="V41" i="81"/>
  <c r="T41" i="81"/>
  <c r="Z41" i="81" s="1"/>
  <c r="P41" i="81"/>
  <c r="H41" i="81"/>
  <c r="N41" i="81" s="1"/>
  <c r="F41" i="81"/>
  <c r="D41" i="81"/>
  <c r="L41" i="81" s="1"/>
  <c r="B41" i="81"/>
  <c r="Z40" i="81"/>
  <c r="X40" i="81"/>
  <c r="L40" i="81"/>
  <c r="N40" i="81" s="1"/>
  <c r="F40" i="81"/>
  <c r="B40" i="81"/>
  <c r="Z39" i="81"/>
  <c r="X39" i="81"/>
  <c r="N39" i="81"/>
  <c r="L39" i="81"/>
  <c r="J39" i="81"/>
  <c r="B39" i="81"/>
  <c r="T38" i="81"/>
  <c r="P38" i="81"/>
  <c r="H38" i="81"/>
  <c r="D38" i="81"/>
  <c r="L38" i="81" s="1"/>
  <c r="N38" i="81" s="1"/>
  <c r="B38" i="81"/>
  <c r="Z37" i="81"/>
  <c r="X37" i="81"/>
  <c r="L37" i="81"/>
  <c r="N37" i="81" s="1"/>
  <c r="J37" i="81"/>
  <c r="B37" i="81"/>
  <c r="T36" i="81"/>
  <c r="P36" i="81"/>
  <c r="X36" i="81" s="1"/>
  <c r="Z36" i="81" s="1"/>
  <c r="L36" i="81"/>
  <c r="N36" i="81" s="1"/>
  <c r="H36" i="81"/>
  <c r="D36" i="81"/>
  <c r="B36" i="81"/>
  <c r="Z35" i="81"/>
  <c r="X35" i="81"/>
  <c r="V35" i="81"/>
  <c r="N35" i="81"/>
  <c r="L35" i="81"/>
  <c r="B35" i="81"/>
  <c r="X34" i="81"/>
  <c r="Z34" i="81" s="1"/>
  <c r="T34" i="81"/>
  <c r="P34" i="81"/>
  <c r="L34" i="81"/>
  <c r="H34" i="81"/>
  <c r="D34" i="81"/>
  <c r="B34" i="81"/>
  <c r="Z33" i="81"/>
  <c r="X33" i="81"/>
  <c r="V33" i="81"/>
  <c r="N33" i="81"/>
  <c r="L33" i="81"/>
  <c r="B33" i="81"/>
  <c r="X32" i="81"/>
  <c r="Z32" i="81" s="1"/>
  <c r="N32" i="81"/>
  <c r="L32" i="81"/>
  <c r="B32" i="81"/>
  <c r="Z31" i="81"/>
  <c r="X31" i="81"/>
  <c r="V31" i="81"/>
  <c r="N31" i="81"/>
  <c r="L31" i="81"/>
  <c r="B31" i="81"/>
  <c r="X30" i="81"/>
  <c r="Z30" i="81" s="1"/>
  <c r="N30" i="81"/>
  <c r="L30" i="81"/>
  <c r="F30" i="81"/>
  <c r="B30" i="81"/>
  <c r="Z29" i="81"/>
  <c r="X29" i="81"/>
  <c r="L29" i="81"/>
  <c r="N29" i="81" s="1"/>
  <c r="J29" i="81"/>
  <c r="B29" i="81"/>
  <c r="T28" i="81"/>
  <c r="P28" i="81"/>
  <c r="X28" i="81" s="1"/>
  <c r="Z28" i="81" s="1"/>
  <c r="L28" i="81"/>
  <c r="N28" i="81" s="1"/>
  <c r="H28" i="81"/>
  <c r="D28" i="81"/>
  <c r="B28" i="81"/>
  <c r="Z27" i="81"/>
  <c r="X27" i="81"/>
  <c r="V27" i="81"/>
  <c r="N27" i="81"/>
  <c r="L27" i="81"/>
  <c r="B27" i="81"/>
  <c r="X26" i="81"/>
  <c r="Z26" i="81" s="1"/>
  <c r="L26" i="81"/>
  <c r="N26" i="81" s="1"/>
  <c r="F26" i="81"/>
  <c r="B26" i="81"/>
  <c r="Z25" i="81"/>
  <c r="X25" i="81"/>
  <c r="L25" i="81"/>
  <c r="N25" i="81" s="1"/>
  <c r="J25" i="81"/>
  <c r="F25" i="81"/>
  <c r="B25" i="81"/>
  <c r="X24" i="81"/>
  <c r="Z24" i="81" s="1"/>
  <c r="L24" i="81"/>
  <c r="N24" i="81" s="1"/>
  <c r="F24" i="81"/>
  <c r="B24" i="81"/>
  <c r="Z23" i="81"/>
  <c r="X23" i="81"/>
  <c r="N23" i="81"/>
  <c r="L23" i="81"/>
  <c r="J23" i="81"/>
  <c r="B23" i="81"/>
  <c r="X22" i="81"/>
  <c r="Z22" i="81" s="1"/>
  <c r="R22" i="81"/>
  <c r="L22" i="81"/>
  <c r="N22" i="81" s="1"/>
  <c r="B22" i="81"/>
  <c r="X21" i="81"/>
  <c r="Z21" i="81" s="1"/>
  <c r="V21" i="81"/>
  <c r="N21" i="81"/>
  <c r="L21" i="81"/>
  <c r="B21" i="81"/>
  <c r="X20" i="81"/>
  <c r="Z20" i="81" s="1"/>
  <c r="V20" i="81"/>
  <c r="R20" i="81"/>
  <c r="L20" i="81"/>
  <c r="N20" i="81" s="1"/>
  <c r="B20" i="81"/>
  <c r="Z19" i="81"/>
  <c r="X19" i="81"/>
  <c r="V19" i="81"/>
  <c r="T19" i="81"/>
  <c r="P19" i="81"/>
  <c r="J19" i="81"/>
  <c r="H19" i="81"/>
  <c r="F19" i="81"/>
  <c r="D19" i="81"/>
  <c r="B19" i="81"/>
  <c r="T18" i="81" a="1"/>
  <c r="T18" i="81" s="1"/>
  <c r="R18" i="81"/>
  <c r="P18" i="81" a="1"/>
  <c r="P18" i="81" s="1"/>
  <c r="H18" i="81" a="1"/>
  <c r="H18" i="81" s="1"/>
  <c r="F18" i="81"/>
  <c r="D18" i="81" a="1"/>
  <c r="D18" i="81" s="1"/>
  <c r="L18" i="81" s="1"/>
  <c r="T16" i="81"/>
  <c r="Z16" i="81" s="1"/>
  <c r="F16" i="81"/>
  <c r="D16" i="81"/>
  <c r="Z14" i="81"/>
  <c r="X14" i="81"/>
  <c r="V14" i="81"/>
  <c r="T14" i="81"/>
  <c r="P14" i="81"/>
  <c r="H14" i="81"/>
  <c r="N14" i="81" s="1"/>
  <c r="F14" i="81"/>
  <c r="D14" i="81"/>
  <c r="T12" i="81"/>
  <c r="V81" i="81" s="1"/>
  <c r="P12" i="81"/>
  <c r="L12" i="81"/>
  <c r="H12" i="81"/>
  <c r="J81" i="81" s="1"/>
  <c r="D12" i="81"/>
  <c r="F74" i="81" s="1"/>
  <c r="D6" i="81"/>
  <c r="D4" i="81"/>
  <c r="Z34" i="80"/>
  <c r="X34" i="80"/>
  <c r="N34" i="80"/>
  <c r="L34" i="80"/>
  <c r="Z30" i="80"/>
  <c r="T30" i="80"/>
  <c r="P30" i="80"/>
  <c r="X30" i="80" s="1"/>
  <c r="N30" i="80"/>
  <c r="L30" i="80"/>
  <c r="H30" i="80"/>
  <c r="D30" i="80"/>
  <c r="X28" i="80"/>
  <c r="Z28" i="80" s="1"/>
  <c r="N28" i="80"/>
  <c r="L28" i="80"/>
  <c r="B28" i="80"/>
  <c r="Z27" i="80"/>
  <c r="V27" i="80"/>
  <c r="T27" i="80"/>
  <c r="X27" i="80" s="1"/>
  <c r="P27" i="80"/>
  <c r="J27" i="80"/>
  <c r="H27" i="80"/>
  <c r="N27" i="80" s="1"/>
  <c r="F27" i="80"/>
  <c r="D27" i="80"/>
  <c r="L27" i="80" s="1"/>
  <c r="B27" i="80"/>
  <c r="X26" i="80"/>
  <c r="Z26" i="80" s="1"/>
  <c r="N26" i="80"/>
  <c r="L26" i="80"/>
  <c r="B26" i="80"/>
  <c r="V25" i="80"/>
  <c r="T25" i="80"/>
  <c r="R25" i="80"/>
  <c r="P25" i="80"/>
  <c r="X25" i="80" s="1"/>
  <c r="H25" i="80"/>
  <c r="N25" i="80" s="1"/>
  <c r="F25" i="80"/>
  <c r="D25" i="80"/>
  <c r="L25" i="80" s="1"/>
  <c r="B25" i="80"/>
  <c r="Z24" i="80"/>
  <c r="X24" i="80"/>
  <c r="N24" i="80"/>
  <c r="L24" i="80"/>
  <c r="F24" i="80"/>
  <c r="B24" i="80"/>
  <c r="T23" i="80"/>
  <c r="P23" i="80"/>
  <c r="X23" i="80" s="1"/>
  <c r="N23" i="80"/>
  <c r="L23" i="80"/>
  <c r="H23" i="80"/>
  <c r="D23" i="80"/>
  <c r="B23" i="80"/>
  <c r="X22" i="80"/>
  <c r="Z22" i="80" s="1"/>
  <c r="V22" i="80"/>
  <c r="L22" i="80"/>
  <c r="N22" i="80" s="1"/>
  <c r="F22" i="80"/>
  <c r="B22" i="80"/>
  <c r="Z21" i="80"/>
  <c r="X21" i="80"/>
  <c r="T21" i="80"/>
  <c r="P21" i="80"/>
  <c r="N21" i="80"/>
  <c r="J21" i="80"/>
  <c r="H21" i="80"/>
  <c r="L21" i="80" s="1"/>
  <c r="D21" i="80"/>
  <c r="B21" i="80"/>
  <c r="X20" i="80"/>
  <c r="Z20" i="80" s="1"/>
  <c r="R20" i="80"/>
  <c r="N20" i="80"/>
  <c r="L20" i="80"/>
  <c r="B20" i="80"/>
  <c r="V19" i="80"/>
  <c r="T19" i="80"/>
  <c r="X19" i="80" s="1"/>
  <c r="Z19" i="80" s="1"/>
  <c r="P19" i="80"/>
  <c r="J19" i="80"/>
  <c r="H19" i="80"/>
  <c r="N19" i="80" s="1"/>
  <c r="F19" i="80"/>
  <c r="D19" i="80"/>
  <c r="L19" i="80" s="1"/>
  <c r="B19" i="80"/>
  <c r="T18" i="80" a="1"/>
  <c r="T18" i="80" s="1"/>
  <c r="T32" i="80" s="1"/>
  <c r="R18" i="80"/>
  <c r="P18" i="80" a="1"/>
  <c r="P18" i="80" s="1"/>
  <c r="H18" i="80" a="1"/>
  <c r="H18" i="80" s="1"/>
  <c r="F18" i="80"/>
  <c r="D18" i="80" a="1"/>
  <c r="D18" i="80" s="1"/>
  <c r="T16" i="80"/>
  <c r="Z16" i="80" s="1"/>
  <c r="F16" i="80"/>
  <c r="D16" i="80"/>
  <c r="Z14" i="80"/>
  <c r="X14" i="80"/>
  <c r="V14" i="80"/>
  <c r="T14" i="80"/>
  <c r="P14" i="80"/>
  <c r="H14" i="80"/>
  <c r="F14" i="80"/>
  <c r="D14" i="80"/>
  <c r="T12" i="80"/>
  <c r="V21" i="80" s="1"/>
  <c r="P12" i="80"/>
  <c r="R34" i="80" s="1"/>
  <c r="L12" i="80"/>
  <c r="H12" i="80"/>
  <c r="J36" i="80" s="1"/>
  <c r="D12" i="80"/>
  <c r="F26" i="80" s="1"/>
  <c r="D6" i="80"/>
  <c r="D4" i="80"/>
  <c r="Z86" i="79"/>
  <c r="X86" i="79"/>
  <c r="N86" i="79"/>
  <c r="L86" i="79"/>
  <c r="Z82" i="79"/>
  <c r="T82" i="79"/>
  <c r="P82" i="79"/>
  <c r="N82" i="79"/>
  <c r="L82" i="79"/>
  <c r="H82" i="79"/>
  <c r="D82" i="79"/>
  <c r="B82" i="79"/>
  <c r="Z81" i="79"/>
  <c r="T81" i="79"/>
  <c r="H81" i="79"/>
  <c r="N81" i="79" s="1"/>
  <c r="D81" i="79"/>
  <c r="L81" i="79" s="1"/>
  <c r="X79" i="79"/>
  <c r="Z79" i="79" s="1"/>
  <c r="N79" i="79"/>
  <c r="L79" i="79"/>
  <c r="B79" i="79"/>
  <c r="T78" i="79"/>
  <c r="P78" i="79"/>
  <c r="X78" i="79" s="1"/>
  <c r="H78" i="79"/>
  <c r="D78" i="79"/>
  <c r="L78" i="79" s="1"/>
  <c r="N78" i="79" s="1"/>
  <c r="B78" i="79"/>
  <c r="Z77" i="79"/>
  <c r="X77" i="79"/>
  <c r="N77" i="79"/>
  <c r="L77" i="79"/>
  <c r="B77" i="79"/>
  <c r="Z76" i="79"/>
  <c r="T76" i="79"/>
  <c r="P76" i="79"/>
  <c r="X76" i="79" s="1"/>
  <c r="N76" i="79"/>
  <c r="L76" i="79"/>
  <c r="H76" i="79"/>
  <c r="D76" i="79"/>
  <c r="B76" i="79"/>
  <c r="Z75" i="79"/>
  <c r="X75" i="79"/>
  <c r="N75" i="79"/>
  <c r="L75" i="79"/>
  <c r="B75" i="79"/>
  <c r="X74" i="79"/>
  <c r="Z74" i="79" s="1"/>
  <c r="T74" i="79"/>
  <c r="P74" i="79"/>
  <c r="L74" i="79"/>
  <c r="H74" i="79"/>
  <c r="N74" i="79" s="1"/>
  <c r="D74" i="79"/>
  <c r="B74" i="79"/>
  <c r="Z73" i="79"/>
  <c r="X73" i="79"/>
  <c r="N73" i="79"/>
  <c r="L73" i="79"/>
  <c r="B73" i="79"/>
  <c r="Z72" i="79"/>
  <c r="X72" i="79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J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X64" i="79"/>
  <c r="T64" i="79"/>
  <c r="P64" i="79"/>
  <c r="H64" i="79"/>
  <c r="N64" i="79" s="1"/>
  <c r="D64" i="79"/>
  <c r="B64" i="79"/>
  <c r="Z63" i="79"/>
  <c r="X63" i="79"/>
  <c r="N63" i="79"/>
  <c r="L63" i="79"/>
  <c r="B63" i="79"/>
  <c r="T62" i="79"/>
  <c r="Z62" i="79" s="1"/>
  <c r="P62" i="79"/>
  <c r="X62" i="79" s="1"/>
  <c r="N62" i="79"/>
  <c r="H62" i="79"/>
  <c r="D62" i="79"/>
  <c r="L62" i="79" s="1"/>
  <c r="B62" i="79"/>
  <c r="Z61" i="79"/>
  <c r="X61" i="79"/>
  <c r="N61" i="79"/>
  <c r="L61" i="79"/>
  <c r="J61" i="79"/>
  <c r="B61" i="79"/>
  <c r="Z60" i="79"/>
  <c r="X60" i="79"/>
  <c r="N60" i="79"/>
  <c r="L60" i="79"/>
  <c r="B60" i="79"/>
  <c r="Z59" i="79"/>
  <c r="X59" i="79"/>
  <c r="N59" i="79"/>
  <c r="L59" i="79"/>
  <c r="B59" i="79"/>
  <c r="Z58" i="79"/>
  <c r="X58" i="79"/>
  <c r="N58" i="79"/>
  <c r="L58" i="79"/>
  <c r="B58" i="79"/>
  <c r="T57" i="79"/>
  <c r="P57" i="79"/>
  <c r="X57" i="79" s="1"/>
  <c r="H57" i="79"/>
  <c r="D57" i="79"/>
  <c r="L57" i="79" s="1"/>
  <c r="N57" i="79" s="1"/>
  <c r="B57" i="79"/>
  <c r="Z56" i="79"/>
  <c r="X56" i="79"/>
  <c r="N56" i="79"/>
  <c r="L56" i="79"/>
  <c r="B56" i="79"/>
  <c r="Z55" i="79"/>
  <c r="X55" i="79"/>
  <c r="N55" i="79"/>
  <c r="L55" i="79"/>
  <c r="B55" i="79"/>
  <c r="T54" i="79"/>
  <c r="P54" i="79"/>
  <c r="N54" i="79"/>
  <c r="H54" i="79"/>
  <c r="D54" i="79"/>
  <c r="L54" i="79" s="1"/>
  <c r="B54" i="79"/>
  <c r="Z53" i="79"/>
  <c r="X53" i="79"/>
  <c r="N53" i="79"/>
  <c r="L53" i="79"/>
  <c r="B53" i="79"/>
  <c r="T52" i="79"/>
  <c r="P52" i="79"/>
  <c r="X52" i="79" s="1"/>
  <c r="Z52" i="79" s="1"/>
  <c r="L52" i="79"/>
  <c r="N52" i="79" s="1"/>
  <c r="H52" i="79"/>
  <c r="D52" i="79"/>
  <c r="B52" i="79"/>
  <c r="Z51" i="79"/>
  <c r="X51" i="79"/>
  <c r="N51" i="79"/>
  <c r="L51" i="79"/>
  <c r="B51" i="79"/>
  <c r="Z50" i="79"/>
  <c r="X50" i="79"/>
  <c r="T50" i="79"/>
  <c r="P50" i="79"/>
  <c r="H50" i="79"/>
  <c r="N50" i="79" s="1"/>
  <c r="D50" i="79"/>
  <c r="B50" i="79"/>
  <c r="Z49" i="79"/>
  <c r="X49" i="79"/>
  <c r="N49" i="79"/>
  <c r="L49" i="79"/>
  <c r="B49" i="79"/>
  <c r="T48" i="79"/>
  <c r="P48" i="79"/>
  <c r="H48" i="79"/>
  <c r="N48" i="79" s="1"/>
  <c r="D48" i="79"/>
  <c r="L48" i="79" s="1"/>
  <c r="B48" i="79"/>
  <c r="Z47" i="79"/>
  <c r="X47" i="79"/>
  <c r="N47" i="79"/>
  <c r="L47" i="79"/>
  <c r="J47" i="79"/>
  <c r="B47" i="79"/>
  <c r="T46" i="79"/>
  <c r="Z46" i="79" s="1"/>
  <c r="P46" i="79"/>
  <c r="N46" i="79"/>
  <c r="H46" i="79"/>
  <c r="D46" i="79"/>
  <c r="L46" i="79" s="1"/>
  <c r="B46" i="79"/>
  <c r="Z45" i="79"/>
  <c r="X45" i="79"/>
  <c r="N45" i="79"/>
  <c r="L45" i="79"/>
  <c r="B45" i="79"/>
  <c r="Z44" i="79"/>
  <c r="X44" i="79"/>
  <c r="L44" i="79"/>
  <c r="N44" i="79" s="1"/>
  <c r="B44" i="79"/>
  <c r="T43" i="79"/>
  <c r="P43" i="79"/>
  <c r="X43" i="79" s="1"/>
  <c r="Z43" i="79" s="1"/>
  <c r="N43" i="79"/>
  <c r="L43" i="79"/>
  <c r="H43" i="79"/>
  <c r="D43" i="79"/>
  <c r="B43" i="79"/>
  <c r="Z42" i="79"/>
  <c r="X42" i="79"/>
  <c r="N42" i="79"/>
  <c r="L42" i="79"/>
  <c r="B42" i="79"/>
  <c r="Z41" i="79"/>
  <c r="X41" i="79"/>
  <c r="T41" i="79"/>
  <c r="P41" i="79"/>
  <c r="N41" i="79"/>
  <c r="H41" i="79"/>
  <c r="L41" i="79" s="1"/>
  <c r="D41" i="79"/>
  <c r="B41" i="79"/>
  <c r="Z40" i="79"/>
  <c r="X40" i="79"/>
  <c r="N40" i="79"/>
  <c r="L40" i="79"/>
  <c r="B40" i="79"/>
  <c r="Z39" i="79"/>
  <c r="T39" i="79"/>
  <c r="X39" i="79" s="1"/>
  <c r="P39" i="79"/>
  <c r="H39" i="79"/>
  <c r="N39" i="79" s="1"/>
  <c r="D39" i="79"/>
  <c r="L39" i="79" s="1"/>
  <c r="B39" i="79"/>
  <c r="Z38" i="79"/>
  <c r="X38" i="79"/>
  <c r="N38" i="79"/>
  <c r="L38" i="79"/>
  <c r="B38" i="79"/>
  <c r="V37" i="79"/>
  <c r="T37" i="79"/>
  <c r="Z37" i="79" s="1"/>
  <c r="P37" i="79"/>
  <c r="X37" i="79" s="1"/>
  <c r="N37" i="79"/>
  <c r="H37" i="79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X32" i="79"/>
  <c r="T32" i="79"/>
  <c r="Z32" i="79" s="1"/>
  <c r="P32" i="79"/>
  <c r="H32" i="79"/>
  <c r="N32" i="79" s="1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V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N24" i="79"/>
  <c r="L24" i="79"/>
  <c r="B24" i="79"/>
  <c r="T23" i="79"/>
  <c r="P23" i="79"/>
  <c r="X23" i="79" s="1"/>
  <c r="Z23" i="79" s="1"/>
  <c r="N23" i="79"/>
  <c r="L23" i="79"/>
  <c r="H23" i="79"/>
  <c r="D23" i="79"/>
  <c r="B23" i="79"/>
  <c r="T22" i="79" a="1"/>
  <c r="T22" i="79" s="1"/>
  <c r="P22" i="79" a="1"/>
  <c r="P22" i="79"/>
  <c r="H22" i="79" a="1"/>
  <c r="H22" i="79" s="1"/>
  <c r="D22" i="79" a="1"/>
  <c r="D22" i="79" s="1"/>
  <c r="L22" i="79" s="1"/>
  <c r="Z18" i="79"/>
  <c r="X18" i="79"/>
  <c r="N18" i="79"/>
  <c r="L18" i="79"/>
  <c r="B18" i="79"/>
  <c r="X17" i="79"/>
  <c r="Z17" i="79" s="1"/>
  <c r="N17" i="79"/>
  <c r="L17" i="79"/>
  <c r="J17" i="79"/>
  <c r="B17" i="79"/>
  <c r="Z16" i="79"/>
  <c r="X16" i="79"/>
  <c r="T16" i="79"/>
  <c r="P16" i="79"/>
  <c r="H16" i="79"/>
  <c r="N16" i="79" s="1"/>
  <c r="D16" i="79"/>
  <c r="Z14" i="79"/>
  <c r="X14" i="79"/>
  <c r="T14" i="79"/>
  <c r="P14" i="79"/>
  <c r="N14" i="79"/>
  <c r="L14" i="79"/>
  <c r="H14" i="79"/>
  <c r="D14" i="79"/>
  <c r="B14" i="79"/>
  <c r="Z13" i="79"/>
  <c r="T13" i="79"/>
  <c r="P13" i="79"/>
  <c r="X13" i="79" s="1"/>
  <c r="N13" i="79"/>
  <c r="H13" i="79"/>
  <c r="D13" i="79"/>
  <c r="L13" i="79" s="1"/>
  <c r="B13" i="79"/>
  <c r="T12" i="79"/>
  <c r="P12" i="79"/>
  <c r="R66" i="79" s="1"/>
  <c r="H12" i="79"/>
  <c r="J81" i="79" s="1"/>
  <c r="D6" i="79"/>
  <c r="D4" i="79"/>
  <c r="Z32" i="78"/>
  <c r="X32" i="78"/>
  <c r="N32" i="78"/>
  <c r="L32" i="78"/>
  <c r="T28" i="78"/>
  <c r="Z28" i="78" s="1"/>
  <c r="P28" i="78"/>
  <c r="N28" i="78"/>
  <c r="H28" i="78"/>
  <c r="D28" i="78"/>
  <c r="L28" i="78" s="1"/>
  <c r="Z26" i="78"/>
  <c r="X26" i="78"/>
  <c r="L26" i="78"/>
  <c r="N26" i="78" s="1"/>
  <c r="B26" i="78"/>
  <c r="Z25" i="78"/>
  <c r="T25" i="78"/>
  <c r="P25" i="78"/>
  <c r="X25" i="78" s="1"/>
  <c r="L25" i="78"/>
  <c r="N25" i="78" s="1"/>
  <c r="H25" i="78"/>
  <c r="D25" i="78"/>
  <c r="B25" i="78"/>
  <c r="Z24" i="78"/>
  <c r="X24" i="78"/>
  <c r="L24" i="78"/>
  <c r="N24" i="78" s="1"/>
  <c r="B24" i="78"/>
  <c r="X23" i="78"/>
  <c r="Z23" i="78" s="1"/>
  <c r="T23" i="78"/>
  <c r="P23" i="78"/>
  <c r="H23" i="78"/>
  <c r="D23" i="78"/>
  <c r="B23" i="78"/>
  <c r="T22" i="78" a="1"/>
  <c r="T22" i="78"/>
  <c r="P22" i="78" a="1"/>
  <c r="P22" i="78"/>
  <c r="H22" i="78" a="1"/>
  <c r="H22" i="78" s="1"/>
  <c r="J22" i="78" s="1"/>
  <c r="D22" i="78" a="1"/>
  <c r="D22" i="78"/>
  <c r="Z18" i="78"/>
  <c r="X18" i="78"/>
  <c r="L18" i="78"/>
  <c r="N18" i="78" s="1"/>
  <c r="B18" i="78"/>
  <c r="Z17" i="78"/>
  <c r="X17" i="78"/>
  <c r="N17" i="78"/>
  <c r="L17" i="78"/>
  <c r="B17" i="78"/>
  <c r="X16" i="78"/>
  <c r="T16" i="78"/>
  <c r="Z16" i="78" s="1"/>
  <c r="P16" i="78"/>
  <c r="L16" i="78"/>
  <c r="N16" i="78" s="1"/>
  <c r="H16" i="78"/>
  <c r="D16" i="78"/>
  <c r="T14" i="78"/>
  <c r="P14" i="78"/>
  <c r="L14" i="78"/>
  <c r="H14" i="78"/>
  <c r="N14" i="78" s="1"/>
  <c r="D14" i="78"/>
  <c r="B14" i="78"/>
  <c r="X13" i="78"/>
  <c r="T13" i="78"/>
  <c r="P13" i="78"/>
  <c r="N13" i="78"/>
  <c r="H13" i="78"/>
  <c r="D13" i="78"/>
  <c r="B13" i="78"/>
  <c r="H12" i="78"/>
  <c r="J25" i="78" s="1"/>
  <c r="D6" i="78"/>
  <c r="D4" i="78"/>
  <c r="X112" i="77"/>
  <c r="Z112" i="77" s="1"/>
  <c r="N112" i="77"/>
  <c r="L112" i="77"/>
  <c r="Z108" i="77"/>
  <c r="T108" i="77"/>
  <c r="P108" i="77"/>
  <c r="X108" i="77" s="1"/>
  <c r="N108" i="77"/>
  <c r="H108" i="77"/>
  <c r="D108" i="77"/>
  <c r="L108" i="77" s="1"/>
  <c r="X106" i="77"/>
  <c r="Z106" i="77" s="1"/>
  <c r="N106" i="77"/>
  <c r="L106" i="77"/>
  <c r="B106" i="77"/>
  <c r="T105" i="77"/>
  <c r="P105" i="77"/>
  <c r="H105" i="77"/>
  <c r="D105" i="77"/>
  <c r="L105" i="77" s="1"/>
  <c r="N105" i="77" s="1"/>
  <c r="B105" i="77"/>
  <c r="X104" i="77"/>
  <c r="Z104" i="77" s="1"/>
  <c r="L104" i="77"/>
  <c r="N104" i="77" s="1"/>
  <c r="B104" i="77"/>
  <c r="T103" i="77"/>
  <c r="P103" i="77"/>
  <c r="X103" i="77" s="1"/>
  <c r="Z103" i="77" s="1"/>
  <c r="L103" i="77"/>
  <c r="H103" i="77"/>
  <c r="N103" i="77" s="1"/>
  <c r="D103" i="77"/>
  <c r="B103" i="77"/>
  <c r="Z102" i="77"/>
  <c r="X102" i="77"/>
  <c r="L102" i="77"/>
  <c r="N102" i="77" s="1"/>
  <c r="B102" i="77"/>
  <c r="X101" i="77"/>
  <c r="T101" i="77"/>
  <c r="P101" i="77"/>
  <c r="H101" i="77"/>
  <c r="D101" i="77"/>
  <c r="B101" i="77"/>
  <c r="Z100" i="77"/>
  <c r="X100" i="77"/>
  <c r="N100" i="77"/>
  <c r="L100" i="77"/>
  <c r="B100" i="77"/>
  <c r="X99" i="77"/>
  <c r="Z99" i="77" s="1"/>
  <c r="N99" i="77"/>
  <c r="L99" i="77"/>
  <c r="B99" i="77"/>
  <c r="Z98" i="77"/>
  <c r="X98" i="77"/>
  <c r="N98" i="77"/>
  <c r="L98" i="77"/>
  <c r="B98" i="77"/>
  <c r="X97" i="77"/>
  <c r="Z97" i="77" s="1"/>
  <c r="N97" i="77"/>
  <c r="L97" i="77"/>
  <c r="B97" i="77"/>
  <c r="T96" i="77"/>
  <c r="P96" i="77"/>
  <c r="H96" i="77"/>
  <c r="D96" i="77"/>
  <c r="L96" i="77" s="1"/>
  <c r="N96" i="77" s="1"/>
  <c r="B96" i="77"/>
  <c r="X95" i="77"/>
  <c r="Z95" i="77" s="1"/>
  <c r="N95" i="77"/>
  <c r="L95" i="77"/>
  <c r="B95" i="77"/>
  <c r="Z94" i="77"/>
  <c r="X94" i="77"/>
  <c r="N94" i="77"/>
  <c r="L94" i="77"/>
  <c r="B94" i="77"/>
  <c r="X93" i="77"/>
  <c r="T93" i="77"/>
  <c r="Z93" i="77" s="1"/>
  <c r="P93" i="77"/>
  <c r="L93" i="77"/>
  <c r="H93" i="77"/>
  <c r="D93" i="77"/>
  <c r="B93" i="77"/>
  <c r="X92" i="77"/>
  <c r="Z92" i="77" s="1"/>
  <c r="L92" i="77"/>
  <c r="N92" i="77" s="1"/>
  <c r="B92" i="77"/>
  <c r="X91" i="77"/>
  <c r="Z91" i="77" s="1"/>
  <c r="N91" i="77"/>
  <c r="L91" i="77"/>
  <c r="B91" i="77"/>
  <c r="Z90" i="77"/>
  <c r="X90" i="77"/>
  <c r="N90" i="77"/>
  <c r="L90" i="77"/>
  <c r="B90" i="77"/>
  <c r="X89" i="77"/>
  <c r="T89" i="77"/>
  <c r="P89" i="77"/>
  <c r="H89" i="77"/>
  <c r="D89" i="77"/>
  <c r="B89" i="77"/>
  <c r="X88" i="77"/>
  <c r="Z88" i="77" s="1"/>
  <c r="N88" i="77"/>
  <c r="L88" i="77"/>
  <c r="B88" i="77"/>
  <c r="X87" i="77"/>
  <c r="Z87" i="77" s="1"/>
  <c r="N87" i="77"/>
  <c r="L87" i="77"/>
  <c r="B87" i="77"/>
  <c r="Z86" i="77"/>
  <c r="X86" i="77"/>
  <c r="N86" i="77"/>
  <c r="L86" i="77"/>
  <c r="B86" i="77"/>
  <c r="X85" i="77"/>
  <c r="T85" i="77"/>
  <c r="P85" i="77"/>
  <c r="H85" i="77"/>
  <c r="N85" i="77" s="1"/>
  <c r="D85" i="77"/>
  <c r="B85" i="77"/>
  <c r="X84" i="77"/>
  <c r="Z84" i="77" s="1"/>
  <c r="L84" i="77"/>
  <c r="N84" i="77" s="1"/>
  <c r="B84" i="77"/>
  <c r="T83" i="77"/>
  <c r="P83" i="77"/>
  <c r="L83" i="77"/>
  <c r="H83" i="77"/>
  <c r="N83" i="77" s="1"/>
  <c r="D83" i="77"/>
  <c r="B83" i="77"/>
  <c r="Z82" i="77"/>
  <c r="X82" i="77"/>
  <c r="N82" i="77"/>
  <c r="L82" i="77"/>
  <c r="B82" i="77"/>
  <c r="T81" i="77"/>
  <c r="Z81" i="77" s="1"/>
  <c r="P81" i="77"/>
  <c r="X81" i="77" s="1"/>
  <c r="H81" i="77"/>
  <c r="N81" i="77" s="1"/>
  <c r="D81" i="77"/>
  <c r="L81" i="77" s="1"/>
  <c r="B81" i="77"/>
  <c r="X80" i="77"/>
  <c r="Z80" i="77" s="1"/>
  <c r="N80" i="77"/>
  <c r="L80" i="77"/>
  <c r="B80" i="77"/>
  <c r="Z79" i="77"/>
  <c r="T79" i="77"/>
  <c r="P79" i="77"/>
  <c r="X79" i="77" s="1"/>
  <c r="H79" i="77"/>
  <c r="D79" i="77"/>
  <c r="L79" i="77" s="1"/>
  <c r="B79" i="77"/>
  <c r="Z78" i="77"/>
  <c r="X78" i="77"/>
  <c r="L78" i="77"/>
  <c r="N78" i="77" s="1"/>
  <c r="B78" i="77"/>
  <c r="T77" i="77"/>
  <c r="P77" i="77"/>
  <c r="X77" i="77" s="1"/>
  <c r="H77" i="77"/>
  <c r="L77" i="77" s="1"/>
  <c r="N77" i="77" s="1"/>
  <c r="D77" i="77"/>
  <c r="B77" i="77"/>
  <c r="X76" i="77"/>
  <c r="Z76" i="77" s="1"/>
  <c r="L76" i="77"/>
  <c r="N76" i="77" s="1"/>
  <c r="B76" i="77"/>
  <c r="T75" i="77"/>
  <c r="P75" i="77"/>
  <c r="H75" i="77"/>
  <c r="D75" i="77"/>
  <c r="L75" i="77" s="1"/>
  <c r="N75" i="77" s="1"/>
  <c r="B75" i="77"/>
  <c r="Z74" i="77"/>
  <c r="X74" i="77"/>
  <c r="N74" i="77"/>
  <c r="L74" i="77"/>
  <c r="B74" i="77"/>
  <c r="T73" i="77"/>
  <c r="Z73" i="77" s="1"/>
  <c r="P73" i="77"/>
  <c r="H73" i="77"/>
  <c r="N73" i="77" s="1"/>
  <c r="D73" i="77"/>
  <c r="B73" i="77"/>
  <c r="Z72" i="77"/>
  <c r="X72" i="77"/>
  <c r="L72" i="77"/>
  <c r="N72" i="77" s="1"/>
  <c r="B72" i="77"/>
  <c r="T71" i="77"/>
  <c r="Z71" i="77" s="1"/>
  <c r="P71" i="77"/>
  <c r="X71" i="77" s="1"/>
  <c r="H71" i="77"/>
  <c r="D71" i="77"/>
  <c r="L71" i="77" s="1"/>
  <c r="B71" i="77"/>
  <c r="X70" i="77"/>
  <c r="Z70" i="77" s="1"/>
  <c r="N70" i="77"/>
  <c r="L70" i="77"/>
  <c r="B70" i="77"/>
  <c r="T69" i="77"/>
  <c r="P69" i="77"/>
  <c r="X69" i="77" s="1"/>
  <c r="H69" i="77"/>
  <c r="D69" i="77"/>
  <c r="L69" i="77" s="1"/>
  <c r="B69" i="77"/>
  <c r="Z68" i="77"/>
  <c r="X68" i="77"/>
  <c r="N68" i="77"/>
  <c r="L68" i="77"/>
  <c r="B68" i="77"/>
  <c r="T67" i="77"/>
  <c r="P67" i="77"/>
  <c r="X67" i="77" s="1"/>
  <c r="L67" i="77"/>
  <c r="H67" i="77"/>
  <c r="N67" i="77" s="1"/>
  <c r="D67" i="77"/>
  <c r="B67" i="77"/>
  <c r="Z66" i="77"/>
  <c r="X66" i="77"/>
  <c r="L66" i="77"/>
  <c r="N66" i="77" s="1"/>
  <c r="B66" i="77"/>
  <c r="X65" i="77"/>
  <c r="Z65" i="77" s="1"/>
  <c r="L65" i="77"/>
  <c r="N65" i="77" s="1"/>
  <c r="B65" i="77"/>
  <c r="Z64" i="77"/>
  <c r="X64" i="77"/>
  <c r="N64" i="77"/>
  <c r="L64" i="77"/>
  <c r="B64" i="77"/>
  <c r="X63" i="77"/>
  <c r="Z63" i="77" s="1"/>
  <c r="L63" i="77"/>
  <c r="N63" i="77" s="1"/>
  <c r="B63" i="77"/>
  <c r="X62" i="77"/>
  <c r="Z62" i="77" s="1"/>
  <c r="N62" i="77"/>
  <c r="L62" i="77"/>
  <c r="B62" i="77"/>
  <c r="X61" i="77"/>
  <c r="Z61" i="77" s="1"/>
  <c r="L61" i="77"/>
  <c r="N61" i="77" s="1"/>
  <c r="B61" i="77"/>
  <c r="Z60" i="77"/>
  <c r="X60" i="77"/>
  <c r="T60" i="77"/>
  <c r="P60" i="77"/>
  <c r="H60" i="77"/>
  <c r="D60" i="77"/>
  <c r="B60" i="77"/>
  <c r="X59" i="77"/>
  <c r="Z59" i="77" s="1"/>
  <c r="L59" i="77"/>
  <c r="N59" i="77" s="1"/>
  <c r="B59" i="77"/>
  <c r="X58" i="77"/>
  <c r="Z58" i="77" s="1"/>
  <c r="N58" i="77"/>
  <c r="L58" i="77"/>
  <c r="B58" i="77"/>
  <c r="X57" i="77"/>
  <c r="Z57" i="77" s="1"/>
  <c r="L57" i="77"/>
  <c r="N57" i="77" s="1"/>
  <c r="B57" i="77"/>
  <c r="Z56" i="77"/>
  <c r="X56" i="77"/>
  <c r="N56" i="77"/>
  <c r="L56" i="77"/>
  <c r="B56" i="77"/>
  <c r="X55" i="77"/>
  <c r="Z55" i="77" s="1"/>
  <c r="L55" i="77"/>
  <c r="N55" i="77" s="1"/>
  <c r="B55" i="77"/>
  <c r="Z54" i="77"/>
  <c r="X54" i="77"/>
  <c r="L54" i="77"/>
  <c r="N54" i="77" s="1"/>
  <c r="B54" i="77"/>
  <c r="X53" i="77"/>
  <c r="Z53" i="77" s="1"/>
  <c r="L53" i="77"/>
  <c r="N53" i="77" s="1"/>
  <c r="B53" i="77"/>
  <c r="Z52" i="77"/>
  <c r="X52" i="77"/>
  <c r="N52" i="77"/>
  <c r="L52" i="77"/>
  <c r="B52" i="77"/>
  <c r="T51" i="77"/>
  <c r="Z51" i="77" s="1"/>
  <c r="P51" i="77"/>
  <c r="X51" i="77" s="1"/>
  <c r="L51" i="77"/>
  <c r="H51" i="77"/>
  <c r="N51" i="77" s="1"/>
  <c r="D51" i="77"/>
  <c r="B51" i="77"/>
  <c r="T50" i="77" a="1"/>
  <c r="T50" i="77"/>
  <c r="P50" i="77" a="1"/>
  <c r="P50" i="77" s="1"/>
  <c r="H50" i="77" a="1"/>
  <c r="H50" i="77" s="1"/>
  <c r="D50" i="77" a="1"/>
  <c r="D50" i="77" s="1"/>
  <c r="Z46" i="77"/>
  <c r="X46" i="77"/>
  <c r="N46" i="77"/>
  <c r="L46" i="77"/>
  <c r="B46" i="77"/>
  <c r="X45" i="77"/>
  <c r="Z45" i="77" s="1"/>
  <c r="L45" i="77"/>
  <c r="N45" i="77" s="1"/>
  <c r="B45" i="77"/>
  <c r="Z44" i="77"/>
  <c r="X44" i="77"/>
  <c r="N44" i="77"/>
  <c r="L44" i="77"/>
  <c r="B44" i="77"/>
  <c r="X43" i="77"/>
  <c r="Z43" i="77" s="1"/>
  <c r="N43" i="77"/>
  <c r="L43" i="77"/>
  <c r="B43" i="77"/>
  <c r="Z42" i="77"/>
  <c r="X42" i="77"/>
  <c r="N42" i="77"/>
  <c r="L42" i="77"/>
  <c r="B42" i="77"/>
  <c r="X41" i="77"/>
  <c r="Z41" i="77" s="1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T38" i="77"/>
  <c r="P38" i="77"/>
  <c r="H38" i="77"/>
  <c r="D38" i="77"/>
  <c r="L38" i="77" s="1"/>
  <c r="N38" i="77" s="1"/>
  <c r="T36" i="77"/>
  <c r="Z36" i="77" s="1"/>
  <c r="P36" i="77"/>
  <c r="X36" i="77" s="1"/>
  <c r="H36" i="77"/>
  <c r="N36" i="77" s="1"/>
  <c r="D36" i="77"/>
  <c r="L36" i="77" s="1"/>
  <c r="B36" i="77"/>
  <c r="X35" i="77"/>
  <c r="T35" i="77"/>
  <c r="Z35" i="77" s="1"/>
  <c r="P35" i="77"/>
  <c r="L35" i="77"/>
  <c r="H35" i="77"/>
  <c r="N35" i="77" s="1"/>
  <c r="D35" i="77"/>
  <c r="B35" i="77"/>
  <c r="T34" i="77"/>
  <c r="P34" i="77"/>
  <c r="X34" i="77" s="1"/>
  <c r="Z34" i="77" s="1"/>
  <c r="N34" i="77"/>
  <c r="H34" i="77"/>
  <c r="L34" i="77" s="1"/>
  <c r="D34" i="77"/>
  <c r="B34" i="77"/>
  <c r="T33" i="77"/>
  <c r="P33" i="77"/>
  <c r="X33" i="77" s="1"/>
  <c r="N33" i="77"/>
  <c r="H33" i="77"/>
  <c r="D33" i="77"/>
  <c r="L33" i="77" s="1"/>
  <c r="B33" i="77"/>
  <c r="T32" i="77"/>
  <c r="Z32" i="77" s="1"/>
  <c r="P32" i="77"/>
  <c r="X32" i="77" s="1"/>
  <c r="H32" i="77"/>
  <c r="N32" i="77" s="1"/>
  <c r="D32" i="77"/>
  <c r="L32" i="77" s="1"/>
  <c r="B32" i="77"/>
  <c r="X31" i="77"/>
  <c r="T31" i="77"/>
  <c r="Z31" i="77" s="1"/>
  <c r="P31" i="77"/>
  <c r="L31" i="77"/>
  <c r="H31" i="77"/>
  <c r="N31" i="77" s="1"/>
  <c r="D31" i="77"/>
  <c r="B31" i="77"/>
  <c r="T30" i="77"/>
  <c r="X30" i="77" s="1"/>
  <c r="Z30" i="77" s="1"/>
  <c r="P30" i="77"/>
  <c r="N30" i="77"/>
  <c r="H30" i="77"/>
  <c r="D30" i="77"/>
  <c r="L30" i="77" s="1"/>
  <c r="B30" i="77"/>
  <c r="T29" i="77"/>
  <c r="P29" i="77"/>
  <c r="X29" i="77" s="1"/>
  <c r="Z29" i="77" s="1"/>
  <c r="H29" i="77"/>
  <c r="N29" i="77" s="1"/>
  <c r="D29" i="77"/>
  <c r="L29" i="77" s="1"/>
  <c r="B29" i="77"/>
  <c r="T28" i="77"/>
  <c r="Z28" i="77" s="1"/>
  <c r="P28" i="77"/>
  <c r="X28" i="77" s="1"/>
  <c r="H28" i="77"/>
  <c r="N28" i="77" s="1"/>
  <c r="D28" i="77"/>
  <c r="L28" i="77" s="1"/>
  <c r="B28" i="77"/>
  <c r="X27" i="77"/>
  <c r="T27" i="77"/>
  <c r="Z27" i="77" s="1"/>
  <c r="P27" i="77"/>
  <c r="L27" i="77"/>
  <c r="H27" i="77"/>
  <c r="N27" i="77" s="1"/>
  <c r="D27" i="77"/>
  <c r="B27" i="77"/>
  <c r="T26" i="77"/>
  <c r="P26" i="77"/>
  <c r="X26" i="77" s="1"/>
  <c r="Z26" i="77" s="1"/>
  <c r="N26" i="77"/>
  <c r="H26" i="77"/>
  <c r="L26" i="77" s="1"/>
  <c r="D26" i="77"/>
  <c r="B26" i="77"/>
  <c r="T25" i="77"/>
  <c r="P25" i="77"/>
  <c r="X25" i="77" s="1"/>
  <c r="N25" i="77"/>
  <c r="H25" i="77"/>
  <c r="D25" i="77"/>
  <c r="L25" i="77" s="1"/>
  <c r="B25" i="77"/>
  <c r="T24" i="77"/>
  <c r="P24" i="77"/>
  <c r="H24" i="77"/>
  <c r="D24" i="77"/>
  <c r="L24" i="77" s="1"/>
  <c r="B24" i="77"/>
  <c r="X23" i="77"/>
  <c r="T23" i="77"/>
  <c r="Z23" i="77" s="1"/>
  <c r="P23" i="77"/>
  <c r="L23" i="77"/>
  <c r="H23" i="77"/>
  <c r="N23" i="77" s="1"/>
  <c r="D23" i="77"/>
  <c r="B23" i="77"/>
  <c r="T22" i="77"/>
  <c r="X22" i="77" s="1"/>
  <c r="Z22" i="77" s="1"/>
  <c r="P22" i="77"/>
  <c r="N22" i="77"/>
  <c r="H22" i="77"/>
  <c r="D22" i="77"/>
  <c r="L22" i="77" s="1"/>
  <c r="B22" i="77"/>
  <c r="T21" i="77"/>
  <c r="P21" i="77"/>
  <c r="X21" i="77" s="1"/>
  <c r="Z21" i="77" s="1"/>
  <c r="H21" i="77"/>
  <c r="N21" i="77" s="1"/>
  <c r="D21" i="77"/>
  <c r="L21" i="77" s="1"/>
  <c r="B21" i="77"/>
  <c r="T20" i="77"/>
  <c r="Z20" i="77" s="1"/>
  <c r="P20" i="77"/>
  <c r="X20" i="77" s="1"/>
  <c r="H20" i="77"/>
  <c r="D20" i="77"/>
  <c r="L20" i="77" s="1"/>
  <c r="B20" i="77"/>
  <c r="X19" i="77"/>
  <c r="T19" i="77"/>
  <c r="Z19" i="77" s="1"/>
  <c r="P19" i="77"/>
  <c r="L19" i="77"/>
  <c r="H19" i="77"/>
  <c r="D19" i="77"/>
  <c r="B19" i="77"/>
  <c r="T18" i="77"/>
  <c r="P18" i="77"/>
  <c r="X18" i="77" s="1"/>
  <c r="Z18" i="77" s="1"/>
  <c r="N18" i="77"/>
  <c r="H18" i="77"/>
  <c r="L18" i="77" s="1"/>
  <c r="D18" i="77"/>
  <c r="B18" i="77"/>
  <c r="T17" i="77"/>
  <c r="P17" i="77"/>
  <c r="X17" i="77" s="1"/>
  <c r="H17" i="77"/>
  <c r="D17" i="77"/>
  <c r="L17" i="77" s="1"/>
  <c r="N17" i="77" s="1"/>
  <c r="B17" i="77"/>
  <c r="T16" i="77"/>
  <c r="P16" i="77"/>
  <c r="X16" i="77" s="1"/>
  <c r="H16" i="77"/>
  <c r="N16" i="77" s="1"/>
  <c r="D16" i="77"/>
  <c r="L16" i="77" s="1"/>
  <c r="B16" i="77"/>
  <c r="X15" i="77"/>
  <c r="T15" i="77"/>
  <c r="Z15" i="77" s="1"/>
  <c r="P15" i="77"/>
  <c r="L15" i="77"/>
  <c r="H15" i="77"/>
  <c r="N15" i="77" s="1"/>
  <c r="D15" i="77"/>
  <c r="B15" i="77"/>
  <c r="T14" i="77"/>
  <c r="X14" i="77" s="1"/>
  <c r="Z14" i="77" s="1"/>
  <c r="P14" i="77"/>
  <c r="H14" i="77"/>
  <c r="D14" i="77"/>
  <c r="L14" i="77" s="1"/>
  <c r="N14" i="77" s="1"/>
  <c r="B14" i="77"/>
  <c r="T13" i="77"/>
  <c r="P13" i="77"/>
  <c r="X13" i="77" s="1"/>
  <c r="Z13" i="77" s="1"/>
  <c r="H13" i="77"/>
  <c r="D13" i="77"/>
  <c r="B13" i="77"/>
  <c r="H12" i="77"/>
  <c r="D6" i="77"/>
  <c r="D4" i="77"/>
  <c r="Z79" i="76"/>
  <c r="X79" i="76"/>
  <c r="N79" i="76"/>
  <c r="L79" i="76"/>
  <c r="Z75" i="76"/>
  <c r="X75" i="76"/>
  <c r="T75" i="76"/>
  <c r="P75" i="76"/>
  <c r="H75" i="76"/>
  <c r="N75" i="76" s="1"/>
  <c r="D75" i="76"/>
  <c r="Z73" i="76"/>
  <c r="X73" i="76"/>
  <c r="N73" i="76"/>
  <c r="L73" i="76"/>
  <c r="B73" i="76"/>
  <c r="T72" i="76"/>
  <c r="P72" i="76"/>
  <c r="L72" i="76"/>
  <c r="H72" i="76"/>
  <c r="D72" i="76"/>
  <c r="B72" i="76"/>
  <c r="Z71" i="76"/>
  <c r="X71" i="76"/>
  <c r="N71" i="76"/>
  <c r="L71" i="76"/>
  <c r="B71" i="76"/>
  <c r="X70" i="76"/>
  <c r="T70" i="76"/>
  <c r="Z70" i="76" s="1"/>
  <c r="P70" i="76"/>
  <c r="H70" i="76"/>
  <c r="D70" i="76"/>
  <c r="B70" i="76"/>
  <c r="Z69" i="76"/>
  <c r="X69" i="76"/>
  <c r="N69" i="76"/>
  <c r="L69" i="76"/>
  <c r="B69" i="76"/>
  <c r="T68" i="76"/>
  <c r="P68" i="76"/>
  <c r="L68" i="76"/>
  <c r="H68" i="76"/>
  <c r="D68" i="76"/>
  <c r="B68" i="76"/>
  <c r="Z67" i="76"/>
  <c r="X67" i="76"/>
  <c r="N67" i="76"/>
  <c r="L67" i="76"/>
  <c r="B67" i="76"/>
  <c r="Z66" i="76"/>
  <c r="X66" i="76"/>
  <c r="N66" i="76"/>
  <c r="L66" i="76"/>
  <c r="B66" i="76"/>
  <c r="Z65" i="76"/>
  <c r="X65" i="76"/>
  <c r="V65" i="76"/>
  <c r="N65" i="76"/>
  <c r="L65" i="76"/>
  <c r="B65" i="76"/>
  <c r="X64" i="76"/>
  <c r="Z64" i="76" s="1"/>
  <c r="N64" i="76"/>
  <c r="L64" i="76"/>
  <c r="B64" i="76"/>
  <c r="Z63" i="76"/>
  <c r="X63" i="76"/>
  <c r="V63" i="76"/>
  <c r="N63" i="76"/>
  <c r="L63" i="76"/>
  <c r="J63" i="76"/>
  <c r="B63" i="76"/>
  <c r="X62" i="76"/>
  <c r="Z62" i="76" s="1"/>
  <c r="N62" i="76"/>
  <c r="L62" i="76"/>
  <c r="B62" i="76"/>
  <c r="Z61" i="76"/>
  <c r="T61" i="76"/>
  <c r="P61" i="76"/>
  <c r="X61" i="76" s="1"/>
  <c r="N61" i="76"/>
  <c r="H61" i="76"/>
  <c r="D61" i="76"/>
  <c r="L61" i="76" s="1"/>
  <c r="B61" i="76"/>
  <c r="Z60" i="76"/>
  <c r="X60" i="76"/>
  <c r="N60" i="76"/>
  <c r="L60" i="76"/>
  <c r="B60" i="76"/>
  <c r="Z59" i="76"/>
  <c r="X59" i="76"/>
  <c r="N59" i="76"/>
  <c r="L59" i="76"/>
  <c r="B59" i="76"/>
  <c r="X58" i="76"/>
  <c r="Z58" i="76" s="1"/>
  <c r="L58" i="76"/>
  <c r="N58" i="76" s="1"/>
  <c r="B58" i="76"/>
  <c r="Z57" i="76"/>
  <c r="X57" i="76"/>
  <c r="N57" i="76"/>
  <c r="L57" i="76"/>
  <c r="B57" i="76"/>
  <c r="T56" i="76"/>
  <c r="P56" i="76"/>
  <c r="X56" i="76" s="1"/>
  <c r="H56" i="76"/>
  <c r="D56" i="76"/>
  <c r="L56" i="76" s="1"/>
  <c r="B56" i="76"/>
  <c r="Z55" i="76"/>
  <c r="X55" i="76"/>
  <c r="V55" i="76"/>
  <c r="N55" i="76"/>
  <c r="L55" i="76"/>
  <c r="J55" i="76"/>
  <c r="B55" i="76"/>
  <c r="X54" i="76"/>
  <c r="Z54" i="76" s="1"/>
  <c r="N54" i="76"/>
  <c r="L54" i="76"/>
  <c r="B54" i="76"/>
  <c r="Z53" i="76"/>
  <c r="T53" i="76"/>
  <c r="P53" i="76"/>
  <c r="X53" i="76" s="1"/>
  <c r="N53" i="76"/>
  <c r="H53" i="76"/>
  <c r="D53" i="76"/>
  <c r="L53" i="76" s="1"/>
  <c r="B53" i="76"/>
  <c r="X52" i="76"/>
  <c r="Z52" i="76" s="1"/>
  <c r="L52" i="76"/>
  <c r="N52" i="76" s="1"/>
  <c r="B52" i="76"/>
  <c r="Z51" i="76"/>
  <c r="V51" i="76"/>
  <c r="T51" i="76"/>
  <c r="P51" i="76"/>
  <c r="X51" i="76" s="1"/>
  <c r="L51" i="76"/>
  <c r="N51" i="76" s="1"/>
  <c r="H51" i="76"/>
  <c r="D51" i="76"/>
  <c r="B51" i="76"/>
  <c r="X50" i="76"/>
  <c r="Z50" i="76" s="1"/>
  <c r="L50" i="76"/>
  <c r="N50" i="76" s="1"/>
  <c r="B50" i="76"/>
  <c r="Z49" i="76"/>
  <c r="X49" i="76"/>
  <c r="T49" i="76"/>
  <c r="P49" i="76"/>
  <c r="H49" i="76"/>
  <c r="D49" i="76"/>
  <c r="B49" i="76"/>
  <c r="X48" i="76"/>
  <c r="Z48" i="76" s="1"/>
  <c r="N48" i="76"/>
  <c r="L48" i="76"/>
  <c r="B48" i="76"/>
  <c r="V47" i="76"/>
  <c r="T47" i="76"/>
  <c r="P47" i="76"/>
  <c r="N47" i="76"/>
  <c r="H47" i="76"/>
  <c r="D47" i="76"/>
  <c r="L47" i="76" s="1"/>
  <c r="B47" i="76"/>
  <c r="X46" i="76"/>
  <c r="Z46" i="76" s="1"/>
  <c r="L46" i="76"/>
  <c r="N46" i="76" s="1"/>
  <c r="B46" i="76"/>
  <c r="Z45" i="76"/>
  <c r="T45" i="76"/>
  <c r="P45" i="76"/>
  <c r="X45" i="76" s="1"/>
  <c r="H45" i="76"/>
  <c r="D45" i="76"/>
  <c r="L45" i="76" s="1"/>
  <c r="N45" i="76" s="1"/>
  <c r="B45" i="76"/>
  <c r="Z44" i="76"/>
  <c r="X44" i="76"/>
  <c r="L44" i="76"/>
  <c r="N44" i="76" s="1"/>
  <c r="B44" i="76"/>
  <c r="Z43" i="76"/>
  <c r="X43" i="76"/>
  <c r="V43" i="76"/>
  <c r="L43" i="76"/>
  <c r="N43" i="76" s="1"/>
  <c r="B43" i="76"/>
  <c r="X42" i="76"/>
  <c r="T42" i="76"/>
  <c r="P42" i="76"/>
  <c r="N42" i="76"/>
  <c r="L42" i="76"/>
  <c r="H42" i="76"/>
  <c r="D42" i="76"/>
  <c r="B42" i="76"/>
  <c r="Z41" i="76"/>
  <c r="X41" i="76"/>
  <c r="V41" i="76"/>
  <c r="N41" i="76"/>
  <c r="L41" i="76"/>
  <c r="B41" i="76"/>
  <c r="T40" i="76"/>
  <c r="Z40" i="76" s="1"/>
  <c r="P40" i="76"/>
  <c r="J40" i="76"/>
  <c r="H40" i="76"/>
  <c r="N40" i="76" s="1"/>
  <c r="D40" i="76"/>
  <c r="B40" i="76"/>
  <c r="Z39" i="76"/>
  <c r="X39" i="76"/>
  <c r="V39" i="76"/>
  <c r="N39" i="76"/>
  <c r="L39" i="76"/>
  <c r="B39" i="76"/>
  <c r="V38" i="76"/>
  <c r="T38" i="76"/>
  <c r="Z38" i="76" s="1"/>
  <c r="P38" i="76"/>
  <c r="X38" i="76" s="1"/>
  <c r="H38" i="76"/>
  <c r="N38" i="76" s="1"/>
  <c r="D38" i="76"/>
  <c r="B38" i="76"/>
  <c r="Z37" i="76"/>
  <c r="X37" i="76"/>
  <c r="N37" i="76"/>
  <c r="L37" i="76"/>
  <c r="J37" i="76"/>
  <c r="B37" i="76"/>
  <c r="T36" i="76"/>
  <c r="Z36" i="76" s="1"/>
  <c r="P36" i="76"/>
  <c r="X36" i="76" s="1"/>
  <c r="L36" i="76"/>
  <c r="H36" i="76"/>
  <c r="N36" i="76" s="1"/>
  <c r="D36" i="76"/>
  <c r="B36" i="76"/>
  <c r="Z35" i="76"/>
  <c r="X35" i="76"/>
  <c r="V35" i="76"/>
  <c r="N35" i="76"/>
  <c r="L35" i="76"/>
  <c r="B35" i="76"/>
  <c r="Z34" i="76"/>
  <c r="X34" i="76"/>
  <c r="N34" i="76"/>
  <c r="L34" i="76"/>
  <c r="B34" i="76"/>
  <c r="Z33" i="76"/>
  <c r="X33" i="76"/>
  <c r="N33" i="76"/>
  <c r="L33" i="76"/>
  <c r="B33" i="76"/>
  <c r="T32" i="76"/>
  <c r="P32" i="76"/>
  <c r="X32" i="76" s="1"/>
  <c r="L32" i="76"/>
  <c r="H32" i="76"/>
  <c r="N32" i="76" s="1"/>
  <c r="D32" i="76"/>
  <c r="B32" i="76"/>
  <c r="Z31" i="76"/>
  <c r="X31" i="76"/>
  <c r="V31" i="76"/>
  <c r="N31" i="76"/>
  <c r="L31" i="76"/>
  <c r="B31" i="76"/>
  <c r="X30" i="76"/>
  <c r="Z30" i="76" s="1"/>
  <c r="N30" i="76"/>
  <c r="L30" i="76"/>
  <c r="J30" i="76"/>
  <c r="B30" i="76"/>
  <c r="Z29" i="76"/>
  <c r="X29" i="76"/>
  <c r="N29" i="76"/>
  <c r="L29" i="76"/>
  <c r="B29" i="76"/>
  <c r="X28" i="76"/>
  <c r="Z28" i="76" s="1"/>
  <c r="N28" i="76"/>
  <c r="L28" i="76"/>
  <c r="B28" i="76"/>
  <c r="Z27" i="76"/>
  <c r="X27" i="76"/>
  <c r="V27" i="76"/>
  <c r="N27" i="76"/>
  <c r="L27" i="76"/>
  <c r="B27" i="76"/>
  <c r="X26" i="76"/>
  <c r="Z26" i="76" s="1"/>
  <c r="V26" i="76"/>
  <c r="N26" i="76"/>
  <c r="L26" i="76"/>
  <c r="B26" i="76"/>
  <c r="Z25" i="76"/>
  <c r="X25" i="76"/>
  <c r="V25" i="76"/>
  <c r="N25" i="76"/>
  <c r="L25" i="76"/>
  <c r="B25" i="76"/>
  <c r="Z24" i="76"/>
  <c r="X24" i="76"/>
  <c r="N24" i="76"/>
  <c r="L24" i="76"/>
  <c r="B24" i="76"/>
  <c r="V23" i="76"/>
  <c r="T23" i="76"/>
  <c r="P23" i="76"/>
  <c r="X23" i="76" s="1"/>
  <c r="Z23" i="76" s="1"/>
  <c r="N23" i="76"/>
  <c r="L23" i="76"/>
  <c r="J23" i="76"/>
  <c r="H23" i="76"/>
  <c r="D23" i="76"/>
  <c r="B23" i="76"/>
  <c r="X22" i="76"/>
  <c r="V22" i="76"/>
  <c r="T22" i="76" a="1"/>
  <c r="T22" i="76" s="1"/>
  <c r="P22" i="76" a="1"/>
  <c r="P22" i="76" s="1"/>
  <c r="R22" i="76" s="1"/>
  <c r="H22" i="76" a="1"/>
  <c r="H22" i="76" s="1"/>
  <c r="D22" i="76" a="1"/>
  <c r="D22" i="76"/>
  <c r="T20" i="76"/>
  <c r="H20" i="76"/>
  <c r="X18" i="76"/>
  <c r="Z18" i="76" s="1"/>
  <c r="N18" i="76"/>
  <c r="L18" i="76"/>
  <c r="B18" i="76"/>
  <c r="Z17" i="76"/>
  <c r="X17" i="76"/>
  <c r="N17" i="76"/>
  <c r="L17" i="76"/>
  <c r="B17" i="76"/>
  <c r="T16" i="76"/>
  <c r="P16" i="76"/>
  <c r="X16" i="76" s="1"/>
  <c r="H16" i="76"/>
  <c r="N16" i="76" s="1"/>
  <c r="D16" i="76"/>
  <c r="L16" i="76" s="1"/>
  <c r="Z14" i="76"/>
  <c r="T14" i="76"/>
  <c r="P14" i="76"/>
  <c r="P12" i="76" s="1"/>
  <c r="R64" i="76" s="1"/>
  <c r="H14" i="76"/>
  <c r="N14" i="76" s="1"/>
  <c r="D14" i="76"/>
  <c r="L14" i="76" s="1"/>
  <c r="B14" i="76"/>
  <c r="Z13" i="76"/>
  <c r="T13" i="76"/>
  <c r="T12" i="76" s="1"/>
  <c r="V71" i="76" s="1"/>
  <c r="P13" i="76"/>
  <c r="X13" i="76" s="1"/>
  <c r="H13" i="76"/>
  <c r="N13" i="76" s="1"/>
  <c r="D13" i="76"/>
  <c r="L13" i="76" s="1"/>
  <c r="B13" i="76"/>
  <c r="H12" i="76"/>
  <c r="J57" i="76" s="1"/>
  <c r="D6" i="76"/>
  <c r="D4" i="76"/>
  <c r="X31" i="75"/>
  <c r="Z31" i="75" s="1"/>
  <c r="L31" i="75"/>
  <c r="N31" i="75" s="1"/>
  <c r="F31" i="75"/>
  <c r="T27" i="75"/>
  <c r="Z27" i="75" s="1"/>
  <c r="P27" i="75"/>
  <c r="J27" i="75"/>
  <c r="H27" i="75"/>
  <c r="N27" i="75" s="1"/>
  <c r="D27" i="75"/>
  <c r="T25" i="75"/>
  <c r="Z25" i="75" s="1"/>
  <c r="P25" i="75"/>
  <c r="X25" i="75" s="1"/>
  <c r="H25" i="75"/>
  <c r="N25" i="75" s="1"/>
  <c r="D25" i="75"/>
  <c r="L25" i="75" s="1"/>
  <c r="X21" i="75"/>
  <c r="Z21" i="75" s="1"/>
  <c r="L21" i="75"/>
  <c r="N21" i="75" s="1"/>
  <c r="B21" i="75"/>
  <c r="Z20" i="75"/>
  <c r="X20" i="75"/>
  <c r="V20" i="75"/>
  <c r="N20" i="75"/>
  <c r="L20" i="75"/>
  <c r="B20" i="75"/>
  <c r="Z19" i="75"/>
  <c r="X19" i="75"/>
  <c r="V19" i="75"/>
  <c r="N19" i="75"/>
  <c r="L19" i="75"/>
  <c r="B19" i="75"/>
  <c r="Z18" i="75"/>
  <c r="X18" i="75"/>
  <c r="T18" i="75"/>
  <c r="P18" i="75"/>
  <c r="H18" i="75"/>
  <c r="F18" i="75"/>
  <c r="D18" i="75"/>
  <c r="T16" i="75"/>
  <c r="P16" i="75"/>
  <c r="X16" i="75" s="1"/>
  <c r="Z16" i="75" s="1"/>
  <c r="L16" i="75"/>
  <c r="H16" i="75"/>
  <c r="N16" i="75" s="1"/>
  <c r="D16" i="75"/>
  <c r="B16" i="75"/>
  <c r="T15" i="75"/>
  <c r="P15" i="75"/>
  <c r="X15" i="75" s="1"/>
  <c r="H15" i="75"/>
  <c r="D15" i="75"/>
  <c r="D12" i="75" s="1"/>
  <c r="D23" i="75" s="1"/>
  <c r="B15" i="75"/>
  <c r="T14" i="75"/>
  <c r="P14" i="75"/>
  <c r="H14" i="75"/>
  <c r="H12" i="75" s="1"/>
  <c r="J18" i="75" s="1"/>
  <c r="D14" i="75"/>
  <c r="B14" i="75"/>
  <c r="T13" i="75"/>
  <c r="Z13" i="75" s="1"/>
  <c r="P13" i="75"/>
  <c r="L13" i="75"/>
  <c r="H13" i="75"/>
  <c r="N13" i="75" s="1"/>
  <c r="D13" i="75"/>
  <c r="B13" i="75"/>
  <c r="T12" i="75"/>
  <c r="V18" i="75" s="1"/>
  <c r="D6" i="75"/>
  <c r="D4" i="75"/>
  <c r="J51" i="74"/>
  <c r="R48" i="74"/>
  <c r="Z46" i="74"/>
  <c r="X46" i="74"/>
  <c r="N46" i="74"/>
  <c r="L46" i="74"/>
  <c r="J44" i="74"/>
  <c r="F44" i="74"/>
  <c r="T42" i="74"/>
  <c r="R42" i="74"/>
  <c r="P42" i="74"/>
  <c r="N42" i="74"/>
  <c r="H42" i="74"/>
  <c r="F42" i="74"/>
  <c r="D42" i="74"/>
  <c r="L42" i="74" s="1"/>
  <c r="Z40" i="74"/>
  <c r="X40" i="74"/>
  <c r="L40" i="74"/>
  <c r="N40" i="74" s="1"/>
  <c r="B40" i="74"/>
  <c r="X39" i="74"/>
  <c r="T39" i="74"/>
  <c r="P39" i="74"/>
  <c r="L39" i="74"/>
  <c r="H39" i="74"/>
  <c r="N39" i="74" s="1"/>
  <c r="D39" i="74"/>
  <c r="B39" i="74"/>
  <c r="Z38" i="74"/>
  <c r="X38" i="74"/>
  <c r="N38" i="74"/>
  <c r="L38" i="74"/>
  <c r="B38" i="74"/>
  <c r="X37" i="74"/>
  <c r="T37" i="74"/>
  <c r="P37" i="74"/>
  <c r="H37" i="74"/>
  <c r="N37" i="74" s="1"/>
  <c r="D37" i="74"/>
  <c r="L37" i="74" s="1"/>
  <c r="B37" i="74"/>
  <c r="X36" i="74"/>
  <c r="Z36" i="74" s="1"/>
  <c r="R36" i="74"/>
  <c r="N36" i="74"/>
  <c r="L36" i="74"/>
  <c r="J36" i="74"/>
  <c r="B36" i="74"/>
  <c r="T35" i="74"/>
  <c r="X35" i="74" s="1"/>
  <c r="P35" i="74"/>
  <c r="H35" i="74"/>
  <c r="N35" i="74" s="1"/>
  <c r="D35" i="74"/>
  <c r="L35" i="74" s="1"/>
  <c r="B35" i="74"/>
  <c r="Z34" i="74"/>
  <c r="X34" i="74"/>
  <c r="R34" i="74"/>
  <c r="N34" i="74"/>
  <c r="L34" i="74"/>
  <c r="B34" i="74"/>
  <c r="X33" i="74"/>
  <c r="Z33" i="74" s="1"/>
  <c r="R33" i="74"/>
  <c r="N33" i="74"/>
  <c r="L33" i="74"/>
  <c r="B33" i="74"/>
  <c r="T32" i="74"/>
  <c r="R32" i="74"/>
  <c r="P32" i="74"/>
  <c r="N32" i="74"/>
  <c r="H32" i="74"/>
  <c r="D32" i="74"/>
  <c r="L32" i="74" s="1"/>
  <c r="B32" i="74"/>
  <c r="X31" i="74"/>
  <c r="Z31" i="74" s="1"/>
  <c r="R31" i="74"/>
  <c r="N31" i="74"/>
  <c r="L31" i="74"/>
  <c r="J31" i="74"/>
  <c r="B31" i="74"/>
  <c r="T30" i="74"/>
  <c r="R30" i="74"/>
  <c r="P30" i="74"/>
  <c r="X30" i="74" s="1"/>
  <c r="Z30" i="74" s="1"/>
  <c r="N30" i="74"/>
  <c r="J30" i="74"/>
  <c r="H30" i="74"/>
  <c r="D30" i="74"/>
  <c r="L30" i="74" s="1"/>
  <c r="B30" i="74"/>
  <c r="Z29" i="74"/>
  <c r="X29" i="74"/>
  <c r="R29" i="74"/>
  <c r="L29" i="74"/>
  <c r="N29" i="74" s="1"/>
  <c r="F29" i="74"/>
  <c r="B29" i="74"/>
  <c r="T28" i="74"/>
  <c r="R28" i="74"/>
  <c r="P28" i="74"/>
  <c r="X28" i="74" s="1"/>
  <c r="Z28" i="74" s="1"/>
  <c r="N28" i="74"/>
  <c r="L28" i="74"/>
  <c r="H28" i="74"/>
  <c r="D28" i="74"/>
  <c r="B28" i="74"/>
  <c r="X27" i="74"/>
  <c r="Z27" i="74" s="1"/>
  <c r="R27" i="74"/>
  <c r="N27" i="74"/>
  <c r="L27" i="74"/>
  <c r="B27" i="74"/>
  <c r="Z26" i="74"/>
  <c r="X26" i="74"/>
  <c r="T26" i="74"/>
  <c r="R26" i="74"/>
  <c r="P26" i="74"/>
  <c r="J26" i="74"/>
  <c r="H26" i="74"/>
  <c r="N26" i="74" s="1"/>
  <c r="D26" i="74"/>
  <c r="B26" i="74"/>
  <c r="X25" i="74"/>
  <c r="Z25" i="74" s="1"/>
  <c r="R25" i="74"/>
  <c r="N25" i="74"/>
  <c r="L25" i="74"/>
  <c r="B25" i="74"/>
  <c r="Z24" i="74"/>
  <c r="X24" i="74"/>
  <c r="R24" i="74"/>
  <c r="N24" i="74"/>
  <c r="L24" i="74"/>
  <c r="B24" i="74"/>
  <c r="Z23" i="74"/>
  <c r="X23" i="74"/>
  <c r="R23" i="74"/>
  <c r="N23" i="74"/>
  <c r="L23" i="74"/>
  <c r="B23" i="74"/>
  <c r="Z22" i="74"/>
  <c r="X22" i="74"/>
  <c r="N22" i="74"/>
  <c r="L22" i="74"/>
  <c r="J22" i="74"/>
  <c r="B22" i="74"/>
  <c r="Z21" i="74"/>
  <c r="X21" i="74"/>
  <c r="R21" i="74"/>
  <c r="N21" i="74"/>
  <c r="L21" i="74"/>
  <c r="J21" i="74"/>
  <c r="B21" i="74"/>
  <c r="T20" i="74"/>
  <c r="R20" i="74"/>
  <c r="P20" i="74"/>
  <c r="X20" i="74" s="1"/>
  <c r="Z20" i="74" s="1"/>
  <c r="N20" i="74"/>
  <c r="L20" i="74"/>
  <c r="J20" i="74"/>
  <c r="H20" i="74"/>
  <c r="D20" i="74"/>
  <c r="B20" i="74"/>
  <c r="T19" i="74" a="1"/>
  <c r="T19" i="74" s="1"/>
  <c r="R19" i="74"/>
  <c r="P19" i="74" a="1"/>
  <c r="P19" i="74"/>
  <c r="J19" i="74"/>
  <c r="H19" i="74" a="1"/>
  <c r="H19" i="74" s="1"/>
  <c r="F19" i="74"/>
  <c r="D19" i="74" a="1"/>
  <c r="D19" i="74"/>
  <c r="L19" i="74" s="1"/>
  <c r="J17" i="74"/>
  <c r="X15" i="74"/>
  <c r="Z15" i="74" s="1"/>
  <c r="R15" i="74"/>
  <c r="N15" i="74"/>
  <c r="L15" i="74"/>
  <c r="J15" i="74"/>
  <c r="B15" i="74"/>
  <c r="T14" i="74"/>
  <c r="R14" i="74"/>
  <c r="P14" i="74"/>
  <c r="N14" i="74"/>
  <c r="H14" i="74"/>
  <c r="D14" i="74"/>
  <c r="L14" i="74" s="1"/>
  <c r="T12" i="74"/>
  <c r="P12" i="74"/>
  <c r="R38" i="74" s="1"/>
  <c r="H12" i="74"/>
  <c r="J37" i="74" s="1"/>
  <c r="D12" i="74"/>
  <c r="F51" i="74" s="1"/>
  <c r="D6" i="74"/>
  <c r="D4" i="74"/>
  <c r="Z79" i="73"/>
  <c r="X79" i="73"/>
  <c r="N79" i="73"/>
  <c r="L79" i="73"/>
  <c r="F79" i="73"/>
  <c r="T75" i="73"/>
  <c r="Z75" i="73" s="1"/>
  <c r="P75" i="73"/>
  <c r="N75" i="73"/>
  <c r="H75" i="73"/>
  <c r="D75" i="73"/>
  <c r="L75" i="73" s="1"/>
  <c r="Z73" i="73"/>
  <c r="X73" i="73"/>
  <c r="L73" i="73"/>
  <c r="N73" i="73" s="1"/>
  <c r="B73" i="73"/>
  <c r="X72" i="73"/>
  <c r="T72" i="73"/>
  <c r="P72" i="73"/>
  <c r="H72" i="73"/>
  <c r="D72" i="73"/>
  <c r="B72" i="73"/>
  <c r="Z71" i="73"/>
  <c r="X71" i="73"/>
  <c r="N71" i="73"/>
  <c r="L71" i="73"/>
  <c r="B71" i="73"/>
  <c r="T70" i="73"/>
  <c r="P70" i="73"/>
  <c r="H70" i="73"/>
  <c r="N70" i="73" s="1"/>
  <c r="D70" i="73"/>
  <c r="L70" i="73" s="1"/>
  <c r="B70" i="73"/>
  <c r="X69" i="73"/>
  <c r="Z69" i="73" s="1"/>
  <c r="N69" i="73"/>
  <c r="L69" i="73"/>
  <c r="B69" i="73"/>
  <c r="T68" i="73"/>
  <c r="Z68" i="73" s="1"/>
  <c r="P68" i="73"/>
  <c r="X68" i="73" s="1"/>
  <c r="H68" i="73"/>
  <c r="D68" i="73"/>
  <c r="L68" i="73" s="1"/>
  <c r="N68" i="73" s="1"/>
  <c r="B68" i="73"/>
  <c r="Z67" i="73"/>
  <c r="X67" i="73"/>
  <c r="N67" i="73"/>
  <c r="L67" i="73"/>
  <c r="B67" i="73"/>
  <c r="Z66" i="73"/>
  <c r="X66" i="73"/>
  <c r="N66" i="73"/>
  <c r="L66" i="73"/>
  <c r="B66" i="73"/>
  <c r="Z65" i="73"/>
  <c r="X65" i="73"/>
  <c r="N65" i="73"/>
  <c r="L65" i="73"/>
  <c r="B65" i="73"/>
  <c r="X64" i="73"/>
  <c r="Z64" i="73" s="1"/>
  <c r="N64" i="73"/>
  <c r="L64" i="73"/>
  <c r="B64" i="73"/>
  <c r="Z63" i="73"/>
  <c r="X63" i="73"/>
  <c r="N63" i="73"/>
  <c r="L63" i="73"/>
  <c r="B63" i="73"/>
  <c r="T62" i="73"/>
  <c r="P62" i="73"/>
  <c r="H62" i="73"/>
  <c r="N62" i="73" s="1"/>
  <c r="D62" i="73"/>
  <c r="L62" i="73" s="1"/>
  <c r="B62" i="73"/>
  <c r="Z61" i="73"/>
  <c r="X61" i="73"/>
  <c r="N61" i="73"/>
  <c r="L61" i="73"/>
  <c r="B61" i="73"/>
  <c r="X60" i="73"/>
  <c r="Z60" i="73" s="1"/>
  <c r="N60" i="73"/>
  <c r="L60" i="73"/>
  <c r="B60" i="73"/>
  <c r="X59" i="73"/>
  <c r="Z59" i="73" s="1"/>
  <c r="N59" i="73"/>
  <c r="L59" i="73"/>
  <c r="B59" i="73"/>
  <c r="T58" i="73"/>
  <c r="P58" i="73"/>
  <c r="H58" i="73"/>
  <c r="N58" i="73" s="1"/>
  <c r="D58" i="73"/>
  <c r="L58" i="73" s="1"/>
  <c r="B58" i="73"/>
  <c r="X57" i="73"/>
  <c r="Z57" i="73" s="1"/>
  <c r="N57" i="73"/>
  <c r="L57" i="73"/>
  <c r="B57" i="73"/>
  <c r="T56" i="73"/>
  <c r="Z56" i="73" s="1"/>
  <c r="P56" i="73"/>
  <c r="X56" i="73" s="1"/>
  <c r="N56" i="73"/>
  <c r="H56" i="73"/>
  <c r="D56" i="73"/>
  <c r="L56" i="73" s="1"/>
  <c r="B56" i="73"/>
  <c r="Z55" i="73"/>
  <c r="X55" i="73"/>
  <c r="N55" i="73"/>
  <c r="L55" i="73"/>
  <c r="B55" i="73"/>
  <c r="Z54" i="73"/>
  <c r="X54" i="73"/>
  <c r="N54" i="73"/>
  <c r="L54" i="73"/>
  <c r="F54" i="73"/>
  <c r="B54" i="73"/>
  <c r="T53" i="73"/>
  <c r="Z53" i="73" s="1"/>
  <c r="P53" i="73"/>
  <c r="X53" i="73" s="1"/>
  <c r="N53" i="73"/>
  <c r="H53" i="73"/>
  <c r="D53" i="73"/>
  <c r="L53" i="73" s="1"/>
  <c r="B53" i="73"/>
  <c r="X52" i="73"/>
  <c r="Z52" i="73" s="1"/>
  <c r="N52" i="73"/>
  <c r="L52" i="73"/>
  <c r="B52" i="73"/>
  <c r="T51" i="73"/>
  <c r="P51" i="73"/>
  <c r="X51" i="73" s="1"/>
  <c r="Z51" i="73" s="1"/>
  <c r="H51" i="73"/>
  <c r="N51" i="73" s="1"/>
  <c r="D51" i="73"/>
  <c r="B51" i="73"/>
  <c r="Z50" i="73"/>
  <c r="X50" i="73"/>
  <c r="N50" i="73"/>
  <c r="L50" i="73"/>
  <c r="B50" i="73"/>
  <c r="V49" i="73"/>
  <c r="T49" i="73"/>
  <c r="P49" i="73"/>
  <c r="L49" i="73"/>
  <c r="H49" i="73"/>
  <c r="N49" i="73" s="1"/>
  <c r="D49" i="73"/>
  <c r="B49" i="73"/>
  <c r="X48" i="73"/>
  <c r="Z48" i="73" s="1"/>
  <c r="L48" i="73"/>
  <c r="N48" i="73" s="1"/>
  <c r="B48" i="73"/>
  <c r="X47" i="73"/>
  <c r="T47" i="73"/>
  <c r="Z47" i="73" s="1"/>
  <c r="P47" i="73"/>
  <c r="H47" i="73"/>
  <c r="N47" i="73" s="1"/>
  <c r="D47" i="73"/>
  <c r="L47" i="73" s="1"/>
  <c r="B47" i="73"/>
  <c r="Z46" i="73"/>
  <c r="X46" i="73"/>
  <c r="N46" i="73"/>
  <c r="L46" i="73"/>
  <c r="B46" i="73"/>
  <c r="T45" i="73"/>
  <c r="Z45" i="73" s="1"/>
  <c r="P45" i="73"/>
  <c r="X45" i="73" s="1"/>
  <c r="N45" i="73"/>
  <c r="H45" i="73"/>
  <c r="D45" i="73"/>
  <c r="L45" i="73" s="1"/>
  <c r="B45" i="73"/>
  <c r="Z44" i="73"/>
  <c r="X44" i="73"/>
  <c r="N44" i="73"/>
  <c r="L44" i="73"/>
  <c r="B44" i="73"/>
  <c r="Z43" i="73"/>
  <c r="T43" i="73"/>
  <c r="P43" i="73"/>
  <c r="X43" i="73" s="1"/>
  <c r="H43" i="73"/>
  <c r="N43" i="73" s="1"/>
  <c r="D43" i="73"/>
  <c r="B43" i="73"/>
  <c r="Z42" i="73"/>
  <c r="X42" i="73"/>
  <c r="N42" i="73"/>
  <c r="L42" i="73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N39" i="73"/>
  <c r="L39" i="73"/>
  <c r="B39" i="73"/>
  <c r="Z38" i="73"/>
  <c r="X38" i="73"/>
  <c r="N38" i="73"/>
  <c r="L38" i="73"/>
  <c r="F38" i="73"/>
  <c r="B38" i="73"/>
  <c r="X37" i="73"/>
  <c r="Z37" i="73" s="1"/>
  <c r="N37" i="73"/>
  <c r="L37" i="73"/>
  <c r="B37" i="73"/>
  <c r="T36" i="73"/>
  <c r="P36" i="73"/>
  <c r="X36" i="73" s="1"/>
  <c r="N36" i="73"/>
  <c r="H36" i="73"/>
  <c r="D36" i="73"/>
  <c r="L36" i="73" s="1"/>
  <c r="B36" i="73"/>
  <c r="Z35" i="73"/>
  <c r="X35" i="73"/>
  <c r="N35" i="73"/>
  <c r="L35" i="73"/>
  <c r="B35" i="73"/>
  <c r="Z34" i="73"/>
  <c r="X34" i="73"/>
  <c r="N34" i="73"/>
  <c r="L34" i="73"/>
  <c r="B34" i="73"/>
  <c r="X33" i="73"/>
  <c r="Z33" i="73" s="1"/>
  <c r="N33" i="73"/>
  <c r="L33" i="73"/>
  <c r="J33" i="73"/>
  <c r="B33" i="73"/>
  <c r="Z32" i="73"/>
  <c r="X32" i="73"/>
  <c r="N32" i="73"/>
  <c r="L32" i="73"/>
  <c r="B32" i="73"/>
  <c r="X31" i="73"/>
  <c r="Z31" i="73" s="1"/>
  <c r="N31" i="73"/>
  <c r="L31" i="73"/>
  <c r="B31" i="73"/>
  <c r="Z30" i="73"/>
  <c r="X30" i="73"/>
  <c r="N30" i="73"/>
  <c r="L30" i="73"/>
  <c r="B30" i="73"/>
  <c r="Z29" i="73"/>
  <c r="X29" i="73"/>
  <c r="N29" i="73"/>
  <c r="L29" i="73"/>
  <c r="B29" i="73"/>
  <c r="X28" i="73"/>
  <c r="Z28" i="73" s="1"/>
  <c r="N28" i="73"/>
  <c r="L28" i="73"/>
  <c r="B28" i="73"/>
  <c r="Z27" i="73"/>
  <c r="X27" i="73"/>
  <c r="N27" i="73"/>
  <c r="L27" i="73"/>
  <c r="B27" i="73"/>
  <c r="T26" i="73"/>
  <c r="P26" i="73"/>
  <c r="X26" i="73" s="1"/>
  <c r="Z26" i="73" s="1"/>
  <c r="N26" i="73"/>
  <c r="L26" i="73"/>
  <c r="H26" i="73"/>
  <c r="D26" i="73"/>
  <c r="B26" i="73"/>
  <c r="T25" i="73" a="1"/>
  <c r="T25" i="73" s="1"/>
  <c r="P25" i="73" a="1"/>
  <c r="P25" i="73" s="1"/>
  <c r="H25" i="73" a="1"/>
  <c r="H25" i="73" s="1"/>
  <c r="D25" i="73" a="1"/>
  <c r="D25" i="73" s="1"/>
  <c r="X21" i="73"/>
  <c r="Z21" i="73" s="1"/>
  <c r="N21" i="73"/>
  <c r="L21" i="73"/>
  <c r="B21" i="73"/>
  <c r="X20" i="73"/>
  <c r="Z20" i="73" s="1"/>
  <c r="N20" i="73"/>
  <c r="L20" i="73"/>
  <c r="B20" i="73"/>
  <c r="Z19" i="73"/>
  <c r="X19" i="73"/>
  <c r="N19" i="73"/>
  <c r="L19" i="73"/>
  <c r="B19" i="73"/>
  <c r="T18" i="73"/>
  <c r="P18" i="73"/>
  <c r="H18" i="73"/>
  <c r="N18" i="73" s="1"/>
  <c r="D18" i="73"/>
  <c r="L18" i="73" s="1"/>
  <c r="T16" i="73"/>
  <c r="P16" i="73"/>
  <c r="X16" i="73" s="1"/>
  <c r="Z16" i="73" s="1"/>
  <c r="N16" i="73"/>
  <c r="H16" i="73"/>
  <c r="D16" i="73"/>
  <c r="L16" i="73" s="1"/>
  <c r="B16" i="73"/>
  <c r="T15" i="73"/>
  <c r="Z15" i="73" s="1"/>
  <c r="P15" i="73"/>
  <c r="X15" i="73" s="1"/>
  <c r="H15" i="73"/>
  <c r="N15" i="73" s="1"/>
  <c r="D15" i="73"/>
  <c r="D12" i="73" s="1"/>
  <c r="F49" i="73" s="1"/>
  <c r="B15" i="73"/>
  <c r="T14" i="73"/>
  <c r="P14" i="73"/>
  <c r="L14" i="73"/>
  <c r="H14" i="73"/>
  <c r="H12" i="73" s="1"/>
  <c r="J37" i="73" s="1"/>
  <c r="D14" i="73"/>
  <c r="B14" i="73"/>
  <c r="Z13" i="73"/>
  <c r="X13" i="73"/>
  <c r="T13" i="73"/>
  <c r="T12" i="73" s="1"/>
  <c r="P13" i="73"/>
  <c r="N13" i="73"/>
  <c r="L13" i="73"/>
  <c r="H13" i="73"/>
  <c r="D13" i="73"/>
  <c r="B13" i="73"/>
  <c r="P12" i="73"/>
  <c r="R47" i="73" s="1"/>
  <c r="D6" i="73"/>
  <c r="D4" i="73"/>
  <c r="X105" i="71"/>
  <c r="Z105" i="71" s="1"/>
  <c r="L105" i="71"/>
  <c r="N105" i="71" s="1"/>
  <c r="X101" i="71"/>
  <c r="Z101" i="71" s="1"/>
  <c r="T101" i="71"/>
  <c r="P101" i="71"/>
  <c r="H101" i="71"/>
  <c r="D101" i="71"/>
  <c r="B101" i="71"/>
  <c r="Z100" i="71"/>
  <c r="T100" i="71"/>
  <c r="P100" i="71"/>
  <c r="X100" i="71" s="1"/>
  <c r="H100" i="71"/>
  <c r="N100" i="71" s="1"/>
  <c r="D100" i="71"/>
  <c r="B100" i="71"/>
  <c r="Z99" i="71"/>
  <c r="T99" i="71"/>
  <c r="P99" i="71"/>
  <c r="X99" i="71" s="1"/>
  <c r="L99" i="71"/>
  <c r="N99" i="71" s="1"/>
  <c r="H99" i="71"/>
  <c r="D99" i="71"/>
  <c r="B99" i="71"/>
  <c r="T98" i="71"/>
  <c r="D98" i="71"/>
  <c r="X96" i="71"/>
  <c r="Z96" i="71" s="1"/>
  <c r="N96" i="71"/>
  <c r="L96" i="71"/>
  <c r="B96" i="71"/>
  <c r="T95" i="71"/>
  <c r="Z95" i="71" s="1"/>
  <c r="P95" i="71"/>
  <c r="X95" i="71" s="1"/>
  <c r="N95" i="71"/>
  <c r="H95" i="71"/>
  <c r="D95" i="71"/>
  <c r="L95" i="71" s="1"/>
  <c r="B95" i="71"/>
  <c r="Z94" i="71"/>
  <c r="X94" i="71"/>
  <c r="L94" i="71"/>
  <c r="N94" i="71" s="1"/>
  <c r="B94" i="71"/>
  <c r="T93" i="71"/>
  <c r="P93" i="71"/>
  <c r="X93" i="71" s="1"/>
  <c r="Z93" i="71" s="1"/>
  <c r="L93" i="71"/>
  <c r="N93" i="71" s="1"/>
  <c r="H93" i="71"/>
  <c r="D93" i="71"/>
  <c r="B93" i="71"/>
  <c r="Z92" i="71"/>
  <c r="X92" i="71"/>
  <c r="N92" i="71"/>
  <c r="L92" i="71"/>
  <c r="B92" i="71"/>
  <c r="X91" i="71"/>
  <c r="Z91" i="71" s="1"/>
  <c r="L91" i="71"/>
  <c r="N91" i="71" s="1"/>
  <c r="B91" i="71"/>
  <c r="X90" i="71"/>
  <c r="Z90" i="71" s="1"/>
  <c r="N90" i="71"/>
  <c r="L90" i="71"/>
  <c r="B90" i="71"/>
  <c r="Z89" i="71"/>
  <c r="X89" i="71"/>
  <c r="N89" i="71"/>
  <c r="L89" i="71"/>
  <c r="B89" i="71"/>
  <c r="T88" i="71"/>
  <c r="P88" i="71"/>
  <c r="N88" i="71"/>
  <c r="L88" i="71"/>
  <c r="H88" i="71"/>
  <c r="D88" i="71"/>
  <c r="B88" i="71"/>
  <c r="X87" i="71"/>
  <c r="Z87" i="71" s="1"/>
  <c r="L87" i="71"/>
  <c r="N87" i="71" s="1"/>
  <c r="B87" i="71"/>
  <c r="T86" i="71"/>
  <c r="P86" i="71"/>
  <c r="X86" i="71" s="1"/>
  <c r="Z86" i="71" s="1"/>
  <c r="H86" i="71"/>
  <c r="D86" i="71"/>
  <c r="B86" i="71"/>
  <c r="Z85" i="71"/>
  <c r="X85" i="71"/>
  <c r="N85" i="71"/>
  <c r="L85" i="71"/>
  <c r="B85" i="71"/>
  <c r="T84" i="71"/>
  <c r="P84" i="71"/>
  <c r="N84" i="71"/>
  <c r="L84" i="71"/>
  <c r="H84" i="71"/>
  <c r="D84" i="71"/>
  <c r="B84" i="71"/>
  <c r="X83" i="71"/>
  <c r="Z83" i="71" s="1"/>
  <c r="L83" i="71"/>
  <c r="N83" i="71" s="1"/>
  <c r="B83" i="71"/>
  <c r="T82" i="71"/>
  <c r="P82" i="71"/>
  <c r="X82" i="71" s="1"/>
  <c r="Z82" i="71" s="1"/>
  <c r="H82" i="71"/>
  <c r="D82" i="71"/>
  <c r="B82" i="71"/>
  <c r="Z81" i="71"/>
  <c r="X81" i="71"/>
  <c r="N81" i="71"/>
  <c r="L81" i="71"/>
  <c r="B81" i="71"/>
  <c r="T80" i="71"/>
  <c r="P80" i="71"/>
  <c r="N80" i="71"/>
  <c r="H80" i="71"/>
  <c r="D80" i="71"/>
  <c r="L80" i="71" s="1"/>
  <c r="B80" i="71"/>
  <c r="X79" i="71"/>
  <c r="Z79" i="71" s="1"/>
  <c r="N79" i="71"/>
  <c r="L79" i="71"/>
  <c r="B79" i="71"/>
  <c r="Z78" i="71"/>
  <c r="X78" i="71"/>
  <c r="L78" i="71"/>
  <c r="N78" i="71" s="1"/>
  <c r="B78" i="71"/>
  <c r="Z77" i="71"/>
  <c r="T77" i="71"/>
  <c r="P77" i="71"/>
  <c r="X77" i="71" s="1"/>
  <c r="L77" i="71"/>
  <c r="N77" i="71" s="1"/>
  <c r="H77" i="71"/>
  <c r="D77" i="71"/>
  <c r="B77" i="71"/>
  <c r="Z76" i="71"/>
  <c r="X76" i="71"/>
  <c r="N76" i="71"/>
  <c r="L76" i="71"/>
  <c r="B76" i="71"/>
  <c r="Z75" i="71"/>
  <c r="X75" i="71"/>
  <c r="T75" i="71"/>
  <c r="P75" i="71"/>
  <c r="N75" i="71"/>
  <c r="H75" i="71"/>
  <c r="L75" i="71" s="1"/>
  <c r="D75" i="71"/>
  <c r="B75" i="71"/>
  <c r="X74" i="71"/>
  <c r="Z74" i="71" s="1"/>
  <c r="N74" i="71"/>
  <c r="L74" i="71"/>
  <c r="B74" i="71"/>
  <c r="T73" i="71"/>
  <c r="X73" i="71" s="1"/>
  <c r="P73" i="71"/>
  <c r="H73" i="71"/>
  <c r="N73" i="71" s="1"/>
  <c r="D73" i="71"/>
  <c r="L73" i="71" s="1"/>
  <c r="B73" i="71"/>
  <c r="X72" i="71"/>
  <c r="Z72" i="71" s="1"/>
  <c r="N72" i="71"/>
  <c r="L72" i="71"/>
  <c r="B72" i="71"/>
  <c r="T71" i="71"/>
  <c r="P71" i="71"/>
  <c r="X71" i="71" s="1"/>
  <c r="H71" i="71"/>
  <c r="D71" i="71"/>
  <c r="L71" i="71" s="1"/>
  <c r="N71" i="71" s="1"/>
  <c r="B71" i="71"/>
  <c r="Z70" i="71"/>
  <c r="X70" i="71"/>
  <c r="N70" i="71"/>
  <c r="L70" i="71"/>
  <c r="B70" i="71"/>
  <c r="Z69" i="71"/>
  <c r="X69" i="71"/>
  <c r="N69" i="71"/>
  <c r="L69" i="71"/>
  <c r="B69" i="71"/>
  <c r="Z68" i="71"/>
  <c r="X68" i="71"/>
  <c r="N68" i="71"/>
  <c r="L68" i="71"/>
  <c r="B68" i="71"/>
  <c r="X67" i="71"/>
  <c r="Z67" i="71" s="1"/>
  <c r="L67" i="71"/>
  <c r="N67" i="71" s="1"/>
  <c r="B67" i="71"/>
  <c r="X66" i="71"/>
  <c r="Z66" i="71" s="1"/>
  <c r="L66" i="71"/>
  <c r="N66" i="71" s="1"/>
  <c r="B66" i="71"/>
  <c r="Z65" i="71"/>
  <c r="T65" i="71"/>
  <c r="X65" i="71" s="1"/>
  <c r="P65" i="71"/>
  <c r="H65" i="71"/>
  <c r="D65" i="71"/>
  <c r="L65" i="71" s="1"/>
  <c r="B65" i="71"/>
  <c r="X64" i="71"/>
  <c r="Z64" i="71" s="1"/>
  <c r="N64" i="71"/>
  <c r="L64" i="71"/>
  <c r="B64" i="71"/>
  <c r="X63" i="71"/>
  <c r="Z63" i="71" s="1"/>
  <c r="L63" i="71"/>
  <c r="N63" i="71" s="1"/>
  <c r="B63" i="71"/>
  <c r="X62" i="71"/>
  <c r="Z62" i="71" s="1"/>
  <c r="L62" i="71"/>
  <c r="N62" i="71" s="1"/>
  <c r="B62" i="71"/>
  <c r="Z61" i="71"/>
  <c r="X61" i="71"/>
  <c r="N61" i="71"/>
  <c r="L61" i="71"/>
  <c r="B61" i="71"/>
  <c r="Z60" i="71"/>
  <c r="X60" i="71"/>
  <c r="L60" i="71"/>
  <c r="N60" i="71" s="1"/>
  <c r="B60" i="71"/>
  <c r="X59" i="71"/>
  <c r="Z59" i="71" s="1"/>
  <c r="L59" i="71"/>
  <c r="N59" i="71" s="1"/>
  <c r="B59" i="71"/>
  <c r="Z58" i="71"/>
  <c r="X58" i="71"/>
  <c r="L58" i="71"/>
  <c r="N58" i="71" s="1"/>
  <c r="B58" i="71"/>
  <c r="Z57" i="71"/>
  <c r="X57" i="71"/>
  <c r="N57" i="71"/>
  <c r="L57" i="71"/>
  <c r="B57" i="71"/>
  <c r="X56" i="71"/>
  <c r="Z56" i="71" s="1"/>
  <c r="N56" i="71"/>
  <c r="L56" i="71"/>
  <c r="B56" i="71"/>
  <c r="T55" i="71"/>
  <c r="Z55" i="71" s="1"/>
  <c r="P55" i="71"/>
  <c r="X55" i="71" s="1"/>
  <c r="N55" i="71"/>
  <c r="H55" i="71"/>
  <c r="D55" i="71"/>
  <c r="L55" i="71" s="1"/>
  <c r="B55" i="71"/>
  <c r="T54" i="71" a="1"/>
  <c r="T54" i="71" s="1"/>
  <c r="P54" i="71" a="1"/>
  <c r="P54" i="71" s="1"/>
  <c r="H54" i="71" a="1"/>
  <c r="H54" i="71" s="1"/>
  <c r="D54" i="71" a="1"/>
  <c r="D54" i="71" s="1"/>
  <c r="L54" i="71" s="1"/>
  <c r="X50" i="71"/>
  <c r="Z50" i="71" s="1"/>
  <c r="N50" i="71"/>
  <c r="L50" i="71"/>
  <c r="B50" i="71"/>
  <c r="Z49" i="71"/>
  <c r="X49" i="71"/>
  <c r="N49" i="71"/>
  <c r="L49" i="71"/>
  <c r="B49" i="71"/>
  <c r="Z48" i="71"/>
  <c r="X48" i="71"/>
  <c r="N48" i="71"/>
  <c r="L48" i="71"/>
  <c r="B48" i="71"/>
  <c r="X47" i="71"/>
  <c r="Z47" i="71" s="1"/>
  <c r="N47" i="71"/>
  <c r="L47" i="71"/>
  <c r="B47" i="71"/>
  <c r="Z46" i="71"/>
  <c r="X46" i="71"/>
  <c r="N46" i="71"/>
  <c r="L46" i="71"/>
  <c r="B46" i="71"/>
  <c r="Z45" i="71"/>
  <c r="X45" i="71"/>
  <c r="N45" i="71"/>
  <c r="L45" i="71"/>
  <c r="B45" i="71"/>
  <c r="X44" i="71"/>
  <c r="Z44" i="71" s="1"/>
  <c r="N44" i="71"/>
  <c r="L44" i="71"/>
  <c r="B44" i="71"/>
  <c r="Z43" i="71"/>
  <c r="X43" i="71"/>
  <c r="L43" i="71"/>
  <c r="N43" i="71" s="1"/>
  <c r="B43" i="71"/>
  <c r="X42" i="71"/>
  <c r="Z42" i="71" s="1"/>
  <c r="N42" i="71"/>
  <c r="L42" i="71"/>
  <c r="B42" i="71"/>
  <c r="Z41" i="71"/>
  <c r="X41" i="71"/>
  <c r="N41" i="71"/>
  <c r="L41" i="71"/>
  <c r="B41" i="71"/>
  <c r="Z40" i="71"/>
  <c r="X40" i="71"/>
  <c r="L40" i="71"/>
  <c r="N40" i="71" s="1"/>
  <c r="B40" i="71"/>
  <c r="X39" i="71"/>
  <c r="Z39" i="71" s="1"/>
  <c r="N39" i="71"/>
  <c r="L39" i="71"/>
  <c r="B39" i="71"/>
  <c r="Z38" i="71"/>
  <c r="X38" i="71"/>
  <c r="N38" i="71"/>
  <c r="L38" i="71"/>
  <c r="B38" i="71"/>
  <c r="Z37" i="71"/>
  <c r="X37" i="71"/>
  <c r="N37" i="71"/>
  <c r="L37" i="71"/>
  <c r="B37" i="71"/>
  <c r="T36" i="71"/>
  <c r="P36" i="71"/>
  <c r="H36" i="71"/>
  <c r="D36" i="71"/>
  <c r="L36" i="71" s="1"/>
  <c r="N36" i="71" s="1"/>
  <c r="Z34" i="71"/>
  <c r="T34" i="71"/>
  <c r="P34" i="71"/>
  <c r="X34" i="71" s="1"/>
  <c r="L34" i="71"/>
  <c r="H34" i="71"/>
  <c r="N34" i="71" s="1"/>
  <c r="D34" i="71"/>
  <c r="B34" i="71"/>
  <c r="X33" i="71"/>
  <c r="T33" i="71"/>
  <c r="P33" i="71"/>
  <c r="N33" i="71"/>
  <c r="L33" i="71"/>
  <c r="H33" i="71"/>
  <c r="D33" i="71"/>
  <c r="B33" i="71"/>
  <c r="T32" i="71"/>
  <c r="P32" i="71"/>
  <c r="X32" i="71" s="1"/>
  <c r="Z32" i="71" s="1"/>
  <c r="N32" i="71"/>
  <c r="L32" i="71"/>
  <c r="H32" i="71"/>
  <c r="D32" i="71"/>
  <c r="B32" i="71"/>
  <c r="Z31" i="71"/>
  <c r="T31" i="71"/>
  <c r="P31" i="71"/>
  <c r="X31" i="71" s="1"/>
  <c r="N31" i="71"/>
  <c r="L31" i="71"/>
  <c r="H31" i="71"/>
  <c r="D31" i="71"/>
  <c r="B31" i="71"/>
  <c r="T30" i="71"/>
  <c r="P30" i="71"/>
  <c r="X30" i="71" s="1"/>
  <c r="N30" i="71"/>
  <c r="H30" i="71"/>
  <c r="D30" i="71"/>
  <c r="B30" i="71"/>
  <c r="T29" i="71"/>
  <c r="P29" i="71"/>
  <c r="X29" i="71" s="1"/>
  <c r="Z29" i="71" s="1"/>
  <c r="L29" i="71"/>
  <c r="H29" i="71"/>
  <c r="D29" i="71"/>
  <c r="B29" i="71"/>
  <c r="Z28" i="71"/>
  <c r="X28" i="71"/>
  <c r="T28" i="71"/>
  <c r="P28" i="71"/>
  <c r="N28" i="71"/>
  <c r="L28" i="71"/>
  <c r="H28" i="71"/>
  <c r="D28" i="71"/>
  <c r="B28" i="71"/>
  <c r="T27" i="71"/>
  <c r="P27" i="71"/>
  <c r="X27" i="71" s="1"/>
  <c r="Z27" i="71" s="1"/>
  <c r="N27" i="71"/>
  <c r="H27" i="71"/>
  <c r="D27" i="71"/>
  <c r="L27" i="71" s="1"/>
  <c r="B27" i="71"/>
  <c r="T26" i="71"/>
  <c r="P26" i="71"/>
  <c r="X26" i="71" s="1"/>
  <c r="Z26" i="71" s="1"/>
  <c r="L26" i="71"/>
  <c r="H26" i="71"/>
  <c r="N26" i="71" s="1"/>
  <c r="D26" i="71"/>
  <c r="B26" i="71"/>
  <c r="X25" i="71"/>
  <c r="T25" i="71"/>
  <c r="Z25" i="71" s="1"/>
  <c r="P25" i="71"/>
  <c r="N25" i="71"/>
  <c r="L25" i="71"/>
  <c r="H25" i="71"/>
  <c r="D25" i="71"/>
  <c r="B25" i="71"/>
  <c r="T24" i="71"/>
  <c r="P24" i="71"/>
  <c r="X24" i="71" s="1"/>
  <c r="Z24" i="71" s="1"/>
  <c r="N24" i="71"/>
  <c r="L24" i="71"/>
  <c r="H24" i="71"/>
  <c r="D24" i="71"/>
  <c r="B24" i="71"/>
  <c r="T23" i="71"/>
  <c r="P23" i="71"/>
  <c r="H23" i="71"/>
  <c r="D23" i="71"/>
  <c r="L23" i="71" s="1"/>
  <c r="N23" i="71" s="1"/>
  <c r="B23" i="71"/>
  <c r="X22" i="71"/>
  <c r="T22" i="71"/>
  <c r="Z22" i="71" s="1"/>
  <c r="P22" i="71"/>
  <c r="H22" i="71"/>
  <c r="N22" i="71" s="1"/>
  <c r="D22" i="71"/>
  <c r="L22" i="71" s="1"/>
  <c r="B22" i="71"/>
  <c r="Z21" i="71"/>
  <c r="X21" i="71"/>
  <c r="T21" i="71"/>
  <c r="P21" i="71"/>
  <c r="L21" i="71"/>
  <c r="H21" i="71"/>
  <c r="N21" i="71" s="1"/>
  <c r="D21" i="71"/>
  <c r="B21" i="71"/>
  <c r="Z20" i="71"/>
  <c r="X20" i="71"/>
  <c r="T20" i="71"/>
  <c r="P20" i="71"/>
  <c r="H20" i="71"/>
  <c r="D20" i="71"/>
  <c r="L20" i="71" s="1"/>
  <c r="N20" i="71" s="1"/>
  <c r="B20" i="71"/>
  <c r="Z19" i="71"/>
  <c r="T19" i="71"/>
  <c r="P19" i="71"/>
  <c r="X19" i="71" s="1"/>
  <c r="H19" i="71"/>
  <c r="N19" i="71" s="1"/>
  <c r="D19" i="71"/>
  <c r="L19" i="71" s="1"/>
  <c r="B19" i="71"/>
  <c r="T18" i="71"/>
  <c r="Z18" i="71" s="1"/>
  <c r="P18" i="71"/>
  <c r="X18" i="71" s="1"/>
  <c r="L18" i="71"/>
  <c r="H18" i="71"/>
  <c r="D18" i="71"/>
  <c r="B18" i="71"/>
  <c r="X17" i="71"/>
  <c r="T17" i="71"/>
  <c r="Z17" i="71" s="1"/>
  <c r="P17" i="71"/>
  <c r="N17" i="71"/>
  <c r="L17" i="71"/>
  <c r="H17" i="71"/>
  <c r="D17" i="71"/>
  <c r="B17" i="71"/>
  <c r="T16" i="71"/>
  <c r="P16" i="71"/>
  <c r="X16" i="71" s="1"/>
  <c r="Z16" i="71" s="1"/>
  <c r="N16" i="71"/>
  <c r="L16" i="71"/>
  <c r="H16" i="71"/>
  <c r="D16" i="71"/>
  <c r="B16" i="71"/>
  <c r="T15" i="71"/>
  <c r="P15" i="71"/>
  <c r="X15" i="71" s="1"/>
  <c r="H15" i="71"/>
  <c r="D15" i="71"/>
  <c r="L15" i="71" s="1"/>
  <c r="N15" i="71" s="1"/>
  <c r="B15" i="71"/>
  <c r="X14" i="71"/>
  <c r="T14" i="71"/>
  <c r="P14" i="71"/>
  <c r="P12" i="71" s="1"/>
  <c r="R41" i="71" s="1"/>
  <c r="H14" i="71"/>
  <c r="N14" i="71" s="1"/>
  <c r="D14" i="71"/>
  <c r="L14" i="71" s="1"/>
  <c r="B14" i="71"/>
  <c r="Z13" i="71"/>
  <c r="X13" i="71"/>
  <c r="T13" i="71"/>
  <c r="P13" i="71"/>
  <c r="L13" i="71"/>
  <c r="H13" i="71"/>
  <c r="N13" i="71" s="1"/>
  <c r="D13" i="71"/>
  <c r="B13" i="71"/>
  <c r="D12" i="71"/>
  <c r="D6" i="71"/>
  <c r="D4" i="71"/>
  <c r="X85" i="70"/>
  <c r="Z85" i="70" s="1"/>
  <c r="L85" i="70"/>
  <c r="N85" i="70" s="1"/>
  <c r="X81" i="70"/>
  <c r="T81" i="70"/>
  <c r="P81" i="70"/>
  <c r="H81" i="70"/>
  <c r="D81" i="70"/>
  <c r="B81" i="70"/>
  <c r="P80" i="70"/>
  <c r="Z78" i="70"/>
  <c r="X78" i="70"/>
  <c r="N78" i="70"/>
  <c r="L78" i="70"/>
  <c r="B78" i="70"/>
  <c r="Z77" i="70"/>
  <c r="X77" i="70"/>
  <c r="T77" i="70"/>
  <c r="P77" i="70"/>
  <c r="L77" i="70"/>
  <c r="H77" i="70"/>
  <c r="N77" i="70" s="1"/>
  <c r="D77" i="70"/>
  <c r="B77" i="70"/>
  <c r="Z76" i="70"/>
  <c r="X76" i="70"/>
  <c r="N76" i="70"/>
  <c r="L76" i="70"/>
  <c r="B76" i="70"/>
  <c r="X75" i="70"/>
  <c r="T75" i="70"/>
  <c r="P75" i="70"/>
  <c r="H75" i="70"/>
  <c r="D75" i="70"/>
  <c r="L75" i="70" s="1"/>
  <c r="B75" i="70"/>
  <c r="X74" i="70"/>
  <c r="Z74" i="70" s="1"/>
  <c r="N74" i="70"/>
  <c r="L74" i="70"/>
  <c r="B74" i="70"/>
  <c r="Z73" i="70"/>
  <c r="X73" i="70"/>
  <c r="N73" i="70"/>
  <c r="L73" i="70"/>
  <c r="B73" i="70"/>
  <c r="Z72" i="70"/>
  <c r="X72" i="70"/>
  <c r="N72" i="70"/>
  <c r="L72" i="70"/>
  <c r="B72" i="70"/>
  <c r="X71" i="70"/>
  <c r="Z71" i="70" s="1"/>
  <c r="L71" i="70"/>
  <c r="N71" i="70" s="1"/>
  <c r="B71" i="70"/>
  <c r="Z70" i="70"/>
  <c r="X70" i="70"/>
  <c r="N70" i="70"/>
  <c r="L70" i="70"/>
  <c r="B70" i="70"/>
  <c r="Z69" i="70"/>
  <c r="X69" i="70"/>
  <c r="N69" i="70"/>
  <c r="L69" i="70"/>
  <c r="B69" i="70"/>
  <c r="T68" i="70"/>
  <c r="P68" i="70"/>
  <c r="H68" i="70"/>
  <c r="D68" i="70"/>
  <c r="L68" i="70" s="1"/>
  <c r="N68" i="70" s="1"/>
  <c r="B68" i="70"/>
  <c r="Z67" i="70"/>
  <c r="X67" i="70"/>
  <c r="N67" i="70"/>
  <c r="L67" i="70"/>
  <c r="B67" i="70"/>
  <c r="Z66" i="70"/>
  <c r="T66" i="70"/>
  <c r="P66" i="70"/>
  <c r="X66" i="70" s="1"/>
  <c r="H66" i="70"/>
  <c r="N66" i="70" s="1"/>
  <c r="D66" i="70"/>
  <c r="L66" i="70" s="1"/>
  <c r="B66" i="70"/>
  <c r="Z65" i="70"/>
  <c r="X65" i="70"/>
  <c r="N65" i="70"/>
  <c r="L65" i="70"/>
  <c r="B65" i="70"/>
  <c r="T64" i="70"/>
  <c r="Z64" i="70" s="1"/>
  <c r="P64" i="70"/>
  <c r="X64" i="70" s="1"/>
  <c r="L64" i="70"/>
  <c r="N64" i="70" s="1"/>
  <c r="H64" i="70"/>
  <c r="D64" i="70"/>
  <c r="B64" i="70"/>
  <c r="X63" i="70"/>
  <c r="Z63" i="70" s="1"/>
  <c r="L63" i="70"/>
  <c r="N63" i="70" s="1"/>
  <c r="B63" i="70"/>
  <c r="X62" i="70"/>
  <c r="Z62" i="70" s="1"/>
  <c r="N62" i="70"/>
  <c r="L62" i="70"/>
  <c r="B62" i="70"/>
  <c r="Z61" i="70"/>
  <c r="X61" i="70"/>
  <c r="N61" i="70"/>
  <c r="L61" i="70"/>
  <c r="B61" i="70"/>
  <c r="T60" i="70"/>
  <c r="Z60" i="70" s="1"/>
  <c r="P60" i="70"/>
  <c r="X60" i="70" s="1"/>
  <c r="L60" i="70"/>
  <c r="N60" i="70" s="1"/>
  <c r="H60" i="70"/>
  <c r="D60" i="70"/>
  <c r="B60" i="70"/>
  <c r="Z59" i="70"/>
  <c r="X59" i="70"/>
  <c r="N59" i="70"/>
  <c r="L59" i="70"/>
  <c r="B59" i="70"/>
  <c r="Z58" i="70"/>
  <c r="X58" i="70"/>
  <c r="T58" i="70"/>
  <c r="P58" i="70"/>
  <c r="H58" i="70"/>
  <c r="N58" i="70" s="1"/>
  <c r="D58" i="70"/>
  <c r="B58" i="70"/>
  <c r="Z57" i="70"/>
  <c r="X57" i="70"/>
  <c r="N57" i="70"/>
  <c r="L57" i="70"/>
  <c r="B57" i="70"/>
  <c r="Z56" i="70"/>
  <c r="X56" i="70"/>
  <c r="N56" i="70"/>
  <c r="L56" i="70"/>
  <c r="B56" i="70"/>
  <c r="T55" i="70"/>
  <c r="Z55" i="70" s="1"/>
  <c r="P55" i="70"/>
  <c r="X55" i="70" s="1"/>
  <c r="N55" i="70"/>
  <c r="L55" i="70"/>
  <c r="H55" i="70"/>
  <c r="D55" i="70"/>
  <c r="B55" i="70"/>
  <c r="Z54" i="70"/>
  <c r="X54" i="70"/>
  <c r="L54" i="70"/>
  <c r="N54" i="70" s="1"/>
  <c r="B54" i="70"/>
  <c r="Z53" i="70"/>
  <c r="X53" i="70"/>
  <c r="T53" i="70"/>
  <c r="P53" i="70"/>
  <c r="L53" i="70"/>
  <c r="H53" i="70"/>
  <c r="D53" i="70"/>
  <c r="B53" i="70"/>
  <c r="Z52" i="70"/>
  <c r="X52" i="70"/>
  <c r="N52" i="70"/>
  <c r="L52" i="70"/>
  <c r="B52" i="70"/>
  <c r="X51" i="70"/>
  <c r="T51" i="70"/>
  <c r="Z51" i="70" s="1"/>
  <c r="P51" i="70"/>
  <c r="H51" i="70"/>
  <c r="N51" i="70" s="1"/>
  <c r="D51" i="70"/>
  <c r="B51" i="70"/>
  <c r="X50" i="70"/>
  <c r="Z50" i="70" s="1"/>
  <c r="N50" i="70"/>
  <c r="L50" i="70"/>
  <c r="B50" i="70"/>
  <c r="T49" i="70"/>
  <c r="P49" i="70"/>
  <c r="H49" i="70"/>
  <c r="D49" i="70"/>
  <c r="L49" i="70" s="1"/>
  <c r="B49" i="70"/>
  <c r="Z48" i="70"/>
  <c r="X48" i="70"/>
  <c r="N48" i="70"/>
  <c r="L48" i="70"/>
  <c r="B48" i="70"/>
  <c r="T47" i="70"/>
  <c r="Z47" i="70" s="1"/>
  <c r="P47" i="70"/>
  <c r="X47" i="70" s="1"/>
  <c r="N47" i="70"/>
  <c r="L47" i="70"/>
  <c r="H47" i="70"/>
  <c r="D47" i="70"/>
  <c r="B47" i="70"/>
  <c r="Z46" i="70"/>
  <c r="X46" i="70"/>
  <c r="N46" i="70"/>
  <c r="L46" i="70"/>
  <c r="B46" i="70"/>
  <c r="Z45" i="70"/>
  <c r="X45" i="70"/>
  <c r="N45" i="70"/>
  <c r="L45" i="70"/>
  <c r="B45" i="70"/>
  <c r="Z44" i="70"/>
  <c r="X44" i="70"/>
  <c r="N44" i="70"/>
  <c r="L44" i="70"/>
  <c r="B44" i="70"/>
  <c r="X43" i="70"/>
  <c r="Z43" i="70" s="1"/>
  <c r="L43" i="70"/>
  <c r="N43" i="70" s="1"/>
  <c r="B43" i="70"/>
  <c r="T42" i="70"/>
  <c r="P42" i="70"/>
  <c r="X42" i="70" s="1"/>
  <c r="Z42" i="70" s="1"/>
  <c r="H42" i="70"/>
  <c r="N42" i="70" s="1"/>
  <c r="D42" i="70"/>
  <c r="L42" i="70" s="1"/>
  <c r="B42" i="70"/>
  <c r="Z41" i="70"/>
  <c r="X41" i="70"/>
  <c r="N41" i="70"/>
  <c r="L41" i="70"/>
  <c r="B41" i="70"/>
  <c r="Z40" i="70"/>
  <c r="X40" i="70"/>
  <c r="N40" i="70"/>
  <c r="L40" i="70"/>
  <c r="B40" i="70"/>
  <c r="X39" i="70"/>
  <c r="Z39" i="70" s="1"/>
  <c r="L39" i="70"/>
  <c r="N39" i="70" s="1"/>
  <c r="B39" i="70"/>
  <c r="X38" i="70"/>
  <c r="Z38" i="70" s="1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X35" i="70"/>
  <c r="Z35" i="70" s="1"/>
  <c r="L35" i="70"/>
  <c r="N35" i="70" s="1"/>
  <c r="B35" i="70"/>
  <c r="Z34" i="70"/>
  <c r="X34" i="70"/>
  <c r="L34" i="70"/>
  <c r="N34" i="70" s="1"/>
  <c r="B34" i="70"/>
  <c r="Z33" i="70"/>
  <c r="X33" i="70"/>
  <c r="T33" i="70"/>
  <c r="P33" i="70"/>
  <c r="L33" i="70"/>
  <c r="H33" i="70"/>
  <c r="N33" i="70" s="1"/>
  <c r="D33" i="70"/>
  <c r="B33" i="70"/>
  <c r="T32" i="70" a="1"/>
  <c r="T32" i="70" s="1"/>
  <c r="P32" i="70" a="1"/>
  <c r="P32" i="70" s="1"/>
  <c r="H32" i="70" a="1"/>
  <c r="H32" i="70" s="1"/>
  <c r="D32" i="70" a="1"/>
  <c r="D32" i="70"/>
  <c r="Z28" i="70"/>
  <c r="X28" i="70"/>
  <c r="N28" i="70"/>
  <c r="L28" i="70"/>
  <c r="B28" i="70"/>
  <c r="T27" i="70"/>
  <c r="Z27" i="70" s="1"/>
  <c r="P27" i="70"/>
  <c r="X27" i="70" s="1"/>
  <c r="N27" i="70"/>
  <c r="L27" i="70"/>
  <c r="H27" i="70"/>
  <c r="D27" i="70"/>
  <c r="X25" i="70"/>
  <c r="T25" i="70"/>
  <c r="P25" i="70"/>
  <c r="H25" i="70"/>
  <c r="N25" i="70" s="1"/>
  <c r="D25" i="70"/>
  <c r="B25" i="70"/>
  <c r="Z24" i="70"/>
  <c r="X24" i="70"/>
  <c r="T24" i="70"/>
  <c r="P24" i="70"/>
  <c r="L24" i="70"/>
  <c r="N24" i="70" s="1"/>
  <c r="H24" i="70"/>
  <c r="D24" i="70"/>
  <c r="B24" i="70"/>
  <c r="Z23" i="70"/>
  <c r="X23" i="70"/>
  <c r="T23" i="70"/>
  <c r="P23" i="70"/>
  <c r="N23" i="70"/>
  <c r="H23" i="70"/>
  <c r="D23" i="70"/>
  <c r="L23" i="70" s="1"/>
  <c r="B23" i="70"/>
  <c r="T22" i="70"/>
  <c r="P22" i="70"/>
  <c r="X22" i="70" s="1"/>
  <c r="Z22" i="70" s="1"/>
  <c r="H22" i="70"/>
  <c r="D22" i="70"/>
  <c r="B22" i="70"/>
  <c r="T21" i="70"/>
  <c r="P21" i="70"/>
  <c r="L21" i="70"/>
  <c r="H21" i="70"/>
  <c r="D21" i="70"/>
  <c r="B21" i="70"/>
  <c r="X20" i="70"/>
  <c r="Z20" i="70" s="1"/>
  <c r="T20" i="70"/>
  <c r="P20" i="70"/>
  <c r="N20" i="70"/>
  <c r="L20" i="70"/>
  <c r="H20" i="70"/>
  <c r="D20" i="70"/>
  <c r="B20" i="70"/>
  <c r="Z19" i="70"/>
  <c r="T19" i="70"/>
  <c r="P19" i="70"/>
  <c r="X19" i="70" s="1"/>
  <c r="N19" i="70"/>
  <c r="L19" i="70"/>
  <c r="H19" i="70"/>
  <c r="D19" i="70"/>
  <c r="B19" i="70"/>
  <c r="T18" i="70"/>
  <c r="Z18" i="70" s="1"/>
  <c r="P18" i="70"/>
  <c r="N18" i="70"/>
  <c r="H18" i="70"/>
  <c r="D18" i="70"/>
  <c r="L18" i="70" s="1"/>
  <c r="B18" i="70"/>
  <c r="T17" i="70"/>
  <c r="P17" i="70"/>
  <c r="H17" i="70"/>
  <c r="D17" i="70"/>
  <c r="B17" i="70"/>
  <c r="Z16" i="70"/>
  <c r="X16" i="70"/>
  <c r="T16" i="70"/>
  <c r="P16" i="70"/>
  <c r="N16" i="70"/>
  <c r="L16" i="70"/>
  <c r="H16" i="70"/>
  <c r="D16" i="70"/>
  <c r="B16" i="70"/>
  <c r="Z15" i="70"/>
  <c r="X15" i="70"/>
  <c r="T15" i="70"/>
  <c r="P15" i="70"/>
  <c r="H15" i="70"/>
  <c r="D15" i="70"/>
  <c r="L15" i="70" s="1"/>
  <c r="N15" i="70" s="1"/>
  <c r="B15" i="70"/>
  <c r="T14" i="70"/>
  <c r="P14" i="70"/>
  <c r="X14" i="70" s="1"/>
  <c r="Z14" i="70" s="1"/>
  <c r="H14" i="70"/>
  <c r="D14" i="70"/>
  <c r="B14" i="70"/>
  <c r="T13" i="70"/>
  <c r="P13" i="70"/>
  <c r="P12" i="70" s="1"/>
  <c r="L13" i="70"/>
  <c r="H13" i="70"/>
  <c r="D13" i="70"/>
  <c r="B13" i="70"/>
  <c r="D6" i="70"/>
  <c r="D4" i="70"/>
  <c r="Z150" i="69"/>
  <c r="X150" i="69"/>
  <c r="N150" i="69"/>
  <c r="L150" i="69"/>
  <c r="T146" i="69"/>
  <c r="P146" i="69"/>
  <c r="H146" i="69"/>
  <c r="D146" i="69"/>
  <c r="L146" i="69" s="1"/>
  <c r="N146" i="69" s="1"/>
  <c r="B146" i="69"/>
  <c r="X145" i="69"/>
  <c r="T145" i="69"/>
  <c r="T143" i="69" s="1"/>
  <c r="P145" i="69"/>
  <c r="H145" i="69"/>
  <c r="D145" i="69"/>
  <c r="B145" i="69"/>
  <c r="T144" i="69"/>
  <c r="P144" i="69"/>
  <c r="P143" i="69" s="1"/>
  <c r="H144" i="69"/>
  <c r="D144" i="69"/>
  <c r="B144" i="69"/>
  <c r="Z141" i="69"/>
  <c r="X141" i="69"/>
  <c r="N141" i="69"/>
  <c r="L141" i="69"/>
  <c r="B141" i="69"/>
  <c r="T140" i="69"/>
  <c r="P140" i="69"/>
  <c r="H140" i="69"/>
  <c r="D140" i="69"/>
  <c r="L140" i="69" s="1"/>
  <c r="N140" i="69" s="1"/>
  <c r="B140" i="69"/>
  <c r="Z139" i="69"/>
  <c r="X139" i="69"/>
  <c r="N139" i="69"/>
  <c r="L139" i="69"/>
  <c r="B139" i="69"/>
  <c r="Z138" i="69"/>
  <c r="X138" i="69"/>
  <c r="T138" i="69"/>
  <c r="P138" i="69"/>
  <c r="H138" i="69"/>
  <c r="D138" i="69"/>
  <c r="B138" i="69"/>
  <c r="Z137" i="69"/>
  <c r="X137" i="69"/>
  <c r="N137" i="69"/>
  <c r="L137" i="69"/>
  <c r="B137" i="69"/>
  <c r="T136" i="69"/>
  <c r="P136" i="69"/>
  <c r="X136" i="69" s="1"/>
  <c r="L136" i="69"/>
  <c r="N136" i="69" s="1"/>
  <c r="H136" i="69"/>
  <c r="D136" i="69"/>
  <c r="B136" i="69"/>
  <c r="X135" i="69"/>
  <c r="Z135" i="69" s="1"/>
  <c r="N135" i="69"/>
  <c r="L135" i="69"/>
  <c r="B135" i="69"/>
  <c r="Z134" i="69"/>
  <c r="X134" i="69"/>
  <c r="N134" i="69"/>
  <c r="L134" i="69"/>
  <c r="B134" i="69"/>
  <c r="Z133" i="69"/>
  <c r="X133" i="69"/>
  <c r="N133" i="69"/>
  <c r="L133" i="69"/>
  <c r="B133" i="69"/>
  <c r="Z132" i="69"/>
  <c r="X132" i="69"/>
  <c r="N132" i="69"/>
  <c r="L132" i="69"/>
  <c r="B132" i="69"/>
  <c r="X131" i="69"/>
  <c r="Z131" i="69" s="1"/>
  <c r="L131" i="69"/>
  <c r="N131" i="69" s="1"/>
  <c r="B131" i="69"/>
  <c r="X130" i="69"/>
  <c r="Z130" i="69" s="1"/>
  <c r="T130" i="69"/>
  <c r="P130" i="69"/>
  <c r="H130" i="69"/>
  <c r="D130" i="69"/>
  <c r="B130" i="69"/>
  <c r="Z129" i="69"/>
  <c r="X129" i="69"/>
  <c r="N129" i="69"/>
  <c r="L129" i="69"/>
  <c r="B129" i="69"/>
  <c r="Z128" i="69"/>
  <c r="X128" i="69"/>
  <c r="N128" i="69"/>
  <c r="L128" i="69"/>
  <c r="B128" i="69"/>
  <c r="T127" i="69"/>
  <c r="Z127" i="69" s="1"/>
  <c r="P127" i="69"/>
  <c r="X127" i="69" s="1"/>
  <c r="N127" i="69"/>
  <c r="L127" i="69"/>
  <c r="H127" i="69"/>
  <c r="D127" i="69"/>
  <c r="B127" i="69"/>
  <c r="Z126" i="69"/>
  <c r="X126" i="69"/>
  <c r="N126" i="69"/>
  <c r="L126" i="69"/>
  <c r="B126" i="69"/>
  <c r="Z125" i="69"/>
  <c r="X125" i="69"/>
  <c r="N125" i="69"/>
  <c r="L125" i="69"/>
  <c r="B125" i="69"/>
  <c r="T124" i="69"/>
  <c r="P124" i="69"/>
  <c r="X124" i="69" s="1"/>
  <c r="H124" i="69"/>
  <c r="D124" i="69"/>
  <c r="L124" i="69" s="1"/>
  <c r="N124" i="69" s="1"/>
  <c r="B124" i="69"/>
  <c r="Z123" i="69"/>
  <c r="X123" i="69"/>
  <c r="N123" i="69"/>
  <c r="L123" i="69"/>
  <c r="B123" i="69"/>
  <c r="Z122" i="69"/>
  <c r="X122" i="69"/>
  <c r="N122" i="69"/>
  <c r="L122" i="69"/>
  <c r="B122" i="69"/>
  <c r="Z121" i="69"/>
  <c r="X121" i="69"/>
  <c r="T121" i="69"/>
  <c r="P121" i="69"/>
  <c r="L121" i="69"/>
  <c r="H121" i="69"/>
  <c r="N121" i="69" s="1"/>
  <c r="D121" i="69"/>
  <c r="B121" i="69"/>
  <c r="Z120" i="69"/>
  <c r="X120" i="69"/>
  <c r="N120" i="69"/>
  <c r="L120" i="69"/>
  <c r="B120" i="69"/>
  <c r="X119" i="69"/>
  <c r="T119" i="69"/>
  <c r="Z119" i="69" s="1"/>
  <c r="P119" i="69"/>
  <c r="N119" i="69"/>
  <c r="H119" i="69"/>
  <c r="D119" i="69"/>
  <c r="B119" i="69"/>
  <c r="Z118" i="69"/>
  <c r="X118" i="69"/>
  <c r="N118" i="69"/>
  <c r="L118" i="69"/>
  <c r="B118" i="69"/>
  <c r="Z117" i="69"/>
  <c r="X117" i="69"/>
  <c r="N117" i="69"/>
  <c r="L117" i="69"/>
  <c r="B117" i="69"/>
  <c r="T116" i="69"/>
  <c r="P116" i="69"/>
  <c r="H116" i="69"/>
  <c r="D116" i="69"/>
  <c r="L116" i="69" s="1"/>
  <c r="N116" i="69" s="1"/>
  <c r="B116" i="69"/>
  <c r="Z115" i="69"/>
  <c r="X115" i="69"/>
  <c r="N115" i="69"/>
  <c r="L115" i="69"/>
  <c r="B115" i="69"/>
  <c r="Z114" i="69"/>
  <c r="X114" i="69"/>
  <c r="T114" i="69"/>
  <c r="P114" i="69"/>
  <c r="H114" i="69"/>
  <c r="D114" i="69"/>
  <c r="B114" i="69"/>
  <c r="Z113" i="69"/>
  <c r="X113" i="69"/>
  <c r="N113" i="69"/>
  <c r="L113" i="69"/>
  <c r="B113" i="69"/>
  <c r="Z112" i="69"/>
  <c r="X112" i="69"/>
  <c r="N112" i="69"/>
  <c r="L112" i="69"/>
  <c r="B112" i="69"/>
  <c r="T111" i="69"/>
  <c r="Z111" i="69" s="1"/>
  <c r="P111" i="69"/>
  <c r="X111" i="69" s="1"/>
  <c r="N111" i="69"/>
  <c r="L111" i="69"/>
  <c r="H111" i="69"/>
  <c r="D111" i="69"/>
  <c r="B111" i="69"/>
  <c r="Z110" i="69"/>
  <c r="X110" i="69"/>
  <c r="N110" i="69"/>
  <c r="L110" i="69"/>
  <c r="B110" i="69"/>
  <c r="Z109" i="69"/>
  <c r="X109" i="69"/>
  <c r="T109" i="69"/>
  <c r="P109" i="69"/>
  <c r="L109" i="69"/>
  <c r="H109" i="69"/>
  <c r="N109" i="69" s="1"/>
  <c r="D109" i="69"/>
  <c r="B109" i="69"/>
  <c r="Z108" i="69"/>
  <c r="X108" i="69"/>
  <c r="N108" i="69"/>
  <c r="L108" i="69"/>
  <c r="B108" i="69"/>
  <c r="X107" i="69"/>
  <c r="T107" i="69"/>
  <c r="Z107" i="69" s="1"/>
  <c r="P107" i="69"/>
  <c r="H107" i="69"/>
  <c r="N107" i="69" s="1"/>
  <c r="D107" i="69"/>
  <c r="L107" i="69" s="1"/>
  <c r="B107" i="69"/>
  <c r="Z106" i="69"/>
  <c r="X106" i="69"/>
  <c r="N106" i="69"/>
  <c r="L106" i="69"/>
  <c r="B106" i="69"/>
  <c r="Z105" i="69"/>
  <c r="X105" i="69"/>
  <c r="N105" i="69"/>
  <c r="L105" i="69"/>
  <c r="B105" i="69"/>
  <c r="T104" i="69"/>
  <c r="Z104" i="69" s="1"/>
  <c r="P104" i="69"/>
  <c r="N104" i="69"/>
  <c r="H104" i="69"/>
  <c r="D104" i="69"/>
  <c r="L104" i="69" s="1"/>
  <c r="B104" i="69"/>
  <c r="X103" i="69"/>
  <c r="Z103" i="69" s="1"/>
  <c r="L103" i="69"/>
  <c r="N103" i="69" s="1"/>
  <c r="B103" i="69"/>
  <c r="T102" i="69"/>
  <c r="P102" i="69"/>
  <c r="X102" i="69" s="1"/>
  <c r="Z102" i="69" s="1"/>
  <c r="H102" i="69"/>
  <c r="D102" i="69"/>
  <c r="B102" i="69"/>
  <c r="Z101" i="69"/>
  <c r="X101" i="69"/>
  <c r="N101" i="69"/>
  <c r="L101" i="69"/>
  <c r="B101" i="69"/>
  <c r="Z100" i="69"/>
  <c r="X100" i="69"/>
  <c r="N100" i="69"/>
  <c r="L100" i="69"/>
  <c r="B100" i="69"/>
  <c r="X99" i="69"/>
  <c r="Z99" i="69" s="1"/>
  <c r="L99" i="69"/>
  <c r="N99" i="69" s="1"/>
  <c r="B99" i="69"/>
  <c r="X98" i="69"/>
  <c r="Z98" i="69" s="1"/>
  <c r="N98" i="69"/>
  <c r="L98" i="69"/>
  <c r="B98" i="69"/>
  <c r="Z97" i="69"/>
  <c r="X97" i="69"/>
  <c r="N97" i="69"/>
  <c r="L97" i="69"/>
  <c r="B97" i="69"/>
  <c r="Z96" i="69"/>
  <c r="X96" i="69"/>
  <c r="N96" i="69"/>
  <c r="L96" i="69"/>
  <c r="B96" i="69"/>
  <c r="X95" i="69"/>
  <c r="T95" i="69"/>
  <c r="Z95" i="69" s="1"/>
  <c r="P95" i="69"/>
  <c r="H95" i="69"/>
  <c r="D95" i="69"/>
  <c r="B95" i="69"/>
  <c r="X94" i="69"/>
  <c r="Z94" i="69" s="1"/>
  <c r="N94" i="69"/>
  <c r="L94" i="69"/>
  <c r="B94" i="69"/>
  <c r="Z93" i="69"/>
  <c r="X93" i="69"/>
  <c r="N93" i="69"/>
  <c r="L93" i="69"/>
  <c r="B93" i="69"/>
  <c r="Z92" i="69"/>
  <c r="X92" i="69"/>
  <c r="N92" i="69"/>
  <c r="L92" i="69"/>
  <c r="B92" i="69"/>
  <c r="X91" i="69"/>
  <c r="Z91" i="69" s="1"/>
  <c r="L91" i="69"/>
  <c r="N91" i="69" s="1"/>
  <c r="B91" i="69"/>
  <c r="X90" i="69"/>
  <c r="Z90" i="69" s="1"/>
  <c r="L90" i="69"/>
  <c r="N90" i="69" s="1"/>
  <c r="B90" i="69"/>
  <c r="Z89" i="69"/>
  <c r="X89" i="69"/>
  <c r="N89" i="69"/>
  <c r="L89" i="69"/>
  <c r="B89" i="69"/>
  <c r="Z88" i="69"/>
  <c r="X88" i="69"/>
  <c r="N88" i="69"/>
  <c r="L88" i="69"/>
  <c r="B88" i="69"/>
  <c r="X87" i="69"/>
  <c r="Z87" i="69" s="1"/>
  <c r="L87" i="69"/>
  <c r="N87" i="69" s="1"/>
  <c r="B87" i="69"/>
  <c r="T86" i="69"/>
  <c r="P86" i="69"/>
  <c r="X86" i="69" s="1"/>
  <c r="Z86" i="69" s="1"/>
  <c r="H86" i="69"/>
  <c r="D86" i="69"/>
  <c r="B86" i="69"/>
  <c r="T85" i="69" a="1"/>
  <c r="T85" i="69" s="1"/>
  <c r="P85" i="69" a="1"/>
  <c r="P85" i="69" s="1"/>
  <c r="X85" i="69" s="1"/>
  <c r="H85" i="69" a="1"/>
  <c r="H85" i="69" s="1"/>
  <c r="D85" i="69" a="1"/>
  <c r="D85" i="69" s="1"/>
  <c r="Z81" i="69"/>
  <c r="X81" i="69"/>
  <c r="N81" i="69"/>
  <c r="L81" i="69"/>
  <c r="B81" i="69"/>
  <c r="Z80" i="69"/>
  <c r="X80" i="69"/>
  <c r="N80" i="69"/>
  <c r="L80" i="69"/>
  <c r="B80" i="69"/>
  <c r="X79" i="69"/>
  <c r="Z79" i="69" s="1"/>
  <c r="N79" i="69"/>
  <c r="L79" i="69"/>
  <c r="B79" i="69"/>
  <c r="Z78" i="69"/>
  <c r="X78" i="69"/>
  <c r="N78" i="69"/>
  <c r="L78" i="69"/>
  <c r="B78" i="69"/>
  <c r="Z77" i="69"/>
  <c r="X77" i="69"/>
  <c r="N77" i="69"/>
  <c r="L77" i="69"/>
  <c r="B77" i="69"/>
  <c r="Z76" i="69"/>
  <c r="X76" i="69"/>
  <c r="L76" i="69"/>
  <c r="N76" i="69" s="1"/>
  <c r="B76" i="69"/>
  <c r="X75" i="69"/>
  <c r="Z75" i="69" s="1"/>
  <c r="L75" i="69"/>
  <c r="N75" i="69" s="1"/>
  <c r="B75" i="69"/>
  <c r="X74" i="69"/>
  <c r="Z74" i="69" s="1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Z71" i="69"/>
  <c r="X71" i="69"/>
  <c r="N71" i="69"/>
  <c r="L71" i="69"/>
  <c r="B71" i="69"/>
  <c r="Z70" i="69"/>
  <c r="X70" i="69"/>
  <c r="L70" i="69"/>
  <c r="N70" i="69" s="1"/>
  <c r="B70" i="69"/>
  <c r="Z69" i="69"/>
  <c r="X69" i="69"/>
  <c r="N69" i="69"/>
  <c r="L69" i="69"/>
  <c r="B69" i="69"/>
  <c r="Z68" i="69"/>
  <c r="X68" i="69"/>
  <c r="L68" i="69"/>
  <c r="N68" i="69" s="1"/>
  <c r="B68" i="69"/>
  <c r="X67" i="69"/>
  <c r="Z67" i="69" s="1"/>
  <c r="L67" i="69"/>
  <c r="N67" i="69" s="1"/>
  <c r="B67" i="69"/>
  <c r="X66" i="69"/>
  <c r="Z66" i="69" s="1"/>
  <c r="L66" i="69"/>
  <c r="N66" i="69" s="1"/>
  <c r="B66" i="69"/>
  <c r="Z65" i="69"/>
  <c r="X65" i="69"/>
  <c r="N65" i="69"/>
  <c r="L65" i="69"/>
  <c r="B65" i="69"/>
  <c r="X64" i="69"/>
  <c r="Z64" i="69" s="1"/>
  <c r="N64" i="69"/>
  <c r="L64" i="69"/>
  <c r="B64" i="69"/>
  <c r="X63" i="69"/>
  <c r="Z63" i="69" s="1"/>
  <c r="L63" i="69"/>
  <c r="N63" i="69" s="1"/>
  <c r="B63" i="69"/>
  <c r="Z62" i="69"/>
  <c r="X62" i="69"/>
  <c r="N62" i="69"/>
  <c r="L62" i="69"/>
  <c r="B62" i="69"/>
  <c r="Z61" i="69"/>
  <c r="X61" i="69"/>
  <c r="N61" i="69"/>
  <c r="L61" i="69"/>
  <c r="B61" i="69"/>
  <c r="Z60" i="69"/>
  <c r="X60" i="69"/>
  <c r="L60" i="69"/>
  <c r="N60" i="69" s="1"/>
  <c r="B60" i="69"/>
  <c r="X59" i="69"/>
  <c r="Z59" i="69" s="1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T56" i="69"/>
  <c r="P56" i="69"/>
  <c r="H56" i="69"/>
  <c r="D56" i="69"/>
  <c r="L56" i="69" s="1"/>
  <c r="N56" i="69" s="1"/>
  <c r="Z54" i="69"/>
  <c r="T54" i="69"/>
  <c r="P54" i="69"/>
  <c r="X54" i="69" s="1"/>
  <c r="H54" i="69"/>
  <c r="N54" i="69" s="1"/>
  <c r="D54" i="69"/>
  <c r="B54" i="69"/>
  <c r="X53" i="69"/>
  <c r="T53" i="69"/>
  <c r="P53" i="69"/>
  <c r="H53" i="69"/>
  <c r="N53" i="69" s="1"/>
  <c r="D53" i="69"/>
  <c r="L53" i="69" s="1"/>
  <c r="B53" i="69"/>
  <c r="X52" i="69"/>
  <c r="Z52" i="69" s="1"/>
  <c r="T52" i="69"/>
  <c r="P52" i="69"/>
  <c r="L52" i="69"/>
  <c r="H52" i="69"/>
  <c r="N52" i="69" s="1"/>
  <c r="D52" i="69"/>
  <c r="B52" i="69"/>
  <c r="T51" i="69"/>
  <c r="P51" i="69"/>
  <c r="L51" i="69"/>
  <c r="N51" i="69" s="1"/>
  <c r="H51" i="69"/>
  <c r="D51" i="69"/>
  <c r="B51" i="69"/>
  <c r="X50" i="69"/>
  <c r="T50" i="69"/>
  <c r="Z50" i="69" s="1"/>
  <c r="P50" i="69"/>
  <c r="H50" i="69"/>
  <c r="N50" i="69" s="1"/>
  <c r="D50" i="69"/>
  <c r="B50" i="69"/>
  <c r="X49" i="69"/>
  <c r="T49" i="69"/>
  <c r="Z49" i="69" s="1"/>
  <c r="P49" i="69"/>
  <c r="H49" i="69"/>
  <c r="D49" i="69"/>
  <c r="B49" i="69"/>
  <c r="X48" i="69"/>
  <c r="T48" i="69"/>
  <c r="Z48" i="69" s="1"/>
  <c r="P48" i="69"/>
  <c r="L48" i="69"/>
  <c r="N48" i="69" s="1"/>
  <c r="H48" i="69"/>
  <c r="D48" i="69"/>
  <c r="B48" i="69"/>
  <c r="Z47" i="69"/>
  <c r="X47" i="69"/>
  <c r="T47" i="69"/>
  <c r="P47" i="69"/>
  <c r="N47" i="69"/>
  <c r="H47" i="69"/>
  <c r="D47" i="69"/>
  <c r="L47" i="69" s="1"/>
  <c r="B47" i="69"/>
  <c r="T46" i="69"/>
  <c r="P46" i="69"/>
  <c r="L46" i="69"/>
  <c r="H46" i="69"/>
  <c r="N46" i="69" s="1"/>
  <c r="D46" i="69"/>
  <c r="B46" i="69"/>
  <c r="X45" i="69"/>
  <c r="T45" i="69"/>
  <c r="P45" i="69"/>
  <c r="L45" i="69"/>
  <c r="H45" i="69"/>
  <c r="N45" i="69" s="1"/>
  <c r="D45" i="69"/>
  <c r="B45" i="69"/>
  <c r="Z44" i="69"/>
  <c r="X44" i="69"/>
  <c r="T44" i="69"/>
  <c r="P44" i="69"/>
  <c r="H44" i="69"/>
  <c r="L44" i="69" s="1"/>
  <c r="N44" i="69" s="1"/>
  <c r="D44" i="69"/>
  <c r="B44" i="69"/>
  <c r="T43" i="69"/>
  <c r="P43" i="69"/>
  <c r="X43" i="69" s="1"/>
  <c r="Z43" i="69" s="1"/>
  <c r="H43" i="69"/>
  <c r="D43" i="69"/>
  <c r="L43" i="69" s="1"/>
  <c r="N43" i="69" s="1"/>
  <c r="B43" i="69"/>
  <c r="T42" i="69"/>
  <c r="Z42" i="69" s="1"/>
  <c r="P42" i="69"/>
  <c r="X42" i="69" s="1"/>
  <c r="H42" i="69"/>
  <c r="D42" i="69"/>
  <c r="L42" i="69" s="1"/>
  <c r="N42" i="69" s="1"/>
  <c r="B42" i="69"/>
  <c r="T41" i="69"/>
  <c r="Z41" i="69" s="1"/>
  <c r="P41" i="69"/>
  <c r="X41" i="69" s="1"/>
  <c r="H41" i="69"/>
  <c r="N41" i="69" s="1"/>
  <c r="D41" i="69"/>
  <c r="L41" i="69" s="1"/>
  <c r="B41" i="69"/>
  <c r="T40" i="69"/>
  <c r="Z40" i="69" s="1"/>
  <c r="P40" i="69"/>
  <c r="H40" i="69"/>
  <c r="N40" i="69" s="1"/>
  <c r="D40" i="69"/>
  <c r="B40" i="69"/>
  <c r="X39" i="69"/>
  <c r="Z39" i="69" s="1"/>
  <c r="T39" i="69"/>
  <c r="P39" i="69"/>
  <c r="L39" i="69"/>
  <c r="H39" i="69"/>
  <c r="D39" i="69"/>
  <c r="B39" i="69"/>
  <c r="Z38" i="69"/>
  <c r="T38" i="69"/>
  <c r="P38" i="69"/>
  <c r="X38" i="69" s="1"/>
  <c r="L38" i="69"/>
  <c r="H38" i="69"/>
  <c r="N38" i="69" s="1"/>
  <c r="D38" i="69"/>
  <c r="B38" i="69"/>
  <c r="X37" i="69"/>
  <c r="T37" i="69"/>
  <c r="P37" i="69"/>
  <c r="L37" i="69"/>
  <c r="H37" i="69"/>
  <c r="D37" i="69"/>
  <c r="B37" i="69"/>
  <c r="T36" i="69"/>
  <c r="X36" i="69" s="1"/>
  <c r="Z36" i="69" s="1"/>
  <c r="P36" i="69"/>
  <c r="N36" i="69"/>
  <c r="L36" i="69"/>
  <c r="H36" i="69"/>
  <c r="D36" i="69"/>
  <c r="B36" i="69"/>
  <c r="T35" i="69"/>
  <c r="P35" i="69"/>
  <c r="X35" i="69" s="1"/>
  <c r="Z35" i="69" s="1"/>
  <c r="H35" i="69"/>
  <c r="D35" i="69"/>
  <c r="L35" i="69" s="1"/>
  <c r="N35" i="69" s="1"/>
  <c r="B35" i="69"/>
  <c r="T34" i="69"/>
  <c r="P34" i="69"/>
  <c r="H34" i="69"/>
  <c r="D34" i="69"/>
  <c r="L34" i="69" s="1"/>
  <c r="N34" i="69" s="1"/>
  <c r="B34" i="69"/>
  <c r="T33" i="69"/>
  <c r="P33" i="69"/>
  <c r="H33" i="69"/>
  <c r="N33" i="69" s="1"/>
  <c r="D33" i="69"/>
  <c r="L33" i="69" s="1"/>
  <c r="B33" i="69"/>
  <c r="T32" i="69"/>
  <c r="P32" i="69"/>
  <c r="H32" i="69"/>
  <c r="N32" i="69" s="1"/>
  <c r="D32" i="69"/>
  <c r="L32" i="69" s="1"/>
  <c r="B32" i="69"/>
  <c r="X31" i="69"/>
  <c r="T31" i="69"/>
  <c r="Z31" i="69" s="1"/>
  <c r="P31" i="69"/>
  <c r="L31" i="69"/>
  <c r="H31" i="69"/>
  <c r="N31" i="69" s="1"/>
  <c r="D31" i="69"/>
  <c r="B31" i="69"/>
  <c r="Z30" i="69"/>
  <c r="X30" i="69"/>
  <c r="T30" i="69"/>
  <c r="P30" i="69"/>
  <c r="N30" i="69"/>
  <c r="L30" i="69"/>
  <c r="H30" i="69"/>
  <c r="D30" i="69"/>
  <c r="B30" i="69"/>
  <c r="T29" i="69"/>
  <c r="P29" i="69"/>
  <c r="X29" i="69" s="1"/>
  <c r="Z29" i="69" s="1"/>
  <c r="H29" i="69"/>
  <c r="D29" i="69"/>
  <c r="L29" i="69" s="1"/>
  <c r="N29" i="69" s="1"/>
  <c r="B29" i="69"/>
  <c r="T28" i="69"/>
  <c r="Z28" i="69" s="1"/>
  <c r="P28" i="69"/>
  <c r="X28" i="69" s="1"/>
  <c r="H28" i="69"/>
  <c r="D28" i="69"/>
  <c r="L28" i="69" s="1"/>
  <c r="B28" i="69"/>
  <c r="X27" i="69"/>
  <c r="T27" i="69"/>
  <c r="Z27" i="69" s="1"/>
  <c r="P27" i="69"/>
  <c r="L27" i="69"/>
  <c r="H27" i="69"/>
  <c r="D27" i="69"/>
  <c r="B27" i="69"/>
  <c r="Z26" i="69"/>
  <c r="X26" i="69"/>
  <c r="T26" i="69"/>
  <c r="P26" i="69"/>
  <c r="N26" i="69"/>
  <c r="L26" i="69"/>
  <c r="H26" i="69"/>
  <c r="D26" i="69"/>
  <c r="B26" i="69"/>
  <c r="Z25" i="69"/>
  <c r="T25" i="69"/>
  <c r="P25" i="69"/>
  <c r="X25" i="69" s="1"/>
  <c r="N25" i="69"/>
  <c r="H25" i="69"/>
  <c r="D25" i="69"/>
  <c r="L25" i="69" s="1"/>
  <c r="B25" i="69"/>
  <c r="T24" i="69"/>
  <c r="P24" i="69"/>
  <c r="H24" i="69"/>
  <c r="N24" i="69" s="1"/>
  <c r="D24" i="69"/>
  <c r="L24" i="69" s="1"/>
  <c r="B24" i="69"/>
  <c r="X23" i="69"/>
  <c r="T23" i="69"/>
  <c r="Z23" i="69" s="1"/>
  <c r="P23" i="69"/>
  <c r="L23" i="69"/>
  <c r="H23" i="69"/>
  <c r="N23" i="69" s="1"/>
  <c r="D23" i="69"/>
  <c r="B23" i="69"/>
  <c r="Z22" i="69"/>
  <c r="X22" i="69"/>
  <c r="T22" i="69"/>
  <c r="P22" i="69"/>
  <c r="N22" i="69"/>
  <c r="L22" i="69"/>
  <c r="H22" i="69"/>
  <c r="D22" i="69"/>
  <c r="B22" i="69"/>
  <c r="T21" i="69"/>
  <c r="P21" i="69"/>
  <c r="X21" i="69" s="1"/>
  <c r="Z21" i="69" s="1"/>
  <c r="H21" i="69"/>
  <c r="D21" i="69"/>
  <c r="L21" i="69" s="1"/>
  <c r="N21" i="69" s="1"/>
  <c r="B21" i="69"/>
  <c r="T20" i="69"/>
  <c r="Z20" i="69" s="1"/>
  <c r="P20" i="69"/>
  <c r="X20" i="69" s="1"/>
  <c r="H20" i="69"/>
  <c r="H12" i="69" s="1"/>
  <c r="D20" i="69"/>
  <c r="B20" i="69"/>
  <c r="X19" i="69"/>
  <c r="T19" i="69"/>
  <c r="Z19" i="69" s="1"/>
  <c r="P19" i="69"/>
  <c r="L19" i="69"/>
  <c r="H19" i="69"/>
  <c r="D19" i="69"/>
  <c r="B19" i="69"/>
  <c r="Z18" i="69"/>
  <c r="X18" i="69"/>
  <c r="T18" i="69"/>
  <c r="P18" i="69"/>
  <c r="N18" i="69"/>
  <c r="L18" i="69"/>
  <c r="H18" i="69"/>
  <c r="D18" i="69"/>
  <c r="B18" i="69"/>
  <c r="T17" i="69"/>
  <c r="P17" i="69"/>
  <c r="X17" i="69" s="1"/>
  <c r="Z17" i="69" s="1"/>
  <c r="H17" i="69"/>
  <c r="D17" i="69"/>
  <c r="L17" i="69" s="1"/>
  <c r="N17" i="69" s="1"/>
  <c r="B17" i="69"/>
  <c r="T16" i="69"/>
  <c r="P16" i="69"/>
  <c r="H16" i="69"/>
  <c r="D16" i="69"/>
  <c r="L16" i="69" s="1"/>
  <c r="B16" i="69"/>
  <c r="X15" i="69"/>
  <c r="T15" i="69"/>
  <c r="P15" i="69"/>
  <c r="L15" i="69"/>
  <c r="H15" i="69"/>
  <c r="N15" i="69" s="1"/>
  <c r="D15" i="69"/>
  <c r="B15" i="69"/>
  <c r="Z14" i="69"/>
  <c r="X14" i="69"/>
  <c r="T14" i="69"/>
  <c r="P14" i="69"/>
  <c r="N14" i="69"/>
  <c r="L14" i="69"/>
  <c r="H14" i="69"/>
  <c r="D14" i="69"/>
  <c r="B14" i="69"/>
  <c r="T13" i="69"/>
  <c r="P13" i="69"/>
  <c r="X13" i="69" s="1"/>
  <c r="Z13" i="69" s="1"/>
  <c r="H13" i="69"/>
  <c r="D13" i="69"/>
  <c r="B13" i="69"/>
  <c r="D6" i="69"/>
  <c r="D4" i="69"/>
  <c r="R54" i="67"/>
  <c r="Z52" i="67"/>
  <c r="X52" i="67"/>
  <c r="N52" i="67"/>
  <c r="L52" i="67"/>
  <c r="Z48" i="67"/>
  <c r="T48" i="67"/>
  <c r="R48" i="67"/>
  <c r="P48" i="67"/>
  <c r="X48" i="67" s="1"/>
  <c r="N48" i="67"/>
  <c r="H48" i="67"/>
  <c r="L48" i="67" s="1"/>
  <c r="D48" i="67"/>
  <c r="Z46" i="67"/>
  <c r="X46" i="67"/>
  <c r="N46" i="67"/>
  <c r="L46" i="67"/>
  <c r="B46" i="67"/>
  <c r="T45" i="67"/>
  <c r="X45" i="67" s="1"/>
  <c r="Z45" i="67" s="1"/>
  <c r="P45" i="67"/>
  <c r="L45" i="67"/>
  <c r="H45" i="67"/>
  <c r="N45" i="67" s="1"/>
  <c r="D45" i="67"/>
  <c r="B45" i="67"/>
  <c r="Z44" i="67"/>
  <c r="X44" i="67"/>
  <c r="N44" i="67"/>
  <c r="L44" i="67"/>
  <c r="B44" i="67"/>
  <c r="X43" i="67"/>
  <c r="T43" i="67"/>
  <c r="Z43" i="67" s="1"/>
  <c r="P43" i="67"/>
  <c r="H43" i="67"/>
  <c r="N43" i="67" s="1"/>
  <c r="D43" i="67"/>
  <c r="L43" i="67" s="1"/>
  <c r="B43" i="67"/>
  <c r="Z42" i="67"/>
  <c r="X42" i="67"/>
  <c r="N42" i="67"/>
  <c r="L42" i="67"/>
  <c r="B42" i="67"/>
  <c r="T41" i="67"/>
  <c r="P41" i="67"/>
  <c r="X41" i="67" s="1"/>
  <c r="H41" i="67"/>
  <c r="N41" i="67" s="1"/>
  <c r="D41" i="67"/>
  <c r="L41" i="67" s="1"/>
  <c r="B41" i="67"/>
  <c r="Z40" i="67"/>
  <c r="X40" i="67"/>
  <c r="N40" i="67"/>
  <c r="L40" i="67"/>
  <c r="B40" i="67"/>
  <c r="T39" i="67"/>
  <c r="P39" i="67"/>
  <c r="X39" i="67" s="1"/>
  <c r="N39" i="67"/>
  <c r="H39" i="67"/>
  <c r="L39" i="67" s="1"/>
  <c r="D39" i="67"/>
  <c r="B39" i="67"/>
  <c r="Z38" i="67"/>
  <c r="X38" i="67"/>
  <c r="N38" i="67"/>
  <c r="L38" i="67"/>
  <c r="B38" i="67"/>
  <c r="T37" i="67"/>
  <c r="X37" i="67" s="1"/>
  <c r="Z37" i="67" s="1"/>
  <c r="P37" i="67"/>
  <c r="L37" i="67"/>
  <c r="H37" i="67"/>
  <c r="N37" i="67" s="1"/>
  <c r="D37" i="67"/>
  <c r="B37" i="67"/>
  <c r="Z36" i="67"/>
  <c r="X36" i="67"/>
  <c r="N36" i="67"/>
  <c r="L36" i="67"/>
  <c r="B36" i="67"/>
  <c r="X35" i="67"/>
  <c r="T35" i="67"/>
  <c r="P35" i="67"/>
  <c r="H35" i="67"/>
  <c r="N35" i="67" s="1"/>
  <c r="D35" i="67"/>
  <c r="L35" i="67" s="1"/>
  <c r="B35" i="67"/>
  <c r="Z34" i="67"/>
  <c r="X34" i="67"/>
  <c r="N34" i="67"/>
  <c r="L34" i="67"/>
  <c r="B34" i="67"/>
  <c r="T33" i="67"/>
  <c r="P33" i="67"/>
  <c r="X33" i="67" s="1"/>
  <c r="H33" i="67"/>
  <c r="N33" i="67" s="1"/>
  <c r="D33" i="67"/>
  <c r="L33" i="67" s="1"/>
  <c r="B33" i="67"/>
  <c r="Z32" i="67"/>
  <c r="X32" i="67"/>
  <c r="N32" i="67"/>
  <c r="L32" i="67"/>
  <c r="B32" i="67"/>
  <c r="X31" i="67"/>
  <c r="Z31" i="67" s="1"/>
  <c r="N31" i="67"/>
  <c r="L31" i="67"/>
  <c r="B31" i="67"/>
  <c r="Z30" i="67"/>
  <c r="X30" i="67"/>
  <c r="N30" i="67"/>
  <c r="L30" i="67"/>
  <c r="B30" i="67"/>
  <c r="X29" i="67"/>
  <c r="Z29" i="67" s="1"/>
  <c r="R29" i="67"/>
  <c r="N29" i="67"/>
  <c r="L29" i="67"/>
  <c r="B29" i="67"/>
  <c r="Z28" i="67"/>
  <c r="X28" i="67"/>
  <c r="N28" i="67"/>
  <c r="L28" i="67"/>
  <c r="B28" i="67"/>
  <c r="X27" i="67"/>
  <c r="Z27" i="67" s="1"/>
  <c r="N27" i="67"/>
  <c r="L27" i="67"/>
  <c r="B27" i="67"/>
  <c r="Z26" i="67"/>
  <c r="X26" i="67"/>
  <c r="N26" i="67"/>
  <c r="L26" i="67"/>
  <c r="B26" i="67"/>
  <c r="Z25" i="67"/>
  <c r="X25" i="67"/>
  <c r="N25" i="67"/>
  <c r="L25" i="67"/>
  <c r="B25" i="67"/>
  <c r="T24" i="67"/>
  <c r="X24" i="67" s="1"/>
  <c r="Z24" i="67" s="1"/>
  <c r="P24" i="67"/>
  <c r="N24" i="67"/>
  <c r="L24" i="67"/>
  <c r="H24" i="67"/>
  <c r="D24" i="67"/>
  <c r="B24" i="67"/>
  <c r="T23" i="67" a="1"/>
  <c r="T23" i="67" s="1"/>
  <c r="P23" i="67" a="1"/>
  <c r="P23" i="67" s="1"/>
  <c r="X23" i="67" s="1"/>
  <c r="H23" i="67" a="1"/>
  <c r="H23" i="67" s="1"/>
  <c r="D23" i="67" a="1"/>
  <c r="D23" i="67" s="1"/>
  <c r="X19" i="67"/>
  <c r="Z19" i="67" s="1"/>
  <c r="N19" i="67"/>
  <c r="L19" i="67"/>
  <c r="B19" i="67"/>
  <c r="T18" i="67"/>
  <c r="R18" i="67"/>
  <c r="P18" i="67"/>
  <c r="X18" i="67" s="1"/>
  <c r="Z18" i="67" s="1"/>
  <c r="N18" i="67"/>
  <c r="H18" i="67"/>
  <c r="L18" i="67" s="1"/>
  <c r="D18" i="67"/>
  <c r="Z16" i="67"/>
  <c r="X16" i="67"/>
  <c r="T16" i="67"/>
  <c r="P16" i="67"/>
  <c r="N16" i="67"/>
  <c r="L16" i="67"/>
  <c r="H16" i="67"/>
  <c r="D16" i="67"/>
  <c r="B16" i="67"/>
  <c r="Z15" i="67"/>
  <c r="T15" i="67"/>
  <c r="P15" i="67"/>
  <c r="X15" i="67" s="1"/>
  <c r="N15" i="67"/>
  <c r="H15" i="67"/>
  <c r="D15" i="67"/>
  <c r="L15" i="67" s="1"/>
  <c r="B15" i="67"/>
  <c r="T14" i="67"/>
  <c r="Z14" i="67" s="1"/>
  <c r="P14" i="67"/>
  <c r="X14" i="67" s="1"/>
  <c r="H14" i="67"/>
  <c r="N14" i="67" s="1"/>
  <c r="D14" i="67"/>
  <c r="B14" i="67"/>
  <c r="X13" i="67"/>
  <c r="T13" i="67"/>
  <c r="Z13" i="67" s="1"/>
  <c r="P13" i="67"/>
  <c r="P12" i="67" s="1"/>
  <c r="L13" i="67"/>
  <c r="H13" i="67"/>
  <c r="D13" i="67"/>
  <c r="B13" i="67"/>
  <c r="D6" i="67"/>
  <c r="D4" i="67"/>
  <c r="Z121" i="66"/>
  <c r="X121" i="66"/>
  <c r="N121" i="66"/>
  <c r="L121" i="66"/>
  <c r="T117" i="66"/>
  <c r="P117" i="66"/>
  <c r="X117" i="66" s="1"/>
  <c r="Z117" i="66" s="1"/>
  <c r="N117" i="66"/>
  <c r="L117" i="66"/>
  <c r="H117" i="66"/>
  <c r="D117" i="66"/>
  <c r="B117" i="66"/>
  <c r="X116" i="66"/>
  <c r="T116" i="66"/>
  <c r="P116" i="66"/>
  <c r="H116" i="66"/>
  <c r="D116" i="66"/>
  <c r="L116" i="66" s="1"/>
  <c r="B116" i="66"/>
  <c r="T115" i="66"/>
  <c r="P115" i="66"/>
  <c r="X115" i="66" s="1"/>
  <c r="Z115" i="66" s="1"/>
  <c r="N115" i="66"/>
  <c r="H115" i="66"/>
  <c r="L115" i="66" s="1"/>
  <c r="D115" i="66"/>
  <c r="B115" i="66"/>
  <c r="T114" i="66"/>
  <c r="D114" i="66"/>
  <c r="Z112" i="66"/>
  <c r="X112" i="66"/>
  <c r="N112" i="66"/>
  <c r="L112" i="66"/>
  <c r="B112" i="66"/>
  <c r="V111" i="66"/>
  <c r="T111" i="66"/>
  <c r="P111" i="66"/>
  <c r="X111" i="66" s="1"/>
  <c r="N111" i="66"/>
  <c r="H111" i="66"/>
  <c r="D111" i="66"/>
  <c r="L111" i="66" s="1"/>
  <c r="B111" i="66"/>
  <c r="Z110" i="66"/>
  <c r="X110" i="66"/>
  <c r="N110" i="66"/>
  <c r="L110" i="66"/>
  <c r="B110" i="66"/>
  <c r="Z109" i="66"/>
  <c r="T109" i="66"/>
  <c r="P109" i="66"/>
  <c r="X109" i="66" s="1"/>
  <c r="N109" i="66"/>
  <c r="H109" i="66"/>
  <c r="L109" i="66" s="1"/>
  <c r="D109" i="66"/>
  <c r="B109" i="66"/>
  <c r="Z108" i="66"/>
  <c r="X108" i="66"/>
  <c r="N108" i="66"/>
  <c r="L108" i="66"/>
  <c r="B108" i="66"/>
  <c r="Z107" i="66"/>
  <c r="X107" i="66"/>
  <c r="N107" i="66"/>
  <c r="L107" i="66"/>
  <c r="B107" i="66"/>
  <c r="T106" i="66"/>
  <c r="P106" i="66"/>
  <c r="X106" i="66" s="1"/>
  <c r="H106" i="66"/>
  <c r="L106" i="66" s="1"/>
  <c r="N106" i="66" s="1"/>
  <c r="D106" i="66"/>
  <c r="B106" i="66"/>
  <c r="Z105" i="66"/>
  <c r="X105" i="66"/>
  <c r="N105" i="66"/>
  <c r="L105" i="66"/>
  <c r="B105" i="66"/>
  <c r="Z104" i="66"/>
  <c r="X104" i="66"/>
  <c r="N104" i="66"/>
  <c r="L104" i="66"/>
  <c r="B104" i="66"/>
  <c r="T103" i="66"/>
  <c r="P103" i="66"/>
  <c r="X103" i="66" s="1"/>
  <c r="Z103" i="66" s="1"/>
  <c r="N103" i="66"/>
  <c r="L103" i="66"/>
  <c r="H103" i="66"/>
  <c r="D103" i="66"/>
  <c r="B103" i="66"/>
  <c r="X102" i="66"/>
  <c r="Z102" i="66" s="1"/>
  <c r="N102" i="66"/>
  <c r="L102" i="66"/>
  <c r="B102" i="66"/>
  <c r="Z101" i="66"/>
  <c r="X101" i="66"/>
  <c r="N101" i="66"/>
  <c r="L101" i="66"/>
  <c r="B101" i="66"/>
  <c r="T100" i="66"/>
  <c r="X100" i="66" s="1"/>
  <c r="Z100" i="66" s="1"/>
  <c r="P100" i="66"/>
  <c r="L100" i="66"/>
  <c r="H100" i="66"/>
  <c r="N100" i="66" s="1"/>
  <c r="D100" i="66"/>
  <c r="B100" i="66"/>
  <c r="Z99" i="66"/>
  <c r="X99" i="66"/>
  <c r="N99" i="66"/>
  <c r="L99" i="66"/>
  <c r="B99" i="66"/>
  <c r="X98" i="66"/>
  <c r="Z98" i="66" s="1"/>
  <c r="L98" i="66"/>
  <c r="N98" i="66" s="1"/>
  <c r="B98" i="66"/>
  <c r="Z97" i="66"/>
  <c r="X97" i="66"/>
  <c r="N97" i="66"/>
  <c r="L97" i="66"/>
  <c r="B97" i="66"/>
  <c r="T96" i="66"/>
  <c r="X96" i="66" s="1"/>
  <c r="Z96" i="66" s="1"/>
  <c r="P96" i="66"/>
  <c r="L96" i="66"/>
  <c r="H96" i="66"/>
  <c r="N96" i="66" s="1"/>
  <c r="D96" i="66"/>
  <c r="B96" i="66"/>
  <c r="Z95" i="66"/>
  <c r="X95" i="66"/>
  <c r="N95" i="66"/>
  <c r="L95" i="66"/>
  <c r="B95" i="66"/>
  <c r="X94" i="66"/>
  <c r="T94" i="66"/>
  <c r="Z94" i="66" s="1"/>
  <c r="P94" i="66"/>
  <c r="H94" i="66"/>
  <c r="D94" i="66"/>
  <c r="B94" i="66"/>
  <c r="Z93" i="66"/>
  <c r="X93" i="66"/>
  <c r="N93" i="66"/>
  <c r="L93" i="66"/>
  <c r="B93" i="66"/>
  <c r="T92" i="66"/>
  <c r="P92" i="66"/>
  <c r="H92" i="66"/>
  <c r="D92" i="66"/>
  <c r="L92" i="66" s="1"/>
  <c r="B92" i="66"/>
  <c r="Z91" i="66"/>
  <c r="X91" i="66"/>
  <c r="N91" i="66"/>
  <c r="L91" i="66"/>
  <c r="B91" i="66"/>
  <c r="X90" i="66"/>
  <c r="Z90" i="66" s="1"/>
  <c r="L90" i="66"/>
  <c r="N90" i="66" s="1"/>
  <c r="B90" i="66"/>
  <c r="T89" i="66"/>
  <c r="P89" i="66"/>
  <c r="X89" i="66" s="1"/>
  <c r="Z89" i="66" s="1"/>
  <c r="H89" i="66"/>
  <c r="D89" i="66"/>
  <c r="L89" i="66" s="1"/>
  <c r="N89" i="66" s="1"/>
  <c r="B89" i="66"/>
  <c r="Z88" i="66"/>
  <c r="X88" i="66"/>
  <c r="N88" i="66"/>
  <c r="L88" i="66"/>
  <c r="B88" i="66"/>
  <c r="T87" i="66"/>
  <c r="P87" i="66"/>
  <c r="X87" i="66" s="1"/>
  <c r="Z87" i="66" s="1"/>
  <c r="N87" i="66"/>
  <c r="L87" i="66"/>
  <c r="H87" i="66"/>
  <c r="D87" i="66"/>
  <c r="B87" i="66"/>
  <c r="X86" i="66"/>
  <c r="Z86" i="66" s="1"/>
  <c r="N86" i="66"/>
  <c r="L86" i="66"/>
  <c r="B86" i="66"/>
  <c r="Z85" i="66"/>
  <c r="X85" i="66"/>
  <c r="T85" i="66"/>
  <c r="P85" i="66"/>
  <c r="H85" i="66"/>
  <c r="N85" i="66" s="1"/>
  <c r="D85" i="66"/>
  <c r="B85" i="66"/>
  <c r="Z84" i="66"/>
  <c r="X84" i="66"/>
  <c r="N84" i="66"/>
  <c r="L84" i="66"/>
  <c r="B84" i="66"/>
  <c r="Z83" i="66"/>
  <c r="X83" i="66"/>
  <c r="N83" i="66"/>
  <c r="L83" i="66"/>
  <c r="B83" i="66"/>
  <c r="X82" i="66"/>
  <c r="V82" i="66"/>
  <c r="T82" i="66"/>
  <c r="Z82" i="66" s="1"/>
  <c r="P82" i="66"/>
  <c r="H82" i="66"/>
  <c r="N82" i="66" s="1"/>
  <c r="D82" i="66"/>
  <c r="L82" i="66" s="1"/>
  <c r="B82" i="66"/>
  <c r="Z81" i="66"/>
  <c r="X81" i="66"/>
  <c r="N81" i="66"/>
  <c r="L81" i="66"/>
  <c r="B81" i="66"/>
  <c r="T80" i="66"/>
  <c r="P80" i="66"/>
  <c r="X80" i="66" s="1"/>
  <c r="H80" i="66"/>
  <c r="D80" i="66"/>
  <c r="L80" i="66" s="1"/>
  <c r="B80" i="66"/>
  <c r="Z79" i="66"/>
  <c r="X79" i="66"/>
  <c r="N79" i="66"/>
  <c r="L79" i="66"/>
  <c r="B79" i="66"/>
  <c r="X78" i="66"/>
  <c r="Z78" i="66" s="1"/>
  <c r="L78" i="66"/>
  <c r="N78" i="66" s="1"/>
  <c r="B78" i="66"/>
  <c r="Z77" i="66"/>
  <c r="X77" i="66"/>
  <c r="N77" i="66"/>
  <c r="L77" i="66"/>
  <c r="B77" i="66"/>
  <c r="Z76" i="66"/>
  <c r="X76" i="66"/>
  <c r="N76" i="66"/>
  <c r="L76" i="66"/>
  <c r="B76" i="66"/>
  <c r="Z75" i="66"/>
  <c r="X75" i="66"/>
  <c r="N75" i="66"/>
  <c r="L75" i="66"/>
  <c r="B75" i="66"/>
  <c r="X74" i="66"/>
  <c r="Z74" i="66" s="1"/>
  <c r="L74" i="66"/>
  <c r="N74" i="66" s="1"/>
  <c r="B74" i="66"/>
  <c r="Z73" i="66"/>
  <c r="X73" i="66"/>
  <c r="N73" i="66"/>
  <c r="L73" i="66"/>
  <c r="B73" i="66"/>
  <c r="T72" i="66"/>
  <c r="X72" i="66" s="1"/>
  <c r="P72" i="66"/>
  <c r="H72" i="66"/>
  <c r="D72" i="66"/>
  <c r="L72" i="66" s="1"/>
  <c r="B72" i="66"/>
  <c r="Z71" i="66"/>
  <c r="X71" i="66"/>
  <c r="N71" i="66"/>
  <c r="L71" i="66"/>
  <c r="B71" i="66"/>
  <c r="X70" i="66"/>
  <c r="Z70" i="66" s="1"/>
  <c r="L70" i="66"/>
  <c r="N70" i="66" s="1"/>
  <c r="B70" i="66"/>
  <c r="X69" i="66"/>
  <c r="Z69" i="66" s="1"/>
  <c r="V69" i="66"/>
  <c r="N69" i="66"/>
  <c r="L69" i="66"/>
  <c r="B69" i="66"/>
  <c r="Z68" i="66"/>
  <c r="X68" i="66"/>
  <c r="N68" i="66"/>
  <c r="L68" i="66"/>
  <c r="B68" i="66"/>
  <c r="Z67" i="66"/>
  <c r="X67" i="66"/>
  <c r="N67" i="66"/>
  <c r="L67" i="66"/>
  <c r="B67" i="66"/>
  <c r="X66" i="66"/>
  <c r="Z66" i="66" s="1"/>
  <c r="L66" i="66"/>
  <c r="N66" i="66" s="1"/>
  <c r="B66" i="66"/>
  <c r="Z65" i="66"/>
  <c r="X65" i="66"/>
  <c r="N65" i="66"/>
  <c r="L65" i="66"/>
  <c r="B65" i="66"/>
  <c r="Z64" i="66"/>
  <c r="X64" i="66"/>
  <c r="L64" i="66"/>
  <c r="N64" i="66" s="1"/>
  <c r="B64" i="66"/>
  <c r="Z63" i="66"/>
  <c r="X63" i="66"/>
  <c r="V63" i="66"/>
  <c r="N63" i="66"/>
  <c r="L63" i="66"/>
  <c r="B63" i="66"/>
  <c r="T62" i="66"/>
  <c r="P62" i="66"/>
  <c r="H62" i="66"/>
  <c r="D62" i="66"/>
  <c r="L62" i="66" s="1"/>
  <c r="B62" i="66"/>
  <c r="T61" i="66" a="1"/>
  <c r="T61" i="66"/>
  <c r="P61" i="66" a="1"/>
  <c r="P61" i="66" s="1"/>
  <c r="H61" i="66" a="1"/>
  <c r="H61" i="66" s="1"/>
  <c r="D61" i="66" a="1"/>
  <c r="D61" i="66" s="1"/>
  <c r="Z57" i="66"/>
  <c r="X57" i="66"/>
  <c r="N57" i="66"/>
  <c r="L57" i="66"/>
  <c r="B57" i="66"/>
  <c r="Z56" i="66"/>
  <c r="X56" i="66"/>
  <c r="N56" i="66"/>
  <c r="L56" i="66"/>
  <c r="B56" i="66"/>
  <c r="Z55" i="66"/>
  <c r="X55" i="66"/>
  <c r="N55" i="66"/>
  <c r="L55" i="66"/>
  <c r="B55" i="66"/>
  <c r="X54" i="66"/>
  <c r="Z54" i="66" s="1"/>
  <c r="L54" i="66"/>
  <c r="N54" i="66" s="1"/>
  <c r="B54" i="66"/>
  <c r="Z53" i="66"/>
  <c r="X53" i="66"/>
  <c r="N53" i="66"/>
  <c r="L53" i="66"/>
  <c r="B53" i="66"/>
  <c r="Z52" i="66"/>
  <c r="X52" i="66"/>
  <c r="N52" i="66"/>
  <c r="L52" i="66"/>
  <c r="B52" i="66"/>
  <c r="Z51" i="66"/>
  <c r="X51" i="66"/>
  <c r="N51" i="66"/>
  <c r="L51" i="66"/>
  <c r="B51" i="66"/>
  <c r="X50" i="66"/>
  <c r="Z50" i="66" s="1"/>
  <c r="L50" i="66"/>
  <c r="N50" i="66" s="1"/>
  <c r="B50" i="66"/>
  <c r="Z49" i="66"/>
  <c r="X49" i="66"/>
  <c r="N49" i="66"/>
  <c r="L49" i="66"/>
  <c r="B49" i="66"/>
  <c r="X48" i="66"/>
  <c r="Z48" i="66" s="1"/>
  <c r="N48" i="66"/>
  <c r="L48" i="66"/>
  <c r="B48" i="66"/>
  <c r="Z47" i="66"/>
  <c r="X47" i="66"/>
  <c r="V47" i="66"/>
  <c r="N47" i="66"/>
  <c r="L47" i="66"/>
  <c r="B47" i="66"/>
  <c r="X46" i="66"/>
  <c r="Z46" i="66" s="1"/>
  <c r="N46" i="66"/>
  <c r="L46" i="66"/>
  <c r="B46" i="66"/>
  <c r="Z45" i="66"/>
  <c r="X45" i="66"/>
  <c r="L45" i="66"/>
  <c r="N45" i="66" s="1"/>
  <c r="B45" i="66"/>
  <c r="X44" i="66"/>
  <c r="Z44" i="66" s="1"/>
  <c r="N44" i="66"/>
  <c r="L44" i="66"/>
  <c r="B44" i="66"/>
  <c r="Z43" i="66"/>
  <c r="X43" i="66"/>
  <c r="N43" i="66"/>
  <c r="L43" i="66"/>
  <c r="B43" i="66"/>
  <c r="X42" i="66"/>
  <c r="Z42" i="66" s="1"/>
  <c r="V42" i="66"/>
  <c r="L42" i="66"/>
  <c r="N42" i="66" s="1"/>
  <c r="B42" i="66"/>
  <c r="Z41" i="66"/>
  <c r="X41" i="66"/>
  <c r="N41" i="66"/>
  <c r="L41" i="66"/>
  <c r="B41" i="66"/>
  <c r="T40" i="66"/>
  <c r="P40" i="66"/>
  <c r="X40" i="66" s="1"/>
  <c r="Z40" i="66" s="1"/>
  <c r="L40" i="66"/>
  <c r="H40" i="66"/>
  <c r="D40" i="66"/>
  <c r="Z38" i="66"/>
  <c r="X38" i="66"/>
  <c r="T38" i="66"/>
  <c r="P38" i="66"/>
  <c r="N38" i="66"/>
  <c r="L38" i="66"/>
  <c r="H38" i="66"/>
  <c r="D38" i="66"/>
  <c r="B38" i="66"/>
  <c r="Z37" i="66"/>
  <c r="T37" i="66"/>
  <c r="P37" i="66"/>
  <c r="X37" i="66" s="1"/>
  <c r="H37" i="66"/>
  <c r="N37" i="66" s="1"/>
  <c r="D37" i="66"/>
  <c r="B37" i="66"/>
  <c r="T36" i="66"/>
  <c r="P36" i="66"/>
  <c r="X36" i="66" s="1"/>
  <c r="H36" i="66"/>
  <c r="D36" i="66"/>
  <c r="B36" i="66"/>
  <c r="T35" i="66"/>
  <c r="X35" i="66" s="1"/>
  <c r="Z35" i="66" s="1"/>
  <c r="P35" i="66"/>
  <c r="H35" i="66"/>
  <c r="D35" i="66"/>
  <c r="B35" i="66"/>
  <c r="Z34" i="66"/>
  <c r="X34" i="66"/>
  <c r="T34" i="66"/>
  <c r="P34" i="66"/>
  <c r="N34" i="66"/>
  <c r="L34" i="66"/>
  <c r="H34" i="66"/>
  <c r="D34" i="66"/>
  <c r="B34" i="66"/>
  <c r="Z33" i="66"/>
  <c r="T33" i="66"/>
  <c r="P33" i="66"/>
  <c r="X33" i="66" s="1"/>
  <c r="H33" i="66"/>
  <c r="N33" i="66" s="1"/>
  <c r="D33" i="66"/>
  <c r="B33" i="66"/>
  <c r="T32" i="66"/>
  <c r="P32" i="66"/>
  <c r="X32" i="66" s="1"/>
  <c r="H32" i="66"/>
  <c r="N32" i="66" s="1"/>
  <c r="D32" i="66"/>
  <c r="L32" i="66" s="1"/>
  <c r="B32" i="66"/>
  <c r="T31" i="66"/>
  <c r="X31" i="66" s="1"/>
  <c r="Z31" i="66" s="1"/>
  <c r="P31" i="66"/>
  <c r="L31" i="66"/>
  <c r="H31" i="66"/>
  <c r="N31" i="66" s="1"/>
  <c r="D31" i="66"/>
  <c r="B31" i="66"/>
  <c r="X30" i="66"/>
  <c r="Z30" i="66" s="1"/>
  <c r="T30" i="66"/>
  <c r="P30" i="66"/>
  <c r="L30" i="66"/>
  <c r="N30" i="66" s="1"/>
  <c r="H30" i="66"/>
  <c r="D30" i="66"/>
  <c r="B30" i="66"/>
  <c r="Z29" i="66"/>
  <c r="T29" i="66"/>
  <c r="P29" i="66"/>
  <c r="X29" i="66" s="1"/>
  <c r="H29" i="66"/>
  <c r="D29" i="66"/>
  <c r="B29" i="66"/>
  <c r="T28" i="66"/>
  <c r="Z28" i="66" s="1"/>
  <c r="P28" i="66"/>
  <c r="X28" i="66" s="1"/>
  <c r="H28" i="66"/>
  <c r="N28" i="66" s="1"/>
  <c r="D28" i="66"/>
  <c r="L28" i="66" s="1"/>
  <c r="B28" i="66"/>
  <c r="T27" i="66"/>
  <c r="X27" i="66" s="1"/>
  <c r="Z27" i="66" s="1"/>
  <c r="P27" i="66"/>
  <c r="H27" i="66"/>
  <c r="N27" i="66" s="1"/>
  <c r="D27" i="66"/>
  <c r="B27" i="66"/>
  <c r="X26" i="66"/>
  <c r="Z26" i="66" s="1"/>
  <c r="T26" i="66"/>
  <c r="P26" i="66"/>
  <c r="L26" i="66"/>
  <c r="N26" i="66" s="1"/>
  <c r="H26" i="66"/>
  <c r="D26" i="66"/>
  <c r="B26" i="66"/>
  <c r="Z25" i="66"/>
  <c r="T25" i="66"/>
  <c r="P25" i="66"/>
  <c r="X25" i="66" s="1"/>
  <c r="H25" i="66"/>
  <c r="D25" i="66"/>
  <c r="B25" i="66"/>
  <c r="T24" i="66"/>
  <c r="P24" i="66"/>
  <c r="X24" i="66" s="1"/>
  <c r="H24" i="66"/>
  <c r="N24" i="66" s="1"/>
  <c r="D24" i="66"/>
  <c r="L24" i="66" s="1"/>
  <c r="B24" i="66"/>
  <c r="T23" i="66"/>
  <c r="X23" i="66" s="1"/>
  <c r="Z23" i="66" s="1"/>
  <c r="P23" i="66"/>
  <c r="H23" i="66"/>
  <c r="D23" i="66"/>
  <c r="B23" i="66"/>
  <c r="X22" i="66"/>
  <c r="Z22" i="66" s="1"/>
  <c r="T22" i="66"/>
  <c r="P22" i="66"/>
  <c r="L22" i="66"/>
  <c r="N22" i="66" s="1"/>
  <c r="H22" i="66"/>
  <c r="D22" i="66"/>
  <c r="B22" i="66"/>
  <c r="Z21" i="66"/>
  <c r="T21" i="66"/>
  <c r="P21" i="66"/>
  <c r="X21" i="66" s="1"/>
  <c r="H21" i="66"/>
  <c r="N21" i="66" s="1"/>
  <c r="D21" i="66"/>
  <c r="B21" i="66"/>
  <c r="T20" i="66"/>
  <c r="P20" i="66"/>
  <c r="X20" i="66" s="1"/>
  <c r="H20" i="66"/>
  <c r="D20" i="66"/>
  <c r="L20" i="66" s="1"/>
  <c r="B20" i="66"/>
  <c r="T19" i="66"/>
  <c r="X19" i="66" s="1"/>
  <c r="Z19" i="66" s="1"/>
  <c r="P19" i="66"/>
  <c r="L19" i="66"/>
  <c r="H19" i="66"/>
  <c r="D19" i="66"/>
  <c r="B19" i="66"/>
  <c r="X18" i="66"/>
  <c r="Z18" i="66" s="1"/>
  <c r="T18" i="66"/>
  <c r="P18" i="66"/>
  <c r="L18" i="66"/>
  <c r="N18" i="66" s="1"/>
  <c r="H18" i="66"/>
  <c r="D18" i="66"/>
  <c r="B18" i="66"/>
  <c r="Z17" i="66"/>
  <c r="T17" i="66"/>
  <c r="P17" i="66"/>
  <c r="X17" i="66" s="1"/>
  <c r="H17" i="66"/>
  <c r="N17" i="66" s="1"/>
  <c r="D17" i="66"/>
  <c r="B17" i="66"/>
  <c r="T16" i="66"/>
  <c r="P16" i="66"/>
  <c r="X16" i="66" s="1"/>
  <c r="H16" i="66"/>
  <c r="D16" i="66"/>
  <c r="L16" i="66" s="1"/>
  <c r="B16" i="66"/>
  <c r="T15" i="66"/>
  <c r="X15" i="66" s="1"/>
  <c r="Z15" i="66" s="1"/>
  <c r="P15" i="66"/>
  <c r="L15" i="66"/>
  <c r="H15" i="66"/>
  <c r="D15" i="66"/>
  <c r="B15" i="66"/>
  <c r="X14" i="66"/>
  <c r="Z14" i="66" s="1"/>
  <c r="T14" i="66"/>
  <c r="P14" i="66"/>
  <c r="L14" i="66"/>
  <c r="N14" i="66" s="1"/>
  <c r="H14" i="66"/>
  <c r="D14" i="66"/>
  <c r="B14" i="66"/>
  <c r="Z13" i="66"/>
  <c r="T13" i="66"/>
  <c r="P13" i="66"/>
  <c r="X13" i="66" s="1"/>
  <c r="H13" i="66"/>
  <c r="D13" i="66"/>
  <c r="B13" i="66"/>
  <c r="T12" i="66"/>
  <c r="V95" i="66" s="1"/>
  <c r="D6" i="66"/>
  <c r="D4" i="66"/>
  <c r="Z61" i="65"/>
  <c r="X61" i="65"/>
  <c r="R61" i="65"/>
  <c r="N61" i="65"/>
  <c r="L61" i="65"/>
  <c r="Z57" i="65"/>
  <c r="T57" i="65"/>
  <c r="P57" i="65"/>
  <c r="H57" i="65"/>
  <c r="N57" i="65" s="1"/>
  <c r="D57" i="65"/>
  <c r="L57" i="65" s="1"/>
  <c r="Z55" i="65"/>
  <c r="X55" i="65"/>
  <c r="R55" i="65"/>
  <c r="N55" i="65"/>
  <c r="L55" i="65"/>
  <c r="B55" i="65"/>
  <c r="Z54" i="65"/>
  <c r="T54" i="65"/>
  <c r="P54" i="65"/>
  <c r="X54" i="65" s="1"/>
  <c r="N54" i="65"/>
  <c r="L54" i="65"/>
  <c r="H54" i="65"/>
  <c r="D54" i="65"/>
  <c r="B54" i="65"/>
  <c r="X53" i="65"/>
  <c r="Z53" i="65" s="1"/>
  <c r="L53" i="65"/>
  <c r="N53" i="65" s="1"/>
  <c r="B53" i="65"/>
  <c r="X52" i="65"/>
  <c r="Z52" i="65" s="1"/>
  <c r="T52" i="65"/>
  <c r="P52" i="65"/>
  <c r="H52" i="65"/>
  <c r="F52" i="65"/>
  <c r="D52" i="65"/>
  <c r="B52" i="65"/>
  <c r="Z51" i="65"/>
  <c r="X51" i="65"/>
  <c r="N51" i="65"/>
  <c r="L51" i="65"/>
  <c r="B51" i="65"/>
  <c r="Z50" i="65"/>
  <c r="X50" i="65"/>
  <c r="N50" i="65"/>
  <c r="L50" i="65"/>
  <c r="J50" i="65"/>
  <c r="B50" i="65"/>
  <c r="T49" i="65"/>
  <c r="Z49" i="65" s="1"/>
  <c r="P49" i="65"/>
  <c r="X49" i="65" s="1"/>
  <c r="N49" i="65"/>
  <c r="L49" i="65"/>
  <c r="H49" i="65"/>
  <c r="D49" i="65"/>
  <c r="B49" i="65"/>
  <c r="X48" i="65"/>
  <c r="Z48" i="65" s="1"/>
  <c r="N48" i="65"/>
  <c r="L48" i="65"/>
  <c r="B48" i="65"/>
  <c r="Z47" i="65"/>
  <c r="X47" i="65"/>
  <c r="L47" i="65"/>
  <c r="N47" i="65" s="1"/>
  <c r="B47" i="65"/>
  <c r="T46" i="65"/>
  <c r="Z46" i="65" s="1"/>
  <c r="P46" i="65"/>
  <c r="X46" i="65" s="1"/>
  <c r="H46" i="65"/>
  <c r="D46" i="65"/>
  <c r="L46" i="65" s="1"/>
  <c r="N46" i="65" s="1"/>
  <c r="B46" i="65"/>
  <c r="X45" i="65"/>
  <c r="Z45" i="65" s="1"/>
  <c r="N45" i="65"/>
  <c r="L45" i="65"/>
  <c r="B45" i="65"/>
  <c r="X44" i="65"/>
  <c r="Z44" i="65" s="1"/>
  <c r="N44" i="65"/>
  <c r="L44" i="65"/>
  <c r="B44" i="65"/>
  <c r="X43" i="65"/>
  <c r="T43" i="65"/>
  <c r="P43" i="65"/>
  <c r="H43" i="65"/>
  <c r="N43" i="65" s="1"/>
  <c r="D43" i="65"/>
  <c r="L43" i="65" s="1"/>
  <c r="B43" i="65"/>
  <c r="X42" i="65"/>
  <c r="Z42" i="65" s="1"/>
  <c r="N42" i="65"/>
  <c r="L42" i="65"/>
  <c r="B42" i="65"/>
  <c r="T41" i="65"/>
  <c r="P41" i="65"/>
  <c r="X41" i="65" s="1"/>
  <c r="Z41" i="65" s="1"/>
  <c r="N41" i="65"/>
  <c r="H41" i="65"/>
  <c r="D41" i="65"/>
  <c r="L41" i="65" s="1"/>
  <c r="B41" i="65"/>
  <c r="X40" i="65"/>
  <c r="Z40" i="65" s="1"/>
  <c r="N40" i="65"/>
  <c r="L40" i="65"/>
  <c r="B40" i="65"/>
  <c r="T39" i="65"/>
  <c r="P39" i="65"/>
  <c r="X39" i="65" s="1"/>
  <c r="Z39" i="65" s="1"/>
  <c r="N39" i="65"/>
  <c r="L39" i="65"/>
  <c r="J39" i="65"/>
  <c r="H39" i="65"/>
  <c r="D39" i="65"/>
  <c r="B39" i="65"/>
  <c r="X38" i="65"/>
  <c r="Z38" i="65" s="1"/>
  <c r="R38" i="65"/>
  <c r="L38" i="65"/>
  <c r="N38" i="65" s="1"/>
  <c r="B38" i="65"/>
  <c r="X37" i="65"/>
  <c r="Z37" i="65" s="1"/>
  <c r="T37" i="65"/>
  <c r="P37" i="65"/>
  <c r="H37" i="65"/>
  <c r="D37" i="65"/>
  <c r="B37" i="65"/>
  <c r="Z36" i="65"/>
  <c r="X36" i="65"/>
  <c r="N36" i="65"/>
  <c r="L36" i="65"/>
  <c r="B36" i="65"/>
  <c r="T35" i="65"/>
  <c r="R35" i="65"/>
  <c r="P35" i="65"/>
  <c r="N35" i="65"/>
  <c r="H35" i="65"/>
  <c r="D35" i="65"/>
  <c r="L35" i="65" s="1"/>
  <c r="B35" i="65"/>
  <c r="Z34" i="65"/>
  <c r="X34" i="65"/>
  <c r="N34" i="65"/>
  <c r="L34" i="65"/>
  <c r="J34" i="65"/>
  <c r="F34" i="65"/>
  <c r="B34" i="65"/>
  <c r="Z33" i="65"/>
  <c r="T33" i="65"/>
  <c r="P33" i="65"/>
  <c r="X33" i="65" s="1"/>
  <c r="N33" i="65"/>
  <c r="H33" i="65"/>
  <c r="D33" i="65"/>
  <c r="L33" i="65" s="1"/>
  <c r="B33" i="65"/>
  <c r="Z32" i="65"/>
  <c r="X32" i="65"/>
  <c r="N32" i="65"/>
  <c r="L32" i="65"/>
  <c r="B32" i="65"/>
  <c r="Z31" i="65"/>
  <c r="T31" i="65"/>
  <c r="P31" i="65"/>
  <c r="X31" i="65" s="1"/>
  <c r="N31" i="65"/>
  <c r="L31" i="65"/>
  <c r="H31" i="65"/>
  <c r="D31" i="65"/>
  <c r="B31" i="65"/>
  <c r="Z30" i="65"/>
  <c r="X30" i="65"/>
  <c r="R30" i="65"/>
  <c r="N30" i="65"/>
  <c r="L30" i="65"/>
  <c r="B30" i="65"/>
  <c r="Z29" i="65"/>
  <c r="X29" i="65"/>
  <c r="N29" i="65"/>
  <c r="L29" i="65"/>
  <c r="B29" i="65"/>
  <c r="Z28" i="65"/>
  <c r="X28" i="65"/>
  <c r="T28" i="65"/>
  <c r="P28" i="65"/>
  <c r="J28" i="65"/>
  <c r="H28" i="65"/>
  <c r="N28" i="65" s="1"/>
  <c r="D28" i="65"/>
  <c r="L28" i="65" s="1"/>
  <c r="B28" i="65"/>
  <c r="Z27" i="65"/>
  <c r="X27" i="65"/>
  <c r="R27" i="65"/>
  <c r="N27" i="65"/>
  <c r="L27" i="65"/>
  <c r="B27" i="65"/>
  <c r="Z26" i="65"/>
  <c r="X26" i="65"/>
  <c r="R26" i="65"/>
  <c r="N26" i="65"/>
  <c r="L26" i="65"/>
  <c r="B26" i="65"/>
  <c r="Z25" i="65"/>
  <c r="X25" i="65"/>
  <c r="T25" i="65"/>
  <c r="P25" i="65"/>
  <c r="H25" i="65"/>
  <c r="F25" i="65"/>
  <c r="D25" i="65"/>
  <c r="B25" i="65"/>
  <c r="T24" i="65" a="1"/>
  <c r="T24" i="65"/>
  <c r="P24" i="65" a="1"/>
  <c r="P24" i="65" s="1"/>
  <c r="H24" i="65" a="1"/>
  <c r="H24" i="65" s="1"/>
  <c r="D24" i="65" a="1"/>
  <c r="D24" i="65" s="1"/>
  <c r="P22" i="65"/>
  <c r="Z20" i="65"/>
  <c r="X20" i="65"/>
  <c r="N20" i="65"/>
  <c r="L20" i="65"/>
  <c r="B20" i="65"/>
  <c r="Z19" i="65"/>
  <c r="X19" i="65"/>
  <c r="N19" i="65"/>
  <c r="L19" i="65"/>
  <c r="F19" i="65"/>
  <c r="B19" i="65"/>
  <c r="X18" i="65"/>
  <c r="T18" i="65"/>
  <c r="Z18" i="65" s="1"/>
  <c r="P18" i="65"/>
  <c r="N18" i="65"/>
  <c r="L18" i="65"/>
  <c r="H18" i="65"/>
  <c r="D18" i="65"/>
  <c r="T16" i="65"/>
  <c r="Z16" i="65" s="1"/>
  <c r="P16" i="65"/>
  <c r="N16" i="65"/>
  <c r="L16" i="65"/>
  <c r="H16" i="65"/>
  <c r="D16" i="65"/>
  <c r="B16" i="65"/>
  <c r="T15" i="65"/>
  <c r="P15" i="65"/>
  <c r="N15" i="65"/>
  <c r="H15" i="65"/>
  <c r="D15" i="65"/>
  <c r="L15" i="65" s="1"/>
  <c r="B15" i="65"/>
  <c r="Z14" i="65"/>
  <c r="X14" i="65"/>
  <c r="T14" i="65"/>
  <c r="P14" i="65"/>
  <c r="P12" i="65" s="1"/>
  <c r="R54" i="65" s="1"/>
  <c r="H14" i="65"/>
  <c r="N14" i="65" s="1"/>
  <c r="D14" i="65"/>
  <c r="L14" i="65" s="1"/>
  <c r="B14" i="65"/>
  <c r="Z13" i="65"/>
  <c r="T13" i="65"/>
  <c r="X13" i="65" s="1"/>
  <c r="P13" i="65"/>
  <c r="H13" i="65"/>
  <c r="N13" i="65" s="1"/>
  <c r="D13" i="65"/>
  <c r="L13" i="65" s="1"/>
  <c r="B13" i="65"/>
  <c r="H12" i="65"/>
  <c r="D12" i="65"/>
  <c r="D6" i="65"/>
  <c r="D4" i="65"/>
  <c r="X89" i="64"/>
  <c r="Z89" i="64" s="1"/>
  <c r="L89" i="64"/>
  <c r="N89" i="64" s="1"/>
  <c r="Z85" i="64"/>
  <c r="X85" i="64"/>
  <c r="T85" i="64"/>
  <c r="P85" i="64"/>
  <c r="H85" i="64"/>
  <c r="N85" i="64" s="1"/>
  <c r="D85" i="64"/>
  <c r="L85" i="64" s="1"/>
  <c r="X83" i="64"/>
  <c r="Z83" i="64" s="1"/>
  <c r="N83" i="64"/>
  <c r="L83" i="64"/>
  <c r="B83" i="64"/>
  <c r="T82" i="64"/>
  <c r="P82" i="64"/>
  <c r="N82" i="64"/>
  <c r="H82" i="64"/>
  <c r="D82" i="64"/>
  <c r="L82" i="64" s="1"/>
  <c r="B82" i="64"/>
  <c r="X81" i="64"/>
  <c r="Z81" i="64" s="1"/>
  <c r="L81" i="64"/>
  <c r="N81" i="64" s="1"/>
  <c r="B81" i="64"/>
  <c r="T80" i="64"/>
  <c r="P80" i="64"/>
  <c r="X80" i="64" s="1"/>
  <c r="Z80" i="64" s="1"/>
  <c r="H80" i="64"/>
  <c r="D80" i="64"/>
  <c r="L80" i="64" s="1"/>
  <c r="N80" i="64" s="1"/>
  <c r="B80" i="64"/>
  <c r="X79" i="64"/>
  <c r="Z79" i="64" s="1"/>
  <c r="N79" i="64"/>
  <c r="L79" i="64"/>
  <c r="B79" i="64"/>
  <c r="Z78" i="64"/>
  <c r="X78" i="64"/>
  <c r="N78" i="64"/>
  <c r="L78" i="64"/>
  <c r="B78" i="64"/>
  <c r="X77" i="64"/>
  <c r="Z77" i="64" s="1"/>
  <c r="N77" i="64"/>
  <c r="L77" i="64"/>
  <c r="B77" i="64"/>
  <c r="Z76" i="64"/>
  <c r="X76" i="64"/>
  <c r="N76" i="64"/>
  <c r="L76" i="64"/>
  <c r="B76" i="64"/>
  <c r="T75" i="64"/>
  <c r="P75" i="64"/>
  <c r="X75" i="64" s="1"/>
  <c r="L75" i="64"/>
  <c r="H75" i="64"/>
  <c r="N75" i="64" s="1"/>
  <c r="D75" i="64"/>
  <c r="B75" i="64"/>
  <c r="Z74" i="64"/>
  <c r="X74" i="64"/>
  <c r="N74" i="64"/>
  <c r="L74" i="64"/>
  <c r="B74" i="64"/>
  <c r="X73" i="64"/>
  <c r="T73" i="64"/>
  <c r="Z73" i="64" s="1"/>
  <c r="P73" i="64"/>
  <c r="N73" i="64"/>
  <c r="L73" i="64"/>
  <c r="H73" i="64"/>
  <c r="D73" i="64"/>
  <c r="B73" i="64"/>
  <c r="X72" i="64"/>
  <c r="Z72" i="64" s="1"/>
  <c r="N72" i="64"/>
  <c r="L72" i="64"/>
  <c r="B72" i="64"/>
  <c r="Z71" i="64"/>
  <c r="X71" i="64"/>
  <c r="N71" i="64"/>
  <c r="L71" i="64"/>
  <c r="B71" i="64"/>
  <c r="T70" i="64"/>
  <c r="P70" i="64"/>
  <c r="X70" i="64" s="1"/>
  <c r="Z70" i="64" s="1"/>
  <c r="N70" i="64"/>
  <c r="L70" i="64"/>
  <c r="H70" i="64"/>
  <c r="D70" i="64"/>
  <c r="B70" i="64"/>
  <c r="Z69" i="64"/>
  <c r="X69" i="64"/>
  <c r="N69" i="64"/>
  <c r="L69" i="64"/>
  <c r="B69" i="64"/>
  <c r="X68" i="64"/>
  <c r="Z68" i="64" s="1"/>
  <c r="N68" i="64"/>
  <c r="L68" i="64"/>
  <c r="B68" i="64"/>
  <c r="Z67" i="64"/>
  <c r="X67" i="64"/>
  <c r="T67" i="64"/>
  <c r="P67" i="64"/>
  <c r="H67" i="64"/>
  <c r="N67" i="64" s="1"/>
  <c r="D67" i="64"/>
  <c r="L67" i="64" s="1"/>
  <c r="B67" i="64"/>
  <c r="Z66" i="64"/>
  <c r="X66" i="64"/>
  <c r="N66" i="64"/>
  <c r="L66" i="64"/>
  <c r="B66" i="64"/>
  <c r="T65" i="64"/>
  <c r="Z65" i="64" s="1"/>
  <c r="P65" i="64"/>
  <c r="X65" i="64" s="1"/>
  <c r="H65" i="64"/>
  <c r="N65" i="64" s="1"/>
  <c r="D65" i="64"/>
  <c r="L65" i="64" s="1"/>
  <c r="B65" i="64"/>
  <c r="Z64" i="64"/>
  <c r="X64" i="64"/>
  <c r="N64" i="64"/>
  <c r="L64" i="64"/>
  <c r="B64" i="64"/>
  <c r="T63" i="64"/>
  <c r="P63" i="64"/>
  <c r="X63" i="64" s="1"/>
  <c r="L63" i="64"/>
  <c r="H63" i="64"/>
  <c r="N63" i="64" s="1"/>
  <c r="D63" i="64"/>
  <c r="B63" i="64"/>
  <c r="Z62" i="64"/>
  <c r="X62" i="64"/>
  <c r="N62" i="64"/>
  <c r="L62" i="64"/>
  <c r="B62" i="64"/>
  <c r="X61" i="64"/>
  <c r="T61" i="64"/>
  <c r="Z61" i="64" s="1"/>
  <c r="P61" i="64"/>
  <c r="N61" i="64"/>
  <c r="L61" i="64"/>
  <c r="H61" i="64"/>
  <c r="D61" i="64"/>
  <c r="B61" i="64"/>
  <c r="Z60" i="64"/>
  <c r="X60" i="64"/>
  <c r="N60" i="64"/>
  <c r="L60" i="64"/>
  <c r="B60" i="64"/>
  <c r="Z59" i="64"/>
  <c r="X59" i="64"/>
  <c r="N59" i="64"/>
  <c r="L59" i="64"/>
  <c r="B59" i="64"/>
  <c r="Z58" i="64"/>
  <c r="T58" i="64"/>
  <c r="P58" i="64"/>
  <c r="X58" i="64" s="1"/>
  <c r="N58" i="64"/>
  <c r="L58" i="64"/>
  <c r="H58" i="64"/>
  <c r="D58" i="64"/>
  <c r="B58" i="64"/>
  <c r="X57" i="64"/>
  <c r="Z57" i="64" s="1"/>
  <c r="N57" i="64"/>
  <c r="L57" i="64"/>
  <c r="B57" i="64"/>
  <c r="X56" i="64"/>
  <c r="Z56" i="64" s="1"/>
  <c r="T56" i="64"/>
  <c r="P56" i="64"/>
  <c r="H56" i="64"/>
  <c r="D56" i="64"/>
  <c r="B56" i="64"/>
  <c r="X55" i="64"/>
  <c r="Z55" i="64" s="1"/>
  <c r="N55" i="64"/>
  <c r="L55" i="64"/>
  <c r="B55" i="64"/>
  <c r="T54" i="64"/>
  <c r="P54" i="64"/>
  <c r="N54" i="64"/>
  <c r="H54" i="64"/>
  <c r="D54" i="64"/>
  <c r="L54" i="64" s="1"/>
  <c r="B54" i="64"/>
  <c r="Z53" i="64"/>
  <c r="X53" i="64"/>
  <c r="N53" i="64"/>
  <c r="L53" i="64"/>
  <c r="B53" i="64"/>
  <c r="Z52" i="64"/>
  <c r="X52" i="64"/>
  <c r="N52" i="64"/>
  <c r="L52" i="64"/>
  <c r="B52" i="64"/>
  <c r="X51" i="64"/>
  <c r="Z51" i="64" s="1"/>
  <c r="N51" i="64"/>
  <c r="L51" i="64"/>
  <c r="B51" i="64"/>
  <c r="Z50" i="64"/>
  <c r="X50" i="64"/>
  <c r="N50" i="64"/>
  <c r="L50" i="64"/>
  <c r="B50" i="64"/>
  <c r="T49" i="64"/>
  <c r="P49" i="64"/>
  <c r="X49" i="64" s="1"/>
  <c r="H49" i="64"/>
  <c r="N49" i="64" s="1"/>
  <c r="D49" i="64"/>
  <c r="B49" i="64"/>
  <c r="Z48" i="64"/>
  <c r="X48" i="64"/>
  <c r="N48" i="64"/>
  <c r="L48" i="64"/>
  <c r="B48" i="64"/>
  <c r="Z47" i="64"/>
  <c r="X47" i="64"/>
  <c r="N47" i="64"/>
  <c r="L47" i="64"/>
  <c r="B47" i="64"/>
  <c r="Z46" i="64"/>
  <c r="X46" i="64"/>
  <c r="N46" i="64"/>
  <c r="L46" i="64"/>
  <c r="B46" i="64"/>
  <c r="X45" i="64"/>
  <c r="Z45" i="64" s="1"/>
  <c r="N45" i="64"/>
  <c r="L45" i="64"/>
  <c r="B45" i="64"/>
  <c r="X44" i="64"/>
  <c r="Z44" i="64" s="1"/>
  <c r="N44" i="64"/>
  <c r="L44" i="64"/>
  <c r="B44" i="64"/>
  <c r="Z43" i="64"/>
  <c r="X43" i="64"/>
  <c r="N43" i="64"/>
  <c r="L43" i="64"/>
  <c r="B43" i="64"/>
  <c r="T42" i="64"/>
  <c r="P42" i="64"/>
  <c r="X42" i="64" s="1"/>
  <c r="Z42" i="64" s="1"/>
  <c r="N42" i="64"/>
  <c r="L42" i="64"/>
  <c r="H42" i="64"/>
  <c r="D42" i="64"/>
  <c r="B42" i="64"/>
  <c r="T41" i="64" a="1"/>
  <c r="T41" i="64" s="1"/>
  <c r="P41" i="64" a="1"/>
  <c r="P41" i="64"/>
  <c r="X41" i="64" s="1"/>
  <c r="H41" i="64" a="1"/>
  <c r="H41" i="64" s="1"/>
  <c r="D41" i="64" a="1"/>
  <c r="D41" i="64" s="1"/>
  <c r="X37" i="64"/>
  <c r="Z37" i="64" s="1"/>
  <c r="L37" i="64"/>
  <c r="N37" i="64" s="1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N32" i="64"/>
  <c r="L32" i="64"/>
  <c r="B32" i="64"/>
  <c r="Z31" i="64"/>
  <c r="X31" i="64"/>
  <c r="N31" i="64"/>
  <c r="L31" i="64"/>
  <c r="B31" i="64"/>
  <c r="Z30" i="64"/>
  <c r="X30" i="64"/>
  <c r="N30" i="64"/>
  <c r="L30" i="64"/>
  <c r="B30" i="64"/>
  <c r="X29" i="64"/>
  <c r="Z29" i="64" s="1"/>
  <c r="N29" i="64"/>
  <c r="L29" i="64"/>
  <c r="B29" i="64"/>
  <c r="Z28" i="64"/>
  <c r="X28" i="64"/>
  <c r="N28" i="64"/>
  <c r="L28" i="64"/>
  <c r="B28" i="64"/>
  <c r="T27" i="64"/>
  <c r="P27" i="64"/>
  <c r="X27" i="64" s="1"/>
  <c r="H27" i="64"/>
  <c r="D27" i="64"/>
  <c r="Z25" i="64"/>
  <c r="T25" i="64"/>
  <c r="P25" i="64"/>
  <c r="X25" i="64" s="1"/>
  <c r="L25" i="64"/>
  <c r="H25" i="64"/>
  <c r="N25" i="64" s="1"/>
  <c r="D25" i="64"/>
  <c r="B25" i="64"/>
  <c r="Z24" i="64"/>
  <c r="T24" i="64"/>
  <c r="P24" i="64"/>
  <c r="X24" i="64" s="1"/>
  <c r="H24" i="64"/>
  <c r="D24" i="64"/>
  <c r="B24" i="64"/>
  <c r="T23" i="64"/>
  <c r="P23" i="64"/>
  <c r="X23" i="64" s="1"/>
  <c r="H23" i="64"/>
  <c r="N23" i="64" s="1"/>
  <c r="D23" i="64"/>
  <c r="L23" i="64" s="1"/>
  <c r="B23" i="64"/>
  <c r="Z22" i="64"/>
  <c r="T22" i="64"/>
  <c r="P22" i="64"/>
  <c r="X22" i="64" s="1"/>
  <c r="H22" i="64"/>
  <c r="N22" i="64" s="1"/>
  <c r="D22" i="64"/>
  <c r="B22" i="64"/>
  <c r="X21" i="64"/>
  <c r="T21" i="64"/>
  <c r="P21" i="64"/>
  <c r="N21" i="64"/>
  <c r="H21" i="64"/>
  <c r="D21" i="64"/>
  <c r="L21" i="64" s="1"/>
  <c r="B21" i="64"/>
  <c r="Z20" i="64"/>
  <c r="T20" i="64"/>
  <c r="P20" i="64"/>
  <c r="X20" i="64" s="1"/>
  <c r="H20" i="64"/>
  <c r="N20" i="64" s="1"/>
  <c r="D20" i="64"/>
  <c r="L20" i="64" s="1"/>
  <c r="B20" i="64"/>
  <c r="T19" i="64"/>
  <c r="P19" i="64"/>
  <c r="L19" i="64"/>
  <c r="H19" i="64"/>
  <c r="N19" i="64" s="1"/>
  <c r="D19" i="64"/>
  <c r="B19" i="64"/>
  <c r="T18" i="64"/>
  <c r="X18" i="64" s="1"/>
  <c r="Z18" i="64" s="1"/>
  <c r="P18" i="64"/>
  <c r="N18" i="64"/>
  <c r="H18" i="64"/>
  <c r="D18" i="64"/>
  <c r="L18" i="64" s="1"/>
  <c r="B18" i="64"/>
  <c r="Z17" i="64"/>
  <c r="X17" i="64"/>
  <c r="T17" i="64"/>
  <c r="P17" i="64"/>
  <c r="L17" i="64"/>
  <c r="H17" i="64"/>
  <c r="N17" i="64" s="1"/>
  <c r="D17" i="64"/>
  <c r="B17" i="64"/>
  <c r="Z16" i="64"/>
  <c r="T16" i="64"/>
  <c r="P16" i="64"/>
  <c r="X16" i="64" s="1"/>
  <c r="H16" i="64"/>
  <c r="N16" i="64" s="1"/>
  <c r="D16" i="64"/>
  <c r="B16" i="64"/>
  <c r="X15" i="64"/>
  <c r="T15" i="64"/>
  <c r="Z15" i="64" s="1"/>
  <c r="P15" i="64"/>
  <c r="L15" i="64"/>
  <c r="H15" i="64"/>
  <c r="N15" i="64" s="1"/>
  <c r="D15" i="64"/>
  <c r="B15" i="64"/>
  <c r="T14" i="64"/>
  <c r="Z14" i="64" s="1"/>
  <c r="P14" i="64"/>
  <c r="X14" i="64" s="1"/>
  <c r="N14" i="64"/>
  <c r="L14" i="64"/>
  <c r="H14" i="64"/>
  <c r="D14" i="64"/>
  <c r="B14" i="64"/>
  <c r="T13" i="64"/>
  <c r="P13" i="64"/>
  <c r="X13" i="64" s="1"/>
  <c r="N13" i="64"/>
  <c r="L13" i="64"/>
  <c r="H13" i="64"/>
  <c r="D13" i="64"/>
  <c r="B13" i="64"/>
  <c r="D6" i="64"/>
  <c r="D4" i="64"/>
  <c r="F104" i="62"/>
  <c r="Z102" i="62"/>
  <c r="X102" i="62"/>
  <c r="N102" i="62"/>
  <c r="L102" i="62"/>
  <c r="F102" i="62"/>
  <c r="F100" i="62"/>
  <c r="X98" i="62"/>
  <c r="T98" i="62"/>
  <c r="Z98" i="62" s="1"/>
  <c r="P98" i="62"/>
  <c r="N98" i="62"/>
  <c r="J98" i="62"/>
  <c r="H98" i="62"/>
  <c r="F98" i="62"/>
  <c r="D98" i="62"/>
  <c r="L98" i="62" s="1"/>
  <c r="B98" i="62"/>
  <c r="P97" i="62"/>
  <c r="L97" i="62"/>
  <c r="H97" i="62"/>
  <c r="N97" i="62" s="1"/>
  <c r="D97" i="62"/>
  <c r="X95" i="62"/>
  <c r="Z95" i="62" s="1"/>
  <c r="R95" i="62"/>
  <c r="L95" i="62"/>
  <c r="N95" i="62" s="1"/>
  <c r="F95" i="62"/>
  <c r="B95" i="62"/>
  <c r="Z94" i="62"/>
  <c r="X94" i="62"/>
  <c r="T94" i="62"/>
  <c r="R94" i="62"/>
  <c r="P94" i="62"/>
  <c r="H94" i="62"/>
  <c r="L94" i="62" s="1"/>
  <c r="N94" i="62" s="1"/>
  <c r="D94" i="62"/>
  <c r="B94" i="62"/>
  <c r="X93" i="62"/>
  <c r="Z93" i="62" s="1"/>
  <c r="N93" i="62"/>
  <c r="L93" i="62"/>
  <c r="B93" i="62"/>
  <c r="Z92" i="62"/>
  <c r="X92" i="62"/>
  <c r="N92" i="62"/>
  <c r="L92" i="62"/>
  <c r="B92" i="62"/>
  <c r="T91" i="62"/>
  <c r="P91" i="62"/>
  <c r="X91" i="62" s="1"/>
  <c r="Z91" i="62" s="1"/>
  <c r="H91" i="62"/>
  <c r="N91" i="62" s="1"/>
  <c r="F91" i="62"/>
  <c r="D91" i="62"/>
  <c r="B91" i="62"/>
  <c r="Z90" i="62"/>
  <c r="X90" i="62"/>
  <c r="N90" i="62"/>
  <c r="L90" i="62"/>
  <c r="B90" i="62"/>
  <c r="T89" i="62"/>
  <c r="P89" i="62"/>
  <c r="X89" i="62" s="1"/>
  <c r="L89" i="62"/>
  <c r="H89" i="62"/>
  <c r="N89" i="62" s="1"/>
  <c r="F89" i="62"/>
  <c r="D89" i="62"/>
  <c r="B89" i="62"/>
  <c r="Z88" i="62"/>
  <c r="X88" i="62"/>
  <c r="N88" i="62"/>
  <c r="L88" i="62"/>
  <c r="B88" i="62"/>
  <c r="T87" i="62"/>
  <c r="P87" i="62"/>
  <c r="X87" i="62" s="1"/>
  <c r="L87" i="62"/>
  <c r="H87" i="62"/>
  <c r="N87" i="62" s="1"/>
  <c r="D87" i="62"/>
  <c r="B87" i="62"/>
  <c r="X86" i="62"/>
  <c r="Z86" i="62" s="1"/>
  <c r="V86" i="62"/>
  <c r="N86" i="62"/>
  <c r="L86" i="62"/>
  <c r="B86" i="62"/>
  <c r="X85" i="62"/>
  <c r="Z85" i="62" s="1"/>
  <c r="R85" i="62"/>
  <c r="N85" i="62"/>
  <c r="L85" i="62"/>
  <c r="B85" i="62"/>
  <c r="X84" i="62"/>
  <c r="Z84" i="62" s="1"/>
  <c r="V84" i="62"/>
  <c r="N84" i="62"/>
  <c r="L84" i="62"/>
  <c r="B84" i="62"/>
  <c r="X83" i="62"/>
  <c r="Z83" i="62" s="1"/>
  <c r="L83" i="62"/>
  <c r="N83" i="62" s="1"/>
  <c r="B83" i="62"/>
  <c r="Z82" i="62"/>
  <c r="X82" i="62"/>
  <c r="N82" i="62"/>
  <c r="L82" i="62"/>
  <c r="B82" i="62"/>
  <c r="X81" i="62"/>
  <c r="Z81" i="62" s="1"/>
  <c r="N81" i="62"/>
  <c r="L81" i="62"/>
  <c r="F81" i="62"/>
  <c r="B81" i="62"/>
  <c r="T80" i="62"/>
  <c r="P80" i="62"/>
  <c r="X80" i="62" s="1"/>
  <c r="Z80" i="62" s="1"/>
  <c r="H80" i="62"/>
  <c r="D80" i="62"/>
  <c r="L80" i="62" s="1"/>
  <c r="N80" i="62" s="1"/>
  <c r="B80" i="62"/>
  <c r="Z79" i="62"/>
  <c r="X79" i="62"/>
  <c r="N79" i="62"/>
  <c r="L79" i="62"/>
  <c r="B79" i="62"/>
  <c r="Z78" i="62"/>
  <c r="T78" i="62"/>
  <c r="P78" i="62"/>
  <c r="X78" i="62" s="1"/>
  <c r="N78" i="62"/>
  <c r="L78" i="62"/>
  <c r="J78" i="62"/>
  <c r="H78" i="62"/>
  <c r="F78" i="62"/>
  <c r="D78" i="62"/>
  <c r="B78" i="62"/>
  <c r="Z77" i="62"/>
  <c r="X77" i="62"/>
  <c r="R77" i="62"/>
  <c r="L77" i="62"/>
  <c r="N77" i="62" s="1"/>
  <c r="B77" i="62"/>
  <c r="X76" i="62"/>
  <c r="Z76" i="62" s="1"/>
  <c r="V76" i="62"/>
  <c r="N76" i="62"/>
  <c r="L76" i="62"/>
  <c r="B76" i="62"/>
  <c r="X75" i="62"/>
  <c r="Z75" i="62" s="1"/>
  <c r="N75" i="62"/>
  <c r="L75" i="62"/>
  <c r="B75" i="62"/>
  <c r="T74" i="62"/>
  <c r="P74" i="62"/>
  <c r="X74" i="62" s="1"/>
  <c r="Z74" i="62" s="1"/>
  <c r="L74" i="62"/>
  <c r="N74" i="62" s="1"/>
  <c r="J74" i="62"/>
  <c r="H74" i="62"/>
  <c r="F74" i="62"/>
  <c r="D74" i="62"/>
  <c r="B74" i="62"/>
  <c r="Z73" i="62"/>
  <c r="X73" i="62"/>
  <c r="R73" i="62"/>
  <c r="L73" i="62"/>
  <c r="N73" i="62" s="1"/>
  <c r="B73" i="62"/>
  <c r="X72" i="62"/>
  <c r="Z72" i="62" s="1"/>
  <c r="V72" i="62"/>
  <c r="N72" i="62"/>
  <c r="L72" i="62"/>
  <c r="B72" i="62"/>
  <c r="X71" i="62"/>
  <c r="Z71" i="62" s="1"/>
  <c r="N71" i="62"/>
  <c r="L71" i="62"/>
  <c r="B71" i="62"/>
  <c r="Z70" i="62"/>
  <c r="X70" i="62"/>
  <c r="N70" i="62"/>
  <c r="L70" i="62"/>
  <c r="F70" i="62"/>
  <c r="B70" i="62"/>
  <c r="X69" i="62"/>
  <c r="T69" i="62"/>
  <c r="Z69" i="62" s="1"/>
  <c r="P69" i="62"/>
  <c r="L69" i="62"/>
  <c r="H69" i="62"/>
  <c r="N69" i="62" s="1"/>
  <c r="D69" i="62"/>
  <c r="B69" i="62"/>
  <c r="X68" i="62"/>
  <c r="Z68" i="62" s="1"/>
  <c r="V68" i="62"/>
  <c r="N68" i="62"/>
  <c r="L68" i="62"/>
  <c r="B68" i="62"/>
  <c r="X67" i="62"/>
  <c r="T67" i="62"/>
  <c r="P67" i="62"/>
  <c r="H67" i="62"/>
  <c r="D67" i="62"/>
  <c r="B67" i="62"/>
  <c r="Z66" i="62"/>
  <c r="X66" i="62"/>
  <c r="N66" i="62"/>
  <c r="L66" i="62"/>
  <c r="B66" i="62"/>
  <c r="T65" i="62"/>
  <c r="Z65" i="62" s="1"/>
  <c r="P65" i="62"/>
  <c r="H65" i="62"/>
  <c r="N65" i="62" s="1"/>
  <c r="F65" i="62"/>
  <c r="D65" i="62"/>
  <c r="L65" i="62" s="1"/>
  <c r="B65" i="62"/>
  <c r="Z64" i="62"/>
  <c r="X64" i="62"/>
  <c r="L64" i="62"/>
  <c r="N64" i="62" s="1"/>
  <c r="J64" i="62"/>
  <c r="B64" i="62"/>
  <c r="T63" i="62"/>
  <c r="P63" i="62"/>
  <c r="X63" i="62" s="1"/>
  <c r="L63" i="62"/>
  <c r="H63" i="62"/>
  <c r="N63" i="62" s="1"/>
  <c r="D63" i="62"/>
  <c r="B63" i="62"/>
  <c r="Z62" i="62"/>
  <c r="X62" i="62"/>
  <c r="N62" i="62"/>
  <c r="L62" i="62"/>
  <c r="F62" i="62"/>
  <c r="B62" i="62"/>
  <c r="X61" i="62"/>
  <c r="T61" i="62"/>
  <c r="Z61" i="62" s="1"/>
  <c r="P61" i="62"/>
  <c r="L61" i="62"/>
  <c r="H61" i="62"/>
  <c r="N61" i="62" s="1"/>
  <c r="D61" i="62"/>
  <c r="B61" i="62"/>
  <c r="X60" i="62"/>
  <c r="Z60" i="62" s="1"/>
  <c r="V60" i="62"/>
  <c r="N60" i="62"/>
  <c r="L60" i="62"/>
  <c r="B60" i="62"/>
  <c r="X59" i="62"/>
  <c r="T59" i="62"/>
  <c r="Z59" i="62" s="1"/>
  <c r="P59" i="62"/>
  <c r="H59" i="62"/>
  <c r="D59" i="62"/>
  <c r="B59" i="62"/>
  <c r="Z58" i="62"/>
  <c r="X58" i="62"/>
  <c r="N58" i="62"/>
  <c r="L58" i="62"/>
  <c r="B58" i="62"/>
  <c r="T57" i="62"/>
  <c r="P57" i="62"/>
  <c r="H57" i="62"/>
  <c r="N57" i="62" s="1"/>
  <c r="F57" i="62"/>
  <c r="D57" i="62"/>
  <c r="L57" i="62" s="1"/>
  <c r="B57" i="62"/>
  <c r="Z56" i="62"/>
  <c r="X56" i="62"/>
  <c r="N56" i="62"/>
  <c r="L56" i="62"/>
  <c r="J56" i="62"/>
  <c r="B56" i="62"/>
  <c r="T55" i="62"/>
  <c r="P55" i="62"/>
  <c r="X55" i="62" s="1"/>
  <c r="L55" i="62"/>
  <c r="H55" i="62"/>
  <c r="N55" i="62" s="1"/>
  <c r="D55" i="62"/>
  <c r="B55" i="62"/>
  <c r="Z54" i="62"/>
  <c r="X54" i="62"/>
  <c r="V54" i="62"/>
  <c r="N54" i="62"/>
  <c r="L54" i="62"/>
  <c r="F54" i="62"/>
  <c r="B54" i="62"/>
  <c r="X53" i="62"/>
  <c r="T53" i="62"/>
  <c r="Z53" i="62" s="1"/>
  <c r="P53" i="62"/>
  <c r="L53" i="62"/>
  <c r="H53" i="62"/>
  <c r="N53" i="62" s="1"/>
  <c r="D53" i="62"/>
  <c r="B53" i="62"/>
  <c r="X52" i="62"/>
  <c r="Z52" i="62" s="1"/>
  <c r="V52" i="62"/>
  <c r="N52" i="62"/>
  <c r="L52" i="62"/>
  <c r="B52" i="62"/>
  <c r="Z51" i="62"/>
  <c r="X51" i="62"/>
  <c r="N51" i="62"/>
  <c r="L51" i="62"/>
  <c r="F51" i="62"/>
  <c r="B51" i="62"/>
  <c r="Z50" i="62"/>
  <c r="V50" i="62"/>
  <c r="T50" i="62"/>
  <c r="P50" i="62"/>
  <c r="X50" i="62" s="1"/>
  <c r="L50" i="62"/>
  <c r="N50" i="62" s="1"/>
  <c r="J50" i="62"/>
  <c r="H50" i="62"/>
  <c r="F50" i="62"/>
  <c r="D50" i="62"/>
  <c r="B50" i="62"/>
  <c r="X49" i="62"/>
  <c r="Z49" i="62" s="1"/>
  <c r="R49" i="62"/>
  <c r="L49" i="62"/>
  <c r="N49" i="62" s="1"/>
  <c r="F49" i="62"/>
  <c r="B49" i="62"/>
  <c r="X48" i="62"/>
  <c r="Z48" i="62" s="1"/>
  <c r="V48" i="62"/>
  <c r="N48" i="62"/>
  <c r="L48" i="62"/>
  <c r="F48" i="62"/>
  <c r="B48" i="62"/>
  <c r="X47" i="62"/>
  <c r="T47" i="62"/>
  <c r="P47" i="62"/>
  <c r="H47" i="62"/>
  <c r="D47" i="62"/>
  <c r="B47" i="62"/>
  <c r="Z46" i="62"/>
  <c r="X46" i="62"/>
  <c r="N46" i="62"/>
  <c r="L46" i="62"/>
  <c r="B46" i="62"/>
  <c r="T45" i="62"/>
  <c r="P45" i="62"/>
  <c r="H45" i="62"/>
  <c r="F45" i="62"/>
  <c r="D45" i="62"/>
  <c r="L45" i="62" s="1"/>
  <c r="B45" i="62"/>
  <c r="Z44" i="62"/>
  <c r="X44" i="62"/>
  <c r="N44" i="62"/>
  <c r="L44" i="62"/>
  <c r="J44" i="62"/>
  <c r="B44" i="62"/>
  <c r="X43" i="62"/>
  <c r="Z43" i="62" s="1"/>
  <c r="L43" i="62"/>
  <c r="N43" i="62" s="1"/>
  <c r="F43" i="62"/>
  <c r="B43" i="62"/>
  <c r="T42" i="62"/>
  <c r="R42" i="62"/>
  <c r="P42" i="62"/>
  <c r="H42" i="62"/>
  <c r="F42" i="62"/>
  <c r="D42" i="62"/>
  <c r="L42" i="62" s="1"/>
  <c r="N42" i="62" s="1"/>
  <c r="B42" i="62"/>
  <c r="X41" i="62"/>
  <c r="Z41" i="62" s="1"/>
  <c r="L41" i="62"/>
  <c r="N41" i="62" s="1"/>
  <c r="F41" i="62"/>
  <c r="B41" i="62"/>
  <c r="T40" i="62"/>
  <c r="P40" i="62"/>
  <c r="X40" i="62" s="1"/>
  <c r="Z40" i="62" s="1"/>
  <c r="N40" i="62"/>
  <c r="H40" i="62"/>
  <c r="F40" i="62"/>
  <c r="D40" i="62"/>
  <c r="L40" i="62" s="1"/>
  <c r="B40" i="62"/>
  <c r="Z39" i="62"/>
  <c r="X39" i="62"/>
  <c r="N39" i="62"/>
  <c r="L39" i="62"/>
  <c r="F39" i="62"/>
  <c r="B39" i="62"/>
  <c r="Z38" i="62"/>
  <c r="X38" i="62"/>
  <c r="V38" i="62"/>
  <c r="N38" i="62"/>
  <c r="L38" i="62"/>
  <c r="F38" i="62"/>
  <c r="B38" i="62"/>
  <c r="X37" i="62"/>
  <c r="Z37" i="62" s="1"/>
  <c r="L37" i="62"/>
  <c r="N37" i="62" s="1"/>
  <c r="F37" i="62"/>
  <c r="B37" i="62"/>
  <c r="Z36" i="62"/>
  <c r="X36" i="62"/>
  <c r="L36" i="62"/>
  <c r="N36" i="62" s="1"/>
  <c r="J36" i="62"/>
  <c r="B36" i="62"/>
  <c r="X35" i="62"/>
  <c r="Z35" i="62" s="1"/>
  <c r="L35" i="62"/>
  <c r="N35" i="62" s="1"/>
  <c r="F35" i="62"/>
  <c r="B35" i="62"/>
  <c r="Z34" i="62"/>
  <c r="X34" i="62"/>
  <c r="N34" i="62"/>
  <c r="L34" i="62"/>
  <c r="B34" i="62"/>
  <c r="X33" i="62"/>
  <c r="Z33" i="62" s="1"/>
  <c r="V33" i="62"/>
  <c r="R33" i="62"/>
  <c r="L33" i="62"/>
  <c r="N33" i="62" s="1"/>
  <c r="F33" i="62"/>
  <c r="B33" i="62"/>
  <c r="X32" i="62"/>
  <c r="Z32" i="62" s="1"/>
  <c r="V32" i="62"/>
  <c r="T32" i="62"/>
  <c r="R32" i="62"/>
  <c r="P32" i="62"/>
  <c r="H32" i="62"/>
  <c r="F32" i="62"/>
  <c r="D32" i="62"/>
  <c r="B32" i="62"/>
  <c r="X31" i="62"/>
  <c r="Z31" i="62" s="1"/>
  <c r="L31" i="62"/>
  <c r="N31" i="62" s="1"/>
  <c r="F31" i="62"/>
  <c r="B31" i="62"/>
  <c r="Z30" i="62"/>
  <c r="X30" i="62"/>
  <c r="N30" i="62"/>
  <c r="L30" i="62"/>
  <c r="B30" i="62"/>
  <c r="X29" i="62"/>
  <c r="Z29" i="62" s="1"/>
  <c r="V29" i="62"/>
  <c r="R29" i="62"/>
  <c r="L29" i="62"/>
  <c r="N29" i="62" s="1"/>
  <c r="F29" i="62"/>
  <c r="B29" i="62"/>
  <c r="X28" i="62"/>
  <c r="Z28" i="62" s="1"/>
  <c r="V28" i="62"/>
  <c r="N28" i="62"/>
  <c r="L28" i="62"/>
  <c r="F28" i="62"/>
  <c r="B28" i="62"/>
  <c r="X27" i="62"/>
  <c r="Z27" i="62" s="1"/>
  <c r="R27" i="62"/>
  <c r="N27" i="62"/>
  <c r="L27" i="62"/>
  <c r="F27" i="62"/>
  <c r="B27" i="62"/>
  <c r="Z26" i="62"/>
  <c r="X26" i="62"/>
  <c r="V26" i="62"/>
  <c r="N26" i="62"/>
  <c r="L26" i="62"/>
  <c r="F26" i="62"/>
  <c r="B26" i="62"/>
  <c r="X25" i="62"/>
  <c r="Z25" i="62" s="1"/>
  <c r="L25" i="62"/>
  <c r="N25" i="62" s="1"/>
  <c r="F25" i="62"/>
  <c r="B25" i="62"/>
  <c r="Z24" i="62"/>
  <c r="X24" i="62"/>
  <c r="V24" i="62"/>
  <c r="L24" i="62"/>
  <c r="N24" i="62" s="1"/>
  <c r="J24" i="62"/>
  <c r="B24" i="62"/>
  <c r="X23" i="62"/>
  <c r="Z23" i="62" s="1"/>
  <c r="L23" i="62"/>
  <c r="N23" i="62" s="1"/>
  <c r="F23" i="62"/>
  <c r="B23" i="62"/>
  <c r="Z22" i="62"/>
  <c r="X22" i="62"/>
  <c r="N22" i="62"/>
  <c r="L22" i="62"/>
  <c r="B22" i="62"/>
  <c r="V21" i="62"/>
  <c r="T21" i="62"/>
  <c r="P21" i="62"/>
  <c r="X21" i="62" s="1"/>
  <c r="H21" i="62"/>
  <c r="N21" i="62" s="1"/>
  <c r="F21" i="62"/>
  <c r="D21" i="62"/>
  <c r="L21" i="62" s="1"/>
  <c r="B21" i="62"/>
  <c r="V20" i="62"/>
  <c r="T20" i="62" a="1"/>
  <c r="T20" i="62" s="1"/>
  <c r="P20" i="62" a="1"/>
  <c r="P20" i="62" s="1"/>
  <c r="H20" i="62" a="1"/>
  <c r="H20" i="62" s="1"/>
  <c r="F20" i="62"/>
  <c r="D20" i="62" a="1"/>
  <c r="D20" i="62" s="1"/>
  <c r="Z18" i="62"/>
  <c r="V18" i="62"/>
  <c r="T18" i="62"/>
  <c r="F18" i="62"/>
  <c r="D18" i="62"/>
  <c r="Z16" i="62"/>
  <c r="X16" i="62"/>
  <c r="V16" i="62"/>
  <c r="N16" i="62"/>
  <c r="L16" i="62"/>
  <c r="F16" i="62"/>
  <c r="B16" i="62"/>
  <c r="Z15" i="62"/>
  <c r="X15" i="62"/>
  <c r="R15" i="62"/>
  <c r="N15" i="62"/>
  <c r="L15" i="62"/>
  <c r="F15" i="62"/>
  <c r="B15" i="62"/>
  <c r="Z14" i="62"/>
  <c r="V14" i="62"/>
  <c r="T14" i="62"/>
  <c r="P14" i="62"/>
  <c r="X14" i="62" s="1"/>
  <c r="N14" i="62"/>
  <c r="L14" i="62"/>
  <c r="J14" i="62"/>
  <c r="H14" i="62"/>
  <c r="F14" i="62"/>
  <c r="D14" i="62"/>
  <c r="Z12" i="62"/>
  <c r="X12" i="62"/>
  <c r="T12" i="62"/>
  <c r="V95" i="62" s="1"/>
  <c r="P12" i="62"/>
  <c r="N12" i="62"/>
  <c r="H12" i="62"/>
  <c r="J86" i="62" s="1"/>
  <c r="D12" i="62"/>
  <c r="F86" i="62" s="1"/>
  <c r="D6" i="62"/>
  <c r="D4" i="62"/>
  <c r="V53" i="61"/>
  <c r="F53" i="61"/>
  <c r="F50" i="61"/>
  <c r="Z48" i="61"/>
  <c r="X48" i="61"/>
  <c r="V48" i="61"/>
  <c r="N48" i="61"/>
  <c r="L48" i="61"/>
  <c r="F48" i="61"/>
  <c r="V46" i="61"/>
  <c r="F46" i="61"/>
  <c r="Z44" i="61"/>
  <c r="T44" i="61"/>
  <c r="P44" i="61"/>
  <c r="X44" i="61" s="1"/>
  <c r="N44" i="61"/>
  <c r="H44" i="61"/>
  <c r="F44" i="61"/>
  <c r="D44" i="61"/>
  <c r="L44" i="61" s="1"/>
  <c r="X42" i="61"/>
  <c r="Z42" i="61" s="1"/>
  <c r="V42" i="61"/>
  <c r="N42" i="61"/>
  <c r="L42" i="61"/>
  <c r="F42" i="61"/>
  <c r="B42" i="61"/>
  <c r="X41" i="61"/>
  <c r="T41" i="61"/>
  <c r="Z41" i="61" s="1"/>
  <c r="P41" i="61"/>
  <c r="H41" i="61"/>
  <c r="D41" i="61"/>
  <c r="B41" i="61"/>
  <c r="Z40" i="61"/>
  <c r="X40" i="61"/>
  <c r="N40" i="61"/>
  <c r="L40" i="61"/>
  <c r="B40" i="61"/>
  <c r="T39" i="61"/>
  <c r="Z39" i="61" s="1"/>
  <c r="P39" i="61"/>
  <c r="H39" i="61"/>
  <c r="N39" i="61" s="1"/>
  <c r="F39" i="61"/>
  <c r="D39" i="61"/>
  <c r="L39" i="61" s="1"/>
  <c r="B39" i="61"/>
  <c r="Z38" i="61"/>
  <c r="X38" i="61"/>
  <c r="N38" i="61"/>
  <c r="L38" i="61"/>
  <c r="B38" i="61"/>
  <c r="T37" i="61"/>
  <c r="Z37" i="61" s="1"/>
  <c r="P37" i="61"/>
  <c r="X37" i="61" s="1"/>
  <c r="L37" i="61"/>
  <c r="H37" i="61"/>
  <c r="N37" i="61" s="1"/>
  <c r="F37" i="61"/>
  <c r="D37" i="61"/>
  <c r="B37" i="61"/>
  <c r="Z36" i="61"/>
  <c r="X36" i="61"/>
  <c r="V36" i="61"/>
  <c r="N36" i="61"/>
  <c r="L36" i="61"/>
  <c r="F36" i="61"/>
  <c r="B36" i="61"/>
  <c r="X35" i="61"/>
  <c r="T35" i="61"/>
  <c r="Z35" i="61" s="1"/>
  <c r="P35" i="61"/>
  <c r="L35" i="61"/>
  <c r="H35" i="61"/>
  <c r="N35" i="61" s="1"/>
  <c r="D35" i="61"/>
  <c r="B35" i="61"/>
  <c r="X34" i="61"/>
  <c r="Z34" i="61" s="1"/>
  <c r="V34" i="61"/>
  <c r="N34" i="61"/>
  <c r="L34" i="61"/>
  <c r="F34" i="61"/>
  <c r="B34" i="61"/>
  <c r="X33" i="61"/>
  <c r="T33" i="61"/>
  <c r="Z33" i="61" s="1"/>
  <c r="P33" i="61"/>
  <c r="H33" i="61"/>
  <c r="N33" i="61" s="1"/>
  <c r="D33" i="61"/>
  <c r="B33" i="61"/>
  <c r="X32" i="61"/>
  <c r="Z32" i="61" s="1"/>
  <c r="N32" i="61"/>
  <c r="L32" i="61"/>
  <c r="B32" i="61"/>
  <c r="Z31" i="61"/>
  <c r="X31" i="61"/>
  <c r="R31" i="61"/>
  <c r="L31" i="61"/>
  <c r="N31" i="61" s="1"/>
  <c r="F31" i="61"/>
  <c r="B31" i="61"/>
  <c r="Z30" i="61"/>
  <c r="X30" i="61"/>
  <c r="V30" i="61"/>
  <c r="N30" i="61"/>
  <c r="L30" i="61"/>
  <c r="F30" i="61"/>
  <c r="B30" i="61"/>
  <c r="X29" i="61"/>
  <c r="Z29" i="61" s="1"/>
  <c r="L29" i="61"/>
  <c r="N29" i="61" s="1"/>
  <c r="F29" i="61"/>
  <c r="B29" i="61"/>
  <c r="Z28" i="61"/>
  <c r="V28" i="61"/>
  <c r="T28" i="61"/>
  <c r="P28" i="61"/>
  <c r="X28" i="61" s="1"/>
  <c r="L28" i="61"/>
  <c r="N28" i="61" s="1"/>
  <c r="H28" i="61"/>
  <c r="F28" i="61"/>
  <c r="D28" i="61"/>
  <c r="B28" i="61"/>
  <c r="Z27" i="61"/>
  <c r="X27" i="61"/>
  <c r="R27" i="61"/>
  <c r="N27" i="61"/>
  <c r="L27" i="61"/>
  <c r="F27" i="61"/>
  <c r="B27" i="61"/>
  <c r="X26" i="61"/>
  <c r="Z26" i="61" s="1"/>
  <c r="V26" i="61"/>
  <c r="N26" i="61"/>
  <c r="L26" i="61"/>
  <c r="F26" i="61"/>
  <c r="B26" i="61"/>
  <c r="X25" i="61"/>
  <c r="Z25" i="61" s="1"/>
  <c r="L25" i="61"/>
  <c r="N25" i="61" s="1"/>
  <c r="F25" i="61"/>
  <c r="B25" i="61"/>
  <c r="Z24" i="61"/>
  <c r="X24" i="61"/>
  <c r="V24" i="61"/>
  <c r="L24" i="61"/>
  <c r="N24" i="61" s="1"/>
  <c r="F24" i="61"/>
  <c r="B24" i="61"/>
  <c r="X23" i="61"/>
  <c r="Z23" i="61" s="1"/>
  <c r="N23" i="61"/>
  <c r="L23" i="61"/>
  <c r="F23" i="61"/>
  <c r="B23" i="61"/>
  <c r="Z22" i="61"/>
  <c r="X22" i="61"/>
  <c r="L22" i="61"/>
  <c r="N22" i="61" s="1"/>
  <c r="B22" i="61"/>
  <c r="X21" i="61"/>
  <c r="Z21" i="61" s="1"/>
  <c r="V21" i="61"/>
  <c r="L21" i="61"/>
  <c r="N21" i="61" s="1"/>
  <c r="F21" i="61"/>
  <c r="B21" i="61"/>
  <c r="X20" i="61"/>
  <c r="Z20" i="61" s="1"/>
  <c r="N20" i="61"/>
  <c r="L20" i="61"/>
  <c r="B20" i="61"/>
  <c r="V19" i="61"/>
  <c r="T19" i="61"/>
  <c r="P19" i="61"/>
  <c r="X19" i="61" s="1"/>
  <c r="H19" i="61"/>
  <c r="F19" i="61"/>
  <c r="D19" i="61"/>
  <c r="L19" i="61" s="1"/>
  <c r="B19" i="61"/>
  <c r="T18" i="61" a="1"/>
  <c r="T18" i="61" s="1"/>
  <c r="P18" i="61" a="1"/>
  <c r="P18" i="61" s="1"/>
  <c r="H18" i="61" a="1"/>
  <c r="H18" i="61" s="1"/>
  <c r="F18" i="61"/>
  <c r="D18" i="61" a="1"/>
  <c r="D18" i="61" s="1"/>
  <c r="T16" i="61"/>
  <c r="F16" i="61"/>
  <c r="D16" i="61"/>
  <c r="Z14" i="61"/>
  <c r="X14" i="61"/>
  <c r="V14" i="61"/>
  <c r="T14" i="61"/>
  <c r="P14" i="61"/>
  <c r="L14" i="61"/>
  <c r="H14" i="61"/>
  <c r="N14" i="61" s="1"/>
  <c r="F14" i="61"/>
  <c r="D14" i="61"/>
  <c r="Z12" i="61"/>
  <c r="T12" i="61"/>
  <c r="V41" i="61" s="1"/>
  <c r="P12" i="61"/>
  <c r="R48" i="61" s="1"/>
  <c r="H12" i="61"/>
  <c r="D12" i="61"/>
  <c r="F41" i="61" s="1"/>
  <c r="D6" i="61"/>
  <c r="D4" i="61"/>
  <c r="R53" i="60"/>
  <c r="R50" i="60"/>
  <c r="J50" i="60"/>
  <c r="Z48" i="60"/>
  <c r="X48" i="60"/>
  <c r="R48" i="60"/>
  <c r="N48" i="60"/>
  <c r="L48" i="60"/>
  <c r="R46" i="60"/>
  <c r="Z44" i="60"/>
  <c r="T44" i="60"/>
  <c r="R44" i="60"/>
  <c r="P44" i="60"/>
  <c r="X44" i="60" s="1"/>
  <c r="N44" i="60"/>
  <c r="L44" i="60"/>
  <c r="J44" i="60"/>
  <c r="H44" i="60"/>
  <c r="D44" i="60"/>
  <c r="X42" i="60"/>
  <c r="Z42" i="60" s="1"/>
  <c r="R42" i="60"/>
  <c r="N42" i="60"/>
  <c r="L42" i="60"/>
  <c r="J42" i="60"/>
  <c r="B42" i="60"/>
  <c r="T41" i="60"/>
  <c r="P41" i="60"/>
  <c r="X41" i="60" s="1"/>
  <c r="J41" i="60"/>
  <c r="H41" i="60"/>
  <c r="N41" i="60" s="1"/>
  <c r="D41" i="60"/>
  <c r="L41" i="60" s="1"/>
  <c r="B41" i="60"/>
  <c r="Z40" i="60"/>
  <c r="X40" i="60"/>
  <c r="R40" i="60"/>
  <c r="L40" i="60"/>
  <c r="N40" i="60" s="1"/>
  <c r="J40" i="60"/>
  <c r="B40" i="60"/>
  <c r="X39" i="60"/>
  <c r="Z39" i="60" s="1"/>
  <c r="N39" i="60"/>
  <c r="L39" i="60"/>
  <c r="F39" i="60"/>
  <c r="B39" i="60"/>
  <c r="Z38" i="60"/>
  <c r="X38" i="60"/>
  <c r="R38" i="60"/>
  <c r="N38" i="60"/>
  <c r="L38" i="60"/>
  <c r="J38" i="60"/>
  <c r="B38" i="60"/>
  <c r="T37" i="60"/>
  <c r="P37" i="60"/>
  <c r="X37" i="60" s="1"/>
  <c r="J37" i="60"/>
  <c r="H37" i="60"/>
  <c r="N37" i="60" s="1"/>
  <c r="D37" i="60"/>
  <c r="L37" i="60" s="1"/>
  <c r="B37" i="60"/>
  <c r="Z36" i="60"/>
  <c r="X36" i="60"/>
  <c r="R36" i="60"/>
  <c r="N36" i="60"/>
  <c r="L36" i="60"/>
  <c r="J36" i="60"/>
  <c r="B36" i="60"/>
  <c r="X35" i="60"/>
  <c r="Z35" i="60" s="1"/>
  <c r="R35" i="60"/>
  <c r="L35" i="60"/>
  <c r="N35" i="60" s="1"/>
  <c r="F35" i="60"/>
  <c r="B35" i="60"/>
  <c r="X34" i="60"/>
  <c r="T34" i="60"/>
  <c r="Z34" i="60" s="1"/>
  <c r="R34" i="60"/>
  <c r="P34" i="60"/>
  <c r="H34" i="60"/>
  <c r="D34" i="60"/>
  <c r="L34" i="60" s="1"/>
  <c r="N34" i="60" s="1"/>
  <c r="B34" i="60"/>
  <c r="X33" i="60"/>
  <c r="Z33" i="60" s="1"/>
  <c r="R33" i="60"/>
  <c r="N33" i="60"/>
  <c r="L33" i="60"/>
  <c r="F33" i="60"/>
  <c r="B33" i="60"/>
  <c r="T32" i="60"/>
  <c r="R32" i="60"/>
  <c r="P32" i="60"/>
  <c r="X32" i="60" s="1"/>
  <c r="Z32" i="60" s="1"/>
  <c r="N32" i="60"/>
  <c r="J32" i="60"/>
  <c r="H32" i="60"/>
  <c r="D32" i="60"/>
  <c r="L32" i="60" s="1"/>
  <c r="B32" i="60"/>
  <c r="X31" i="60"/>
  <c r="Z31" i="60" s="1"/>
  <c r="R31" i="60"/>
  <c r="N31" i="60"/>
  <c r="L31" i="60"/>
  <c r="J31" i="60"/>
  <c r="B31" i="60"/>
  <c r="T30" i="60"/>
  <c r="R30" i="60"/>
  <c r="P30" i="60"/>
  <c r="X30" i="60" s="1"/>
  <c r="Z30" i="60" s="1"/>
  <c r="N30" i="60"/>
  <c r="L30" i="60"/>
  <c r="J30" i="60"/>
  <c r="H30" i="60"/>
  <c r="F30" i="60"/>
  <c r="D30" i="60"/>
  <c r="B30" i="60"/>
  <c r="Z29" i="60"/>
  <c r="X29" i="60"/>
  <c r="R29" i="60"/>
  <c r="L29" i="60"/>
  <c r="N29" i="60" s="1"/>
  <c r="B29" i="60"/>
  <c r="X28" i="60"/>
  <c r="Z28" i="60" s="1"/>
  <c r="V28" i="60"/>
  <c r="T28" i="60"/>
  <c r="R28" i="60"/>
  <c r="P28" i="60"/>
  <c r="L28" i="60"/>
  <c r="H28" i="60"/>
  <c r="N28" i="60" s="1"/>
  <c r="F28" i="60"/>
  <c r="D28" i="60"/>
  <c r="B28" i="60"/>
  <c r="X27" i="60"/>
  <c r="Z27" i="60" s="1"/>
  <c r="R27" i="60"/>
  <c r="L27" i="60"/>
  <c r="N27" i="60" s="1"/>
  <c r="F27" i="60"/>
  <c r="B27" i="60"/>
  <c r="X26" i="60"/>
  <c r="Z26" i="60" s="1"/>
  <c r="R26" i="60"/>
  <c r="N26" i="60"/>
  <c r="L26" i="60"/>
  <c r="J26" i="60"/>
  <c r="B26" i="60"/>
  <c r="Z25" i="60"/>
  <c r="X25" i="60"/>
  <c r="R25" i="60"/>
  <c r="L25" i="60"/>
  <c r="N25" i="60" s="1"/>
  <c r="B25" i="60"/>
  <c r="X24" i="60"/>
  <c r="Z24" i="60" s="1"/>
  <c r="V24" i="60"/>
  <c r="N24" i="60"/>
  <c r="L24" i="60"/>
  <c r="F24" i="60"/>
  <c r="B24" i="60"/>
  <c r="X23" i="60"/>
  <c r="Z23" i="60" s="1"/>
  <c r="R23" i="60"/>
  <c r="L23" i="60"/>
  <c r="N23" i="60" s="1"/>
  <c r="J23" i="60"/>
  <c r="B23" i="60"/>
  <c r="Z22" i="60"/>
  <c r="X22" i="60"/>
  <c r="L22" i="60"/>
  <c r="N22" i="60" s="1"/>
  <c r="B22" i="60"/>
  <c r="X21" i="60"/>
  <c r="Z21" i="60" s="1"/>
  <c r="R21" i="60"/>
  <c r="N21" i="60"/>
  <c r="L21" i="60"/>
  <c r="F21" i="60"/>
  <c r="B21" i="60"/>
  <c r="Z20" i="60"/>
  <c r="X20" i="60"/>
  <c r="R20" i="60"/>
  <c r="L20" i="60"/>
  <c r="N20" i="60" s="1"/>
  <c r="J20" i="60"/>
  <c r="B20" i="60"/>
  <c r="T19" i="60"/>
  <c r="R19" i="60"/>
  <c r="P19" i="60"/>
  <c r="X19" i="60" s="1"/>
  <c r="L19" i="60"/>
  <c r="H19" i="60"/>
  <c r="N19" i="60" s="1"/>
  <c r="F19" i="60"/>
  <c r="D19" i="60"/>
  <c r="B19" i="60"/>
  <c r="T18" i="60" a="1"/>
  <c r="T18" i="60" s="1"/>
  <c r="R18" i="60"/>
  <c r="P18" i="60" a="1"/>
  <c r="P18" i="60"/>
  <c r="X18" i="60" s="1"/>
  <c r="J18" i="60"/>
  <c r="H18" i="60" a="1"/>
  <c r="H18" i="60" s="1"/>
  <c r="F18" i="60"/>
  <c r="D18" i="60" a="1"/>
  <c r="D18" i="60" s="1"/>
  <c r="R16" i="60"/>
  <c r="P16" i="60"/>
  <c r="J16" i="60"/>
  <c r="F16" i="60"/>
  <c r="X14" i="60"/>
  <c r="T14" i="60"/>
  <c r="Z14" i="60" s="1"/>
  <c r="R14" i="60"/>
  <c r="P14" i="60"/>
  <c r="N14" i="60"/>
  <c r="H14" i="60"/>
  <c r="D14" i="60"/>
  <c r="L14" i="60" s="1"/>
  <c r="Z12" i="60"/>
  <c r="T12" i="60"/>
  <c r="V31" i="60" s="1"/>
  <c r="P12" i="60"/>
  <c r="R41" i="60" s="1"/>
  <c r="L12" i="60"/>
  <c r="H12" i="60"/>
  <c r="J39" i="60" s="1"/>
  <c r="D12" i="60"/>
  <c r="F40" i="60" s="1"/>
  <c r="D6" i="60"/>
  <c r="D4" i="60"/>
  <c r="V60" i="59"/>
  <c r="F60" i="59"/>
  <c r="Z58" i="59"/>
  <c r="X58" i="59"/>
  <c r="N58" i="59"/>
  <c r="L58" i="59"/>
  <c r="J58" i="59"/>
  <c r="Z54" i="59"/>
  <c r="X54" i="59"/>
  <c r="V54" i="59"/>
  <c r="T54" i="59"/>
  <c r="P54" i="59"/>
  <c r="L54" i="59"/>
  <c r="H54" i="59"/>
  <c r="N54" i="59" s="1"/>
  <c r="F54" i="59"/>
  <c r="D54" i="59"/>
  <c r="Z52" i="59"/>
  <c r="X52" i="59"/>
  <c r="N52" i="59"/>
  <c r="L52" i="59"/>
  <c r="J52" i="59"/>
  <c r="B52" i="59"/>
  <c r="T51" i="59"/>
  <c r="Z51" i="59" s="1"/>
  <c r="P51" i="59"/>
  <c r="X51" i="59" s="1"/>
  <c r="L51" i="59"/>
  <c r="H51" i="59"/>
  <c r="N51" i="59" s="1"/>
  <c r="F51" i="59"/>
  <c r="D51" i="59"/>
  <c r="B51" i="59"/>
  <c r="Z50" i="59"/>
  <c r="X50" i="59"/>
  <c r="N50" i="59"/>
  <c r="L50" i="59"/>
  <c r="F50" i="59"/>
  <c r="B50" i="59"/>
  <c r="X49" i="59"/>
  <c r="T49" i="59"/>
  <c r="Z49" i="59" s="1"/>
  <c r="P49" i="59"/>
  <c r="L49" i="59"/>
  <c r="H49" i="59"/>
  <c r="N49" i="59" s="1"/>
  <c r="D49" i="59"/>
  <c r="B49" i="59"/>
  <c r="X48" i="59"/>
  <c r="Z48" i="59" s="1"/>
  <c r="V48" i="59"/>
  <c r="N48" i="59"/>
  <c r="L48" i="59"/>
  <c r="F48" i="59"/>
  <c r="B48" i="59"/>
  <c r="X47" i="59"/>
  <c r="Z47" i="59" s="1"/>
  <c r="L47" i="59"/>
  <c r="N47" i="59" s="1"/>
  <c r="F47" i="59"/>
  <c r="B47" i="59"/>
  <c r="T46" i="59"/>
  <c r="P46" i="59"/>
  <c r="X46" i="59" s="1"/>
  <c r="Z46" i="59" s="1"/>
  <c r="L46" i="59"/>
  <c r="N46" i="59" s="1"/>
  <c r="J46" i="59"/>
  <c r="H46" i="59"/>
  <c r="F46" i="59"/>
  <c r="D46" i="59"/>
  <c r="B46" i="59"/>
  <c r="Z45" i="59"/>
  <c r="X45" i="59"/>
  <c r="R45" i="59"/>
  <c r="L45" i="59"/>
  <c r="N45" i="59" s="1"/>
  <c r="F45" i="59"/>
  <c r="B45" i="59"/>
  <c r="X44" i="59"/>
  <c r="Z44" i="59" s="1"/>
  <c r="V44" i="59"/>
  <c r="T44" i="59"/>
  <c r="P44" i="59"/>
  <c r="L44" i="59"/>
  <c r="H44" i="59"/>
  <c r="N44" i="59" s="1"/>
  <c r="F44" i="59"/>
  <c r="D44" i="59"/>
  <c r="B44" i="59"/>
  <c r="Z43" i="59"/>
  <c r="X43" i="59"/>
  <c r="N43" i="59"/>
  <c r="L43" i="59"/>
  <c r="F43" i="59"/>
  <c r="B43" i="59"/>
  <c r="X42" i="59"/>
  <c r="Z42" i="59" s="1"/>
  <c r="N42" i="59"/>
  <c r="L42" i="59"/>
  <c r="B42" i="59"/>
  <c r="Z41" i="59"/>
  <c r="X41" i="59"/>
  <c r="R41" i="59"/>
  <c r="N41" i="59"/>
  <c r="L41" i="59"/>
  <c r="F41" i="59"/>
  <c r="B41" i="59"/>
  <c r="X40" i="59"/>
  <c r="Z40" i="59" s="1"/>
  <c r="V40" i="59"/>
  <c r="N40" i="59"/>
  <c r="L40" i="59"/>
  <c r="F40" i="59"/>
  <c r="B40" i="59"/>
  <c r="X39" i="59"/>
  <c r="T39" i="59"/>
  <c r="Z39" i="59" s="1"/>
  <c r="P39" i="59"/>
  <c r="H39" i="59"/>
  <c r="D39" i="59"/>
  <c r="B39" i="59"/>
  <c r="X38" i="59"/>
  <c r="Z38" i="59" s="1"/>
  <c r="N38" i="59"/>
  <c r="L38" i="59"/>
  <c r="B38" i="59"/>
  <c r="T37" i="59"/>
  <c r="P37" i="59"/>
  <c r="X37" i="59" s="1"/>
  <c r="H37" i="59"/>
  <c r="N37" i="59" s="1"/>
  <c r="F37" i="59"/>
  <c r="D37" i="59"/>
  <c r="L37" i="59" s="1"/>
  <c r="B37" i="59"/>
  <c r="Z36" i="59"/>
  <c r="X36" i="59"/>
  <c r="N36" i="59"/>
  <c r="L36" i="59"/>
  <c r="J36" i="59"/>
  <c r="B36" i="59"/>
  <c r="V35" i="59"/>
  <c r="T35" i="59"/>
  <c r="P35" i="59"/>
  <c r="X35" i="59" s="1"/>
  <c r="L35" i="59"/>
  <c r="H35" i="59"/>
  <c r="N35" i="59" s="1"/>
  <c r="F35" i="59"/>
  <c r="D35" i="59"/>
  <c r="B35" i="59"/>
  <c r="Z34" i="59"/>
  <c r="X34" i="59"/>
  <c r="V34" i="59"/>
  <c r="L34" i="59"/>
  <c r="N34" i="59" s="1"/>
  <c r="F34" i="59"/>
  <c r="B34" i="59"/>
  <c r="X33" i="59"/>
  <c r="T33" i="59"/>
  <c r="Z33" i="59" s="1"/>
  <c r="P33" i="59"/>
  <c r="L33" i="59"/>
  <c r="H33" i="59"/>
  <c r="N33" i="59" s="1"/>
  <c r="D33" i="59"/>
  <c r="B33" i="59"/>
  <c r="Z32" i="59"/>
  <c r="X32" i="59"/>
  <c r="V32" i="59"/>
  <c r="N32" i="59"/>
  <c r="L32" i="59"/>
  <c r="F32" i="59"/>
  <c r="B32" i="59"/>
  <c r="X31" i="59"/>
  <c r="Z31" i="59" s="1"/>
  <c r="R31" i="59"/>
  <c r="N31" i="59"/>
  <c r="L31" i="59"/>
  <c r="F31" i="59"/>
  <c r="B31" i="59"/>
  <c r="Z30" i="59"/>
  <c r="X30" i="59"/>
  <c r="V30" i="59"/>
  <c r="L30" i="59"/>
  <c r="N30" i="59" s="1"/>
  <c r="F30" i="59"/>
  <c r="B30" i="59"/>
  <c r="X29" i="59"/>
  <c r="T29" i="59"/>
  <c r="Z29" i="59" s="1"/>
  <c r="P29" i="59"/>
  <c r="L29" i="59"/>
  <c r="H29" i="59"/>
  <c r="D29" i="59"/>
  <c r="B29" i="59"/>
  <c r="X28" i="59"/>
  <c r="Z28" i="59" s="1"/>
  <c r="V28" i="59"/>
  <c r="N28" i="59"/>
  <c r="L28" i="59"/>
  <c r="F28" i="59"/>
  <c r="B28" i="59"/>
  <c r="X27" i="59"/>
  <c r="Z27" i="59" s="1"/>
  <c r="R27" i="59"/>
  <c r="L27" i="59"/>
  <c r="N27" i="59" s="1"/>
  <c r="F27" i="59"/>
  <c r="B27" i="59"/>
  <c r="Z26" i="59"/>
  <c r="X26" i="59"/>
  <c r="V26" i="59"/>
  <c r="L26" i="59"/>
  <c r="N26" i="59" s="1"/>
  <c r="F26" i="59"/>
  <c r="B26" i="59"/>
  <c r="X25" i="59"/>
  <c r="Z25" i="59" s="1"/>
  <c r="N25" i="59"/>
  <c r="L25" i="59"/>
  <c r="F25" i="59"/>
  <c r="B25" i="59"/>
  <c r="Z24" i="59"/>
  <c r="X24" i="59"/>
  <c r="R24" i="59"/>
  <c r="N24" i="59"/>
  <c r="L24" i="59"/>
  <c r="J24" i="59"/>
  <c r="B24" i="59"/>
  <c r="X23" i="59"/>
  <c r="Z23" i="59" s="1"/>
  <c r="V23" i="59"/>
  <c r="L23" i="59"/>
  <c r="N23" i="59" s="1"/>
  <c r="F23" i="59"/>
  <c r="B23" i="59"/>
  <c r="X22" i="59"/>
  <c r="Z22" i="59" s="1"/>
  <c r="N22" i="59"/>
  <c r="L22" i="59"/>
  <c r="B22" i="59"/>
  <c r="Z21" i="59"/>
  <c r="X21" i="59"/>
  <c r="R21" i="59"/>
  <c r="L21" i="59"/>
  <c r="N21" i="59" s="1"/>
  <c r="F21" i="59"/>
  <c r="B21" i="59"/>
  <c r="Z20" i="59"/>
  <c r="X20" i="59"/>
  <c r="V20" i="59"/>
  <c r="N20" i="59"/>
  <c r="L20" i="59"/>
  <c r="F20" i="59"/>
  <c r="B20" i="59"/>
  <c r="X19" i="59"/>
  <c r="T19" i="59"/>
  <c r="Z19" i="59" s="1"/>
  <c r="P19" i="59"/>
  <c r="H19" i="59"/>
  <c r="D19" i="59"/>
  <c r="B19" i="59"/>
  <c r="T18" i="59" a="1"/>
  <c r="T18" i="59" s="1"/>
  <c r="P18" i="59" a="1"/>
  <c r="P18" i="59" s="1"/>
  <c r="H18" i="59" a="1"/>
  <c r="H18" i="59" s="1"/>
  <c r="D18" i="59" a="1"/>
  <c r="D18" i="59" s="1"/>
  <c r="L18" i="59" s="1"/>
  <c r="T16" i="59"/>
  <c r="Z16" i="59" s="1"/>
  <c r="R16" i="59"/>
  <c r="F16" i="59"/>
  <c r="D16" i="59"/>
  <c r="Z14" i="59"/>
  <c r="V14" i="59"/>
  <c r="T14" i="59"/>
  <c r="P14" i="59"/>
  <c r="X14" i="59" s="1"/>
  <c r="N14" i="59"/>
  <c r="L14" i="59"/>
  <c r="J14" i="59"/>
  <c r="H14" i="59"/>
  <c r="F14" i="59"/>
  <c r="D14" i="59"/>
  <c r="X12" i="59"/>
  <c r="T12" i="59"/>
  <c r="V47" i="59" s="1"/>
  <c r="P12" i="59"/>
  <c r="R48" i="59" s="1"/>
  <c r="N12" i="59"/>
  <c r="H12" i="59"/>
  <c r="J49" i="59" s="1"/>
  <c r="D12" i="59"/>
  <c r="F58" i="59" s="1"/>
  <c r="D6" i="59"/>
  <c r="D4" i="59"/>
  <c r="V76" i="58"/>
  <c r="F76" i="58"/>
  <c r="J73" i="58"/>
  <c r="Z71" i="58"/>
  <c r="X71" i="58"/>
  <c r="V71" i="58"/>
  <c r="N71" i="58"/>
  <c r="L71" i="58"/>
  <c r="V69" i="58"/>
  <c r="F69" i="58"/>
  <c r="Z67" i="58"/>
  <c r="T67" i="58"/>
  <c r="P67" i="58"/>
  <c r="X67" i="58" s="1"/>
  <c r="N67" i="58"/>
  <c r="J67" i="58"/>
  <c r="H67" i="58"/>
  <c r="D67" i="58"/>
  <c r="L67" i="58" s="1"/>
  <c r="X65" i="58"/>
  <c r="Z65" i="58" s="1"/>
  <c r="V65" i="58"/>
  <c r="N65" i="58"/>
  <c r="L65" i="58"/>
  <c r="B65" i="58"/>
  <c r="X64" i="58"/>
  <c r="T64" i="58"/>
  <c r="P64" i="58"/>
  <c r="H64" i="58"/>
  <c r="N64" i="58" s="1"/>
  <c r="D64" i="58"/>
  <c r="B64" i="58"/>
  <c r="X63" i="58"/>
  <c r="Z63" i="58" s="1"/>
  <c r="N63" i="58"/>
  <c r="L63" i="58"/>
  <c r="J63" i="58"/>
  <c r="B63" i="58"/>
  <c r="T62" i="58"/>
  <c r="P62" i="58"/>
  <c r="J62" i="58"/>
  <c r="H62" i="58"/>
  <c r="N62" i="58" s="1"/>
  <c r="D62" i="58"/>
  <c r="L62" i="58" s="1"/>
  <c r="B62" i="58"/>
  <c r="Z61" i="58"/>
  <c r="X61" i="58"/>
  <c r="L61" i="58"/>
  <c r="N61" i="58" s="1"/>
  <c r="J61" i="58"/>
  <c r="B61" i="58"/>
  <c r="T60" i="58"/>
  <c r="P60" i="58"/>
  <c r="X60" i="58" s="1"/>
  <c r="L60" i="58"/>
  <c r="H60" i="58"/>
  <c r="N60" i="58" s="1"/>
  <c r="D60" i="58"/>
  <c r="B60" i="58"/>
  <c r="Z59" i="58"/>
  <c r="X59" i="58"/>
  <c r="N59" i="58"/>
  <c r="L59" i="58"/>
  <c r="B59" i="58"/>
  <c r="X58" i="58"/>
  <c r="Z58" i="58" s="1"/>
  <c r="N58" i="58"/>
  <c r="L58" i="58"/>
  <c r="F58" i="58"/>
  <c r="B58" i="58"/>
  <c r="Z57" i="58"/>
  <c r="X57" i="58"/>
  <c r="L57" i="58"/>
  <c r="N57" i="58" s="1"/>
  <c r="J57" i="58"/>
  <c r="B57" i="58"/>
  <c r="X56" i="58"/>
  <c r="Z56" i="58" s="1"/>
  <c r="N56" i="58"/>
  <c r="L56" i="58"/>
  <c r="B56" i="58"/>
  <c r="X55" i="58"/>
  <c r="T55" i="58"/>
  <c r="Z55" i="58" s="1"/>
  <c r="P55" i="58"/>
  <c r="H55" i="58"/>
  <c r="D55" i="58"/>
  <c r="L55" i="58" s="1"/>
  <c r="N55" i="58" s="1"/>
  <c r="B55" i="58"/>
  <c r="Z54" i="58"/>
  <c r="X54" i="58"/>
  <c r="N54" i="58"/>
  <c r="L54" i="58"/>
  <c r="J54" i="58"/>
  <c r="F54" i="58"/>
  <c r="B54" i="58"/>
  <c r="Z53" i="58"/>
  <c r="X53" i="58"/>
  <c r="N53" i="58"/>
  <c r="L53" i="58"/>
  <c r="J53" i="58"/>
  <c r="B53" i="58"/>
  <c r="T52" i="58"/>
  <c r="Z52" i="58" s="1"/>
  <c r="P52" i="58"/>
  <c r="X52" i="58" s="1"/>
  <c r="L52" i="58"/>
  <c r="H52" i="58"/>
  <c r="N52" i="58" s="1"/>
  <c r="D52" i="58"/>
  <c r="B52" i="58"/>
  <c r="Z51" i="58"/>
  <c r="X51" i="58"/>
  <c r="V51" i="58"/>
  <c r="N51" i="58"/>
  <c r="L51" i="58"/>
  <c r="J51" i="58"/>
  <c r="B51" i="58"/>
  <c r="X50" i="58"/>
  <c r="Z50" i="58" s="1"/>
  <c r="N50" i="58"/>
  <c r="L50" i="58"/>
  <c r="J50" i="58"/>
  <c r="F50" i="58"/>
  <c r="B50" i="58"/>
  <c r="T49" i="58"/>
  <c r="P49" i="58"/>
  <c r="X49" i="58" s="1"/>
  <c r="Z49" i="58" s="1"/>
  <c r="N49" i="58"/>
  <c r="J49" i="58"/>
  <c r="H49" i="58"/>
  <c r="D49" i="58"/>
  <c r="L49" i="58" s="1"/>
  <c r="B49" i="58"/>
  <c r="X48" i="58"/>
  <c r="Z48" i="58" s="1"/>
  <c r="L48" i="58"/>
  <c r="N48" i="58" s="1"/>
  <c r="J48" i="58"/>
  <c r="B48" i="58"/>
  <c r="Z47" i="58"/>
  <c r="X47" i="58"/>
  <c r="V47" i="58"/>
  <c r="N47" i="58"/>
  <c r="L47" i="58"/>
  <c r="J47" i="58"/>
  <c r="B47" i="58"/>
  <c r="X46" i="58"/>
  <c r="T46" i="58"/>
  <c r="Z46" i="58" s="1"/>
  <c r="P46" i="58"/>
  <c r="L46" i="58"/>
  <c r="H46" i="58"/>
  <c r="D46" i="58"/>
  <c r="B46" i="58"/>
  <c r="X45" i="58"/>
  <c r="Z45" i="58" s="1"/>
  <c r="V45" i="58"/>
  <c r="N45" i="58"/>
  <c r="L45" i="58"/>
  <c r="J45" i="58"/>
  <c r="B45" i="58"/>
  <c r="X44" i="58"/>
  <c r="T44" i="58"/>
  <c r="Z44" i="58" s="1"/>
  <c r="P44" i="58"/>
  <c r="J44" i="58"/>
  <c r="H44" i="58"/>
  <c r="D44" i="58"/>
  <c r="L44" i="58" s="1"/>
  <c r="B44" i="58"/>
  <c r="X43" i="58"/>
  <c r="Z43" i="58" s="1"/>
  <c r="N43" i="58"/>
  <c r="L43" i="58"/>
  <c r="J43" i="58"/>
  <c r="B43" i="58"/>
  <c r="T42" i="58"/>
  <c r="P42" i="58"/>
  <c r="X42" i="58" s="1"/>
  <c r="J42" i="58"/>
  <c r="H42" i="58"/>
  <c r="N42" i="58" s="1"/>
  <c r="D42" i="58"/>
  <c r="L42" i="58" s="1"/>
  <c r="B42" i="58"/>
  <c r="Z41" i="58"/>
  <c r="X41" i="58"/>
  <c r="N41" i="58"/>
  <c r="L41" i="58"/>
  <c r="J41" i="58"/>
  <c r="B41" i="58"/>
  <c r="T40" i="58"/>
  <c r="P40" i="58"/>
  <c r="X40" i="58" s="1"/>
  <c r="L40" i="58"/>
  <c r="H40" i="58"/>
  <c r="N40" i="58" s="1"/>
  <c r="D40" i="58"/>
  <c r="B40" i="58"/>
  <c r="Z39" i="58"/>
  <c r="X39" i="58"/>
  <c r="V39" i="58"/>
  <c r="N39" i="58"/>
  <c r="L39" i="58"/>
  <c r="J39" i="58"/>
  <c r="B39" i="58"/>
  <c r="X38" i="58"/>
  <c r="T38" i="58"/>
  <c r="Z38" i="58" s="1"/>
  <c r="P38" i="58"/>
  <c r="L38" i="58"/>
  <c r="H38" i="58"/>
  <c r="N38" i="58" s="1"/>
  <c r="D38" i="58"/>
  <c r="B38" i="58"/>
  <c r="Z37" i="58"/>
  <c r="X37" i="58"/>
  <c r="V37" i="58"/>
  <c r="N37" i="58"/>
  <c r="L37" i="58"/>
  <c r="J37" i="58"/>
  <c r="B37" i="58"/>
  <c r="X36" i="58"/>
  <c r="T36" i="58"/>
  <c r="Z36" i="58" s="1"/>
  <c r="P36" i="58"/>
  <c r="J36" i="58"/>
  <c r="H36" i="58"/>
  <c r="N36" i="58" s="1"/>
  <c r="D36" i="58"/>
  <c r="B36" i="58"/>
  <c r="Z35" i="58"/>
  <c r="X35" i="58"/>
  <c r="N35" i="58"/>
  <c r="L35" i="58"/>
  <c r="J35" i="58"/>
  <c r="B35" i="58"/>
  <c r="Z34" i="58"/>
  <c r="X34" i="58"/>
  <c r="R34" i="58"/>
  <c r="L34" i="58"/>
  <c r="N34" i="58" s="1"/>
  <c r="B34" i="58"/>
  <c r="X33" i="58"/>
  <c r="Z33" i="58" s="1"/>
  <c r="V33" i="58"/>
  <c r="N33" i="58"/>
  <c r="L33" i="58"/>
  <c r="J33" i="58"/>
  <c r="B33" i="58"/>
  <c r="Z32" i="58"/>
  <c r="X32" i="58"/>
  <c r="N32" i="58"/>
  <c r="L32" i="58"/>
  <c r="J32" i="58"/>
  <c r="B32" i="58"/>
  <c r="Z31" i="58"/>
  <c r="X31" i="58"/>
  <c r="V31" i="58"/>
  <c r="L31" i="58"/>
  <c r="N31" i="58" s="1"/>
  <c r="J31" i="58"/>
  <c r="B31" i="58"/>
  <c r="X30" i="58"/>
  <c r="T30" i="58"/>
  <c r="Z30" i="58" s="1"/>
  <c r="P30" i="58"/>
  <c r="L30" i="58"/>
  <c r="H30" i="58"/>
  <c r="N30" i="58" s="1"/>
  <c r="D30" i="58"/>
  <c r="B30" i="58"/>
  <c r="X29" i="58"/>
  <c r="Z29" i="58" s="1"/>
  <c r="V29" i="58"/>
  <c r="N29" i="58"/>
  <c r="L29" i="58"/>
  <c r="J29" i="58"/>
  <c r="F29" i="58"/>
  <c r="B29" i="58"/>
  <c r="X28" i="58"/>
  <c r="Z28" i="58" s="1"/>
  <c r="L28" i="58"/>
  <c r="N28" i="58" s="1"/>
  <c r="J28" i="58"/>
  <c r="B28" i="58"/>
  <c r="Z27" i="58"/>
  <c r="X27" i="58"/>
  <c r="V27" i="58"/>
  <c r="L27" i="58"/>
  <c r="N27" i="58" s="1"/>
  <c r="J27" i="58"/>
  <c r="B27" i="58"/>
  <c r="X26" i="58"/>
  <c r="Z26" i="58" s="1"/>
  <c r="N26" i="58"/>
  <c r="L26" i="58"/>
  <c r="J26" i="58"/>
  <c r="F26" i="58"/>
  <c r="B26" i="58"/>
  <c r="Z25" i="58"/>
  <c r="X25" i="58"/>
  <c r="N25" i="58"/>
  <c r="L25" i="58"/>
  <c r="J25" i="58"/>
  <c r="B25" i="58"/>
  <c r="X24" i="58"/>
  <c r="Z24" i="58" s="1"/>
  <c r="V24" i="58"/>
  <c r="L24" i="58"/>
  <c r="N24" i="58" s="1"/>
  <c r="F24" i="58"/>
  <c r="B24" i="58"/>
  <c r="X23" i="58"/>
  <c r="Z23" i="58" s="1"/>
  <c r="N23" i="58"/>
  <c r="L23" i="58"/>
  <c r="J23" i="58"/>
  <c r="B23" i="58"/>
  <c r="Z22" i="58"/>
  <c r="X22" i="58"/>
  <c r="L22" i="58"/>
  <c r="N22" i="58" s="1"/>
  <c r="B22" i="58"/>
  <c r="Z21" i="58"/>
  <c r="X21" i="58"/>
  <c r="V21" i="58"/>
  <c r="N21" i="58"/>
  <c r="L21" i="58"/>
  <c r="J21" i="58"/>
  <c r="F21" i="58"/>
  <c r="B21" i="58"/>
  <c r="X20" i="58"/>
  <c r="Z20" i="58" s="1"/>
  <c r="L20" i="58"/>
  <c r="N20" i="58" s="1"/>
  <c r="J20" i="58"/>
  <c r="B20" i="58"/>
  <c r="Z19" i="58"/>
  <c r="V19" i="58"/>
  <c r="T19" i="58"/>
  <c r="P19" i="58"/>
  <c r="X19" i="58" s="1"/>
  <c r="N19" i="58"/>
  <c r="L19" i="58"/>
  <c r="J19" i="58"/>
  <c r="H19" i="58"/>
  <c r="F19" i="58"/>
  <c r="D19" i="58"/>
  <c r="B19" i="58"/>
  <c r="T18" i="58" a="1"/>
  <c r="T18" i="58" s="1"/>
  <c r="P18" i="58" a="1"/>
  <c r="P18" i="58" s="1"/>
  <c r="J18" i="58"/>
  <c r="H18" i="58" a="1"/>
  <c r="H18" i="58" s="1"/>
  <c r="F18" i="58"/>
  <c r="D18" i="58" a="1"/>
  <c r="D18" i="58"/>
  <c r="T16" i="58"/>
  <c r="J16" i="58"/>
  <c r="D16" i="58"/>
  <c r="X14" i="58"/>
  <c r="T14" i="58"/>
  <c r="Z14" i="58" s="1"/>
  <c r="P14" i="58"/>
  <c r="L14" i="58"/>
  <c r="H14" i="58"/>
  <c r="H16" i="58" s="1"/>
  <c r="D14" i="58"/>
  <c r="Z12" i="58"/>
  <c r="T12" i="58"/>
  <c r="V64" i="58" s="1"/>
  <c r="P12" i="58"/>
  <c r="L12" i="58"/>
  <c r="H12" i="58"/>
  <c r="J56" i="58" s="1"/>
  <c r="D12" i="58"/>
  <c r="F64" i="58" s="1"/>
  <c r="D6" i="58"/>
  <c r="D4" i="58"/>
  <c r="Z64" i="57"/>
  <c r="X64" i="57"/>
  <c r="N64" i="57"/>
  <c r="L64" i="57"/>
  <c r="T60" i="57"/>
  <c r="Z60" i="57" s="1"/>
  <c r="P60" i="57"/>
  <c r="X60" i="57" s="1"/>
  <c r="L60" i="57"/>
  <c r="H60" i="57"/>
  <c r="N60" i="57" s="1"/>
  <c r="D60" i="57"/>
  <c r="X58" i="57"/>
  <c r="Z58" i="57" s="1"/>
  <c r="L58" i="57"/>
  <c r="N58" i="57" s="1"/>
  <c r="B58" i="57"/>
  <c r="Z57" i="57"/>
  <c r="V57" i="57"/>
  <c r="T57" i="57"/>
  <c r="P57" i="57"/>
  <c r="X57" i="57" s="1"/>
  <c r="N57" i="57"/>
  <c r="L57" i="57"/>
  <c r="J57" i="57"/>
  <c r="H57" i="57"/>
  <c r="F57" i="57"/>
  <c r="D57" i="57"/>
  <c r="B57" i="57"/>
  <c r="Z56" i="57"/>
  <c r="X56" i="57"/>
  <c r="N56" i="57"/>
  <c r="L56" i="57"/>
  <c r="B56" i="57"/>
  <c r="Z55" i="57"/>
  <c r="X55" i="57"/>
  <c r="T55" i="57"/>
  <c r="P55" i="57"/>
  <c r="L55" i="57"/>
  <c r="H55" i="57"/>
  <c r="N55" i="57" s="1"/>
  <c r="F55" i="57"/>
  <c r="D55" i="57"/>
  <c r="B55" i="57"/>
  <c r="X54" i="57"/>
  <c r="Z54" i="57" s="1"/>
  <c r="L54" i="57"/>
  <c r="N54" i="57" s="1"/>
  <c r="F54" i="57"/>
  <c r="B54" i="57"/>
  <c r="X53" i="57"/>
  <c r="T53" i="57"/>
  <c r="Z53" i="57" s="1"/>
  <c r="P53" i="57"/>
  <c r="H53" i="57"/>
  <c r="D53" i="57"/>
  <c r="L53" i="57" s="1"/>
  <c r="N53" i="57" s="1"/>
  <c r="B53" i="57"/>
  <c r="X52" i="57"/>
  <c r="Z52" i="57" s="1"/>
  <c r="N52" i="57"/>
  <c r="L52" i="57"/>
  <c r="B52" i="57"/>
  <c r="Z51" i="57"/>
  <c r="X51" i="57"/>
  <c r="N51" i="57"/>
  <c r="L51" i="57"/>
  <c r="J51" i="57"/>
  <c r="B51" i="57"/>
  <c r="Z50" i="57"/>
  <c r="X50" i="57"/>
  <c r="N50" i="57"/>
  <c r="L50" i="57"/>
  <c r="F50" i="57"/>
  <c r="B50" i="57"/>
  <c r="X49" i="57"/>
  <c r="T49" i="57"/>
  <c r="Z49" i="57" s="1"/>
  <c r="P49" i="57"/>
  <c r="H49" i="57"/>
  <c r="D49" i="57"/>
  <c r="L49" i="57" s="1"/>
  <c r="N49" i="57" s="1"/>
  <c r="B49" i="57"/>
  <c r="X48" i="57"/>
  <c r="Z48" i="57" s="1"/>
  <c r="N48" i="57"/>
  <c r="L48" i="57"/>
  <c r="J48" i="57"/>
  <c r="F48" i="57"/>
  <c r="B48" i="57"/>
  <c r="T47" i="57"/>
  <c r="P47" i="57"/>
  <c r="X47" i="57" s="1"/>
  <c r="Z47" i="57" s="1"/>
  <c r="N47" i="57"/>
  <c r="J47" i="57"/>
  <c r="H47" i="57"/>
  <c r="D47" i="57"/>
  <c r="L47" i="57" s="1"/>
  <c r="B47" i="57"/>
  <c r="X46" i="57"/>
  <c r="Z46" i="57" s="1"/>
  <c r="L46" i="57"/>
  <c r="N46" i="57" s="1"/>
  <c r="J46" i="57"/>
  <c r="B46" i="57"/>
  <c r="Z45" i="57"/>
  <c r="X45" i="57"/>
  <c r="L45" i="57"/>
  <c r="N45" i="57" s="1"/>
  <c r="J45" i="57"/>
  <c r="B45" i="57"/>
  <c r="X44" i="57"/>
  <c r="Z44" i="57" s="1"/>
  <c r="N44" i="57"/>
  <c r="L44" i="57"/>
  <c r="J44" i="57"/>
  <c r="F44" i="57"/>
  <c r="B44" i="57"/>
  <c r="T43" i="57"/>
  <c r="P43" i="57"/>
  <c r="X43" i="57" s="1"/>
  <c r="Z43" i="57" s="1"/>
  <c r="J43" i="57"/>
  <c r="H43" i="57"/>
  <c r="D43" i="57"/>
  <c r="L43" i="57" s="1"/>
  <c r="N43" i="57" s="1"/>
  <c r="B43" i="57"/>
  <c r="X42" i="57"/>
  <c r="Z42" i="57" s="1"/>
  <c r="R42" i="57"/>
  <c r="L42" i="57"/>
  <c r="N42" i="57" s="1"/>
  <c r="J42" i="57"/>
  <c r="B42" i="57"/>
  <c r="T41" i="57"/>
  <c r="P41" i="57"/>
  <c r="X41" i="57" s="1"/>
  <c r="Z41" i="57" s="1"/>
  <c r="N41" i="57"/>
  <c r="L41" i="57"/>
  <c r="J41" i="57"/>
  <c r="H41" i="57"/>
  <c r="F41" i="57"/>
  <c r="D41" i="57"/>
  <c r="B41" i="57"/>
  <c r="Z40" i="57"/>
  <c r="X40" i="57"/>
  <c r="L40" i="57"/>
  <c r="N40" i="57" s="1"/>
  <c r="B40" i="57"/>
  <c r="Z39" i="57"/>
  <c r="X39" i="57"/>
  <c r="N39" i="57"/>
  <c r="L39" i="57"/>
  <c r="J39" i="57"/>
  <c r="B39" i="57"/>
  <c r="T38" i="57"/>
  <c r="P38" i="57"/>
  <c r="J38" i="57"/>
  <c r="H38" i="57"/>
  <c r="D38" i="57"/>
  <c r="L38" i="57" s="1"/>
  <c r="B38" i="57"/>
  <c r="X37" i="57"/>
  <c r="Z37" i="57" s="1"/>
  <c r="N37" i="57"/>
  <c r="L37" i="57"/>
  <c r="J37" i="57"/>
  <c r="B37" i="57"/>
  <c r="T36" i="57"/>
  <c r="P36" i="57"/>
  <c r="X36" i="57" s="1"/>
  <c r="J36" i="57"/>
  <c r="H36" i="57"/>
  <c r="N36" i="57" s="1"/>
  <c r="D36" i="57"/>
  <c r="L36" i="57" s="1"/>
  <c r="B36" i="57"/>
  <c r="Z35" i="57"/>
  <c r="X35" i="57"/>
  <c r="N35" i="57"/>
  <c r="L35" i="57"/>
  <c r="J35" i="57"/>
  <c r="B35" i="57"/>
  <c r="T34" i="57"/>
  <c r="Z34" i="57" s="1"/>
  <c r="P34" i="57"/>
  <c r="X34" i="57" s="1"/>
  <c r="L34" i="57"/>
  <c r="H34" i="57"/>
  <c r="N34" i="57" s="1"/>
  <c r="D34" i="57"/>
  <c r="B34" i="57"/>
  <c r="Z33" i="57"/>
  <c r="X33" i="57"/>
  <c r="L33" i="57"/>
  <c r="N33" i="57" s="1"/>
  <c r="J33" i="57"/>
  <c r="B33" i="57"/>
  <c r="X32" i="57"/>
  <c r="T32" i="57"/>
  <c r="Z32" i="57" s="1"/>
  <c r="P32" i="57"/>
  <c r="L32" i="57"/>
  <c r="H32" i="57"/>
  <c r="D32" i="57"/>
  <c r="B32" i="57"/>
  <c r="Z31" i="57"/>
  <c r="X31" i="57"/>
  <c r="V31" i="57"/>
  <c r="N31" i="57"/>
  <c r="L31" i="57"/>
  <c r="J31" i="57"/>
  <c r="B31" i="57"/>
  <c r="X30" i="57"/>
  <c r="Z30" i="57" s="1"/>
  <c r="N30" i="57"/>
  <c r="L30" i="57"/>
  <c r="J30" i="57"/>
  <c r="B30" i="57"/>
  <c r="Z29" i="57"/>
  <c r="X29" i="57"/>
  <c r="L29" i="57"/>
  <c r="N29" i="57" s="1"/>
  <c r="J29" i="57"/>
  <c r="B29" i="57"/>
  <c r="X28" i="57"/>
  <c r="T28" i="57"/>
  <c r="P28" i="57"/>
  <c r="H28" i="57"/>
  <c r="D28" i="57"/>
  <c r="B28" i="57"/>
  <c r="Z27" i="57"/>
  <c r="X27" i="57"/>
  <c r="N27" i="57"/>
  <c r="L27" i="57"/>
  <c r="J27" i="57"/>
  <c r="F27" i="57"/>
  <c r="B27" i="57"/>
  <c r="X26" i="57"/>
  <c r="Z26" i="57" s="1"/>
  <c r="L26" i="57"/>
  <c r="N26" i="57" s="1"/>
  <c r="J26" i="57"/>
  <c r="F26" i="57"/>
  <c r="B26" i="57"/>
  <c r="Z25" i="57"/>
  <c r="X25" i="57"/>
  <c r="L25" i="57"/>
  <c r="N25" i="57" s="1"/>
  <c r="J25" i="57"/>
  <c r="B25" i="57"/>
  <c r="X24" i="57"/>
  <c r="Z24" i="57" s="1"/>
  <c r="N24" i="57"/>
  <c r="L24" i="57"/>
  <c r="J24" i="57"/>
  <c r="F24" i="57"/>
  <c r="B24" i="57"/>
  <c r="Z23" i="57"/>
  <c r="X23" i="57"/>
  <c r="N23" i="57"/>
  <c r="L23" i="57"/>
  <c r="J23" i="57"/>
  <c r="B23" i="57"/>
  <c r="X22" i="57"/>
  <c r="Z22" i="57" s="1"/>
  <c r="L22" i="57"/>
  <c r="N22" i="57" s="1"/>
  <c r="F22" i="57"/>
  <c r="B22" i="57"/>
  <c r="X21" i="57"/>
  <c r="Z21" i="57" s="1"/>
  <c r="N21" i="57"/>
  <c r="L21" i="57"/>
  <c r="J21" i="57"/>
  <c r="B21" i="57"/>
  <c r="Z20" i="57"/>
  <c r="X20" i="57"/>
  <c r="R20" i="57"/>
  <c r="L20" i="57"/>
  <c r="N20" i="57" s="1"/>
  <c r="B20" i="57"/>
  <c r="Z19" i="57"/>
  <c r="X19" i="57"/>
  <c r="T19" i="57"/>
  <c r="P19" i="57"/>
  <c r="L19" i="57"/>
  <c r="J19" i="57"/>
  <c r="H19" i="57"/>
  <c r="F19" i="57"/>
  <c r="D19" i="57"/>
  <c r="B19" i="57"/>
  <c r="T18" i="57" a="1"/>
  <c r="T18" i="57" s="1"/>
  <c r="P18" i="57" a="1"/>
  <c r="P18" i="57"/>
  <c r="J18" i="57"/>
  <c r="H18" i="57" a="1"/>
  <c r="H18" i="57" s="1"/>
  <c r="F18" i="57"/>
  <c r="D18" i="57" a="1"/>
  <c r="D18" i="57" s="1"/>
  <c r="H16" i="57"/>
  <c r="F16" i="57"/>
  <c r="T14" i="57"/>
  <c r="Z14" i="57" s="1"/>
  <c r="P14" i="57"/>
  <c r="X14" i="57" s="1"/>
  <c r="N14" i="57"/>
  <c r="L14" i="57"/>
  <c r="J14" i="57"/>
  <c r="H14" i="57"/>
  <c r="D14" i="57"/>
  <c r="T12" i="57"/>
  <c r="V39" i="57" s="1"/>
  <c r="P12" i="57"/>
  <c r="R46" i="57" s="1"/>
  <c r="N12" i="57"/>
  <c r="L12" i="57"/>
  <c r="H12" i="57"/>
  <c r="J54" i="57" s="1"/>
  <c r="D12" i="57"/>
  <c r="D6" i="57"/>
  <c r="D4" i="57"/>
  <c r="Z69" i="56"/>
  <c r="X69" i="56"/>
  <c r="N69" i="56"/>
  <c r="L69" i="56"/>
  <c r="V67" i="56"/>
  <c r="X65" i="56"/>
  <c r="T65" i="56"/>
  <c r="Z65" i="56" s="1"/>
  <c r="P65" i="56"/>
  <c r="H65" i="56"/>
  <c r="N65" i="56" s="1"/>
  <c r="D65" i="56"/>
  <c r="Z63" i="56"/>
  <c r="X63" i="56"/>
  <c r="L63" i="56"/>
  <c r="N63" i="56" s="1"/>
  <c r="B63" i="56"/>
  <c r="X62" i="56"/>
  <c r="Z62" i="56" s="1"/>
  <c r="T62" i="56"/>
  <c r="P62" i="56"/>
  <c r="H62" i="56"/>
  <c r="D62" i="56"/>
  <c r="B62" i="56"/>
  <c r="X61" i="56"/>
  <c r="Z61" i="56" s="1"/>
  <c r="L61" i="56"/>
  <c r="N61" i="56" s="1"/>
  <c r="B61" i="56"/>
  <c r="T60" i="56"/>
  <c r="P60" i="56"/>
  <c r="H60" i="56"/>
  <c r="D60" i="56"/>
  <c r="L60" i="56" s="1"/>
  <c r="N60" i="56" s="1"/>
  <c r="B60" i="56"/>
  <c r="X59" i="56"/>
  <c r="Z59" i="56" s="1"/>
  <c r="R59" i="56"/>
  <c r="N59" i="56"/>
  <c r="L59" i="56"/>
  <c r="B59" i="56"/>
  <c r="Z58" i="56"/>
  <c r="X58" i="56"/>
  <c r="V58" i="56"/>
  <c r="N58" i="56"/>
  <c r="L58" i="56"/>
  <c r="B58" i="56"/>
  <c r="T57" i="56"/>
  <c r="P57" i="56"/>
  <c r="H57" i="56"/>
  <c r="N57" i="56" s="1"/>
  <c r="D57" i="56"/>
  <c r="L57" i="56" s="1"/>
  <c r="B57" i="56"/>
  <c r="Z56" i="56"/>
  <c r="X56" i="56"/>
  <c r="L56" i="56"/>
  <c r="N56" i="56" s="1"/>
  <c r="B56" i="56"/>
  <c r="X55" i="56"/>
  <c r="T55" i="56"/>
  <c r="P55" i="56"/>
  <c r="H55" i="56"/>
  <c r="D55" i="56"/>
  <c r="B55" i="56"/>
  <c r="Z54" i="56"/>
  <c r="X54" i="56"/>
  <c r="N54" i="56"/>
  <c r="L54" i="56"/>
  <c r="B54" i="56"/>
  <c r="Z53" i="56"/>
  <c r="X53" i="56"/>
  <c r="L53" i="56"/>
  <c r="N53" i="56" s="1"/>
  <c r="B53" i="56"/>
  <c r="Z52" i="56"/>
  <c r="X52" i="56"/>
  <c r="N52" i="56"/>
  <c r="L52" i="56"/>
  <c r="B52" i="56"/>
  <c r="X51" i="56"/>
  <c r="T51" i="56"/>
  <c r="P51" i="56"/>
  <c r="H51" i="56"/>
  <c r="D51" i="56"/>
  <c r="B51" i="56"/>
  <c r="Z50" i="56"/>
  <c r="X50" i="56"/>
  <c r="N50" i="56"/>
  <c r="L50" i="56"/>
  <c r="B50" i="56"/>
  <c r="Z49" i="56"/>
  <c r="X49" i="56"/>
  <c r="N49" i="56"/>
  <c r="L49" i="56"/>
  <c r="B49" i="56"/>
  <c r="Z48" i="56"/>
  <c r="X48" i="56"/>
  <c r="N48" i="56"/>
  <c r="L48" i="56"/>
  <c r="B48" i="56"/>
  <c r="X47" i="56"/>
  <c r="T47" i="56"/>
  <c r="P47" i="56"/>
  <c r="N47" i="56"/>
  <c r="H47" i="56"/>
  <c r="D47" i="56"/>
  <c r="L47" i="56" s="1"/>
  <c r="B47" i="56"/>
  <c r="Z46" i="56"/>
  <c r="X46" i="56"/>
  <c r="N46" i="56"/>
  <c r="L46" i="56"/>
  <c r="F46" i="56"/>
  <c r="B46" i="56"/>
  <c r="T45" i="56"/>
  <c r="P45" i="56"/>
  <c r="X45" i="56" s="1"/>
  <c r="J45" i="56"/>
  <c r="H45" i="56"/>
  <c r="L45" i="56" s="1"/>
  <c r="N45" i="56" s="1"/>
  <c r="D45" i="56"/>
  <c r="B45" i="56"/>
  <c r="X44" i="56"/>
  <c r="Z44" i="56" s="1"/>
  <c r="N44" i="56"/>
  <c r="L44" i="56"/>
  <c r="B44" i="56"/>
  <c r="T43" i="56"/>
  <c r="Z43" i="56" s="1"/>
  <c r="P43" i="56"/>
  <c r="X43" i="56" s="1"/>
  <c r="L43" i="56"/>
  <c r="H43" i="56"/>
  <c r="N43" i="56" s="1"/>
  <c r="D43" i="56"/>
  <c r="B43" i="56"/>
  <c r="Z42" i="56"/>
  <c r="X42" i="56"/>
  <c r="L42" i="56"/>
  <c r="N42" i="56" s="1"/>
  <c r="B42" i="56"/>
  <c r="T41" i="56"/>
  <c r="X41" i="56" s="1"/>
  <c r="P41" i="56"/>
  <c r="H41" i="56"/>
  <c r="D41" i="56"/>
  <c r="L41" i="56" s="1"/>
  <c r="B41" i="56"/>
  <c r="Z40" i="56"/>
  <c r="X40" i="56"/>
  <c r="N40" i="56"/>
  <c r="L40" i="56"/>
  <c r="B40" i="56"/>
  <c r="X39" i="56"/>
  <c r="T39" i="56"/>
  <c r="Z39" i="56" s="1"/>
  <c r="P39" i="56"/>
  <c r="N39" i="56"/>
  <c r="H39" i="56"/>
  <c r="D39" i="56"/>
  <c r="L39" i="56" s="1"/>
  <c r="B39" i="56"/>
  <c r="Z38" i="56"/>
  <c r="X38" i="56"/>
  <c r="N38" i="56"/>
  <c r="L38" i="56"/>
  <c r="F38" i="56"/>
  <c r="B38" i="56"/>
  <c r="T37" i="56"/>
  <c r="P37" i="56"/>
  <c r="X37" i="56" s="1"/>
  <c r="J37" i="56"/>
  <c r="H37" i="56"/>
  <c r="L37" i="56" s="1"/>
  <c r="N37" i="56" s="1"/>
  <c r="D37" i="56"/>
  <c r="B37" i="56"/>
  <c r="X36" i="56"/>
  <c r="Z36" i="56" s="1"/>
  <c r="N36" i="56"/>
  <c r="L36" i="56"/>
  <c r="B36" i="56"/>
  <c r="T35" i="56"/>
  <c r="Z35" i="56" s="1"/>
  <c r="P35" i="56"/>
  <c r="X35" i="56" s="1"/>
  <c r="L35" i="56"/>
  <c r="H35" i="56"/>
  <c r="D35" i="56"/>
  <c r="B35" i="56"/>
  <c r="Z34" i="56"/>
  <c r="X34" i="56"/>
  <c r="L34" i="56"/>
  <c r="N34" i="56" s="1"/>
  <c r="F34" i="56"/>
  <c r="B34" i="56"/>
  <c r="X33" i="56"/>
  <c r="T33" i="56"/>
  <c r="P33" i="56"/>
  <c r="L33" i="56"/>
  <c r="N33" i="56" s="1"/>
  <c r="H33" i="56"/>
  <c r="F33" i="56"/>
  <c r="D33" i="56"/>
  <c r="B33" i="56"/>
  <c r="X32" i="56"/>
  <c r="Z32" i="56" s="1"/>
  <c r="N32" i="56"/>
  <c r="L32" i="56"/>
  <c r="J32" i="56"/>
  <c r="B32" i="56"/>
  <c r="Z31" i="56"/>
  <c r="X31" i="56"/>
  <c r="N31" i="56"/>
  <c r="L31" i="56"/>
  <c r="J31" i="56"/>
  <c r="B31" i="56"/>
  <c r="Z30" i="56"/>
  <c r="X30" i="56"/>
  <c r="L30" i="56"/>
  <c r="N30" i="56" s="1"/>
  <c r="B30" i="56"/>
  <c r="X29" i="56"/>
  <c r="Z29" i="56" s="1"/>
  <c r="L29" i="56"/>
  <c r="N29" i="56" s="1"/>
  <c r="B29" i="56"/>
  <c r="T28" i="56"/>
  <c r="R28" i="56"/>
  <c r="P28" i="56"/>
  <c r="X28" i="56" s="1"/>
  <c r="H28" i="56"/>
  <c r="N28" i="56" s="1"/>
  <c r="F28" i="56"/>
  <c r="D28" i="56"/>
  <c r="L28" i="56" s="1"/>
  <c r="B28" i="56"/>
  <c r="Z27" i="56"/>
  <c r="X27" i="56"/>
  <c r="L27" i="56"/>
  <c r="N27" i="56" s="1"/>
  <c r="F27" i="56"/>
  <c r="B27" i="56"/>
  <c r="Z26" i="56"/>
  <c r="X26" i="56"/>
  <c r="N26" i="56"/>
  <c r="L26" i="56"/>
  <c r="J26" i="56"/>
  <c r="B26" i="56"/>
  <c r="X25" i="56"/>
  <c r="Z25" i="56" s="1"/>
  <c r="L25" i="56"/>
  <c r="N25" i="56" s="1"/>
  <c r="B25" i="56"/>
  <c r="X24" i="56"/>
  <c r="Z24" i="56" s="1"/>
  <c r="N24" i="56"/>
  <c r="L24" i="56"/>
  <c r="B24" i="56"/>
  <c r="X23" i="56"/>
  <c r="Z23" i="56" s="1"/>
  <c r="R23" i="56"/>
  <c r="N23" i="56"/>
  <c r="L23" i="56"/>
  <c r="B23" i="56"/>
  <c r="Z22" i="56"/>
  <c r="X22" i="56"/>
  <c r="N22" i="56"/>
  <c r="L22" i="56"/>
  <c r="B22" i="56"/>
  <c r="X21" i="56"/>
  <c r="Z21" i="56" s="1"/>
  <c r="L21" i="56"/>
  <c r="N21" i="56" s="1"/>
  <c r="F21" i="56"/>
  <c r="B21" i="56"/>
  <c r="Z20" i="56"/>
  <c r="X20" i="56"/>
  <c r="L20" i="56"/>
  <c r="N20" i="56" s="1"/>
  <c r="J20" i="56"/>
  <c r="B20" i="56"/>
  <c r="T19" i="56"/>
  <c r="P19" i="56"/>
  <c r="X19" i="56" s="1"/>
  <c r="Z19" i="56" s="1"/>
  <c r="L19" i="56"/>
  <c r="N19" i="56" s="1"/>
  <c r="H19" i="56"/>
  <c r="D19" i="56"/>
  <c r="B19" i="56"/>
  <c r="V18" i="56"/>
  <c r="T18" i="56" a="1"/>
  <c r="T18" i="56" s="1"/>
  <c r="P18" i="56" a="1"/>
  <c r="P18" i="56" s="1"/>
  <c r="J18" i="56"/>
  <c r="H18" i="56" a="1"/>
  <c r="H18" i="56" s="1"/>
  <c r="D18" i="56" a="1"/>
  <c r="D18" i="56" s="1"/>
  <c r="J16" i="56"/>
  <c r="F16" i="56"/>
  <c r="D16" i="56"/>
  <c r="T14" i="56"/>
  <c r="Z14" i="56" s="1"/>
  <c r="P14" i="56"/>
  <c r="X14" i="56" s="1"/>
  <c r="N14" i="56"/>
  <c r="L14" i="56"/>
  <c r="H14" i="56"/>
  <c r="F14" i="56"/>
  <c r="D14" i="56"/>
  <c r="T12" i="56"/>
  <c r="V22" i="56" s="1"/>
  <c r="P12" i="56"/>
  <c r="R69" i="56" s="1"/>
  <c r="H12" i="56"/>
  <c r="J56" i="56" s="1"/>
  <c r="D12" i="56"/>
  <c r="F67" i="56" s="1"/>
  <c r="D6" i="56"/>
  <c r="D4" i="56"/>
  <c r="R37" i="55"/>
  <c r="J37" i="55"/>
  <c r="V34" i="55"/>
  <c r="R34" i="55"/>
  <c r="F34" i="55"/>
  <c r="Z32" i="55"/>
  <c r="X32" i="55"/>
  <c r="N32" i="55"/>
  <c r="L32" i="55"/>
  <c r="R30" i="55"/>
  <c r="J30" i="55"/>
  <c r="Z28" i="55"/>
  <c r="V28" i="55"/>
  <c r="T28" i="55"/>
  <c r="R28" i="55"/>
  <c r="P28" i="55"/>
  <c r="X28" i="55" s="1"/>
  <c r="H28" i="55"/>
  <c r="N28" i="55" s="1"/>
  <c r="F28" i="55"/>
  <c r="D28" i="55"/>
  <c r="L28" i="55" s="1"/>
  <c r="Z26" i="55"/>
  <c r="X26" i="55"/>
  <c r="N26" i="55"/>
  <c r="L26" i="55"/>
  <c r="B26" i="55"/>
  <c r="T25" i="55"/>
  <c r="R25" i="55"/>
  <c r="P25" i="55"/>
  <c r="X25" i="55" s="1"/>
  <c r="Z25" i="55" s="1"/>
  <c r="L25" i="55"/>
  <c r="N25" i="55" s="1"/>
  <c r="H25" i="55"/>
  <c r="D25" i="55"/>
  <c r="B25" i="55"/>
  <c r="Z24" i="55"/>
  <c r="X24" i="55"/>
  <c r="V24" i="55"/>
  <c r="R24" i="55"/>
  <c r="L24" i="55"/>
  <c r="N24" i="55" s="1"/>
  <c r="B24" i="55"/>
  <c r="X23" i="55"/>
  <c r="Z23" i="55" s="1"/>
  <c r="V23" i="55"/>
  <c r="T23" i="55"/>
  <c r="P23" i="55"/>
  <c r="H23" i="55"/>
  <c r="F23" i="55"/>
  <c r="D23" i="55"/>
  <c r="B23" i="55"/>
  <c r="Z22" i="55"/>
  <c r="X22" i="55"/>
  <c r="V22" i="55"/>
  <c r="R22" i="55"/>
  <c r="N22" i="55"/>
  <c r="L22" i="55"/>
  <c r="B22" i="55"/>
  <c r="V21" i="55"/>
  <c r="T21" i="55"/>
  <c r="R21" i="55"/>
  <c r="P21" i="55"/>
  <c r="H21" i="55"/>
  <c r="N21" i="55" s="1"/>
  <c r="D21" i="55"/>
  <c r="L21" i="55" s="1"/>
  <c r="B21" i="55"/>
  <c r="Z20" i="55"/>
  <c r="X20" i="55"/>
  <c r="V20" i="55"/>
  <c r="R20" i="55"/>
  <c r="N20" i="55"/>
  <c r="L20" i="55"/>
  <c r="J20" i="55"/>
  <c r="F20" i="55"/>
  <c r="B20" i="55"/>
  <c r="V19" i="55"/>
  <c r="T19" i="55"/>
  <c r="R19" i="55"/>
  <c r="P19" i="55"/>
  <c r="X19" i="55" s="1"/>
  <c r="H19" i="55"/>
  <c r="D19" i="55"/>
  <c r="L19" i="55" s="1"/>
  <c r="N19" i="55" s="1"/>
  <c r="B19" i="55"/>
  <c r="Z18" i="55"/>
  <c r="T18" i="55" a="1"/>
  <c r="T18" i="55" s="1"/>
  <c r="R18" i="55"/>
  <c r="P18" i="55" a="1"/>
  <c r="P18" i="55" s="1"/>
  <c r="X18" i="55" s="1"/>
  <c r="H18" i="55" a="1"/>
  <c r="H18" i="55"/>
  <c r="D18" i="55" a="1"/>
  <c r="D18" i="55" s="1"/>
  <c r="R16" i="55"/>
  <c r="J16" i="55"/>
  <c r="H16" i="55"/>
  <c r="Z14" i="55"/>
  <c r="V14" i="55"/>
  <c r="T14" i="55"/>
  <c r="T16" i="55" s="1"/>
  <c r="R14" i="55"/>
  <c r="P14" i="55"/>
  <c r="P16" i="55" s="1"/>
  <c r="H14" i="55"/>
  <c r="N14" i="55" s="1"/>
  <c r="F14" i="55"/>
  <c r="D14" i="55"/>
  <c r="L14" i="55" s="1"/>
  <c r="Z12" i="55"/>
  <c r="X12" i="55"/>
  <c r="T12" i="55"/>
  <c r="V37" i="55" s="1"/>
  <c r="P12" i="55"/>
  <c r="R32" i="55" s="1"/>
  <c r="H12" i="55"/>
  <c r="J25" i="55" s="1"/>
  <c r="D12" i="55"/>
  <c r="F37" i="55" s="1"/>
  <c r="D6" i="55"/>
  <c r="D4" i="55"/>
  <c r="T29" i="54"/>
  <c r="P29" i="54"/>
  <c r="J29" i="54"/>
  <c r="H29" i="54"/>
  <c r="F29" i="54"/>
  <c r="D29" i="54"/>
  <c r="L29" i="54" s="1"/>
  <c r="N29" i="54" s="1"/>
  <c r="T28" i="54"/>
  <c r="Z28" i="54" s="1"/>
  <c r="P28" i="54"/>
  <c r="X28" i="54" s="1"/>
  <c r="N28" i="54"/>
  <c r="L28" i="54"/>
  <c r="H28" i="54"/>
  <c r="D28" i="54"/>
  <c r="J26" i="54"/>
  <c r="F26" i="54"/>
  <c r="Z24" i="54"/>
  <c r="X24" i="54"/>
  <c r="N24" i="54"/>
  <c r="L24" i="54"/>
  <c r="J24" i="54"/>
  <c r="F24" i="54"/>
  <c r="F22" i="54"/>
  <c r="T20" i="54"/>
  <c r="Z20" i="54" s="1"/>
  <c r="P20" i="54"/>
  <c r="N20" i="54"/>
  <c r="J20" i="54"/>
  <c r="H20" i="54"/>
  <c r="F20" i="54"/>
  <c r="D20" i="54"/>
  <c r="L20" i="54" s="1"/>
  <c r="T18" i="54"/>
  <c r="Z18" i="54" s="1"/>
  <c r="P18" i="54"/>
  <c r="X18" i="54" s="1"/>
  <c r="N18" i="54"/>
  <c r="L18" i="54"/>
  <c r="H18" i="54"/>
  <c r="F18" i="54"/>
  <c r="D18" i="54"/>
  <c r="J16" i="54"/>
  <c r="F16" i="54"/>
  <c r="D16" i="54"/>
  <c r="D22" i="54" s="1"/>
  <c r="T14" i="54"/>
  <c r="Z14" i="54" s="1"/>
  <c r="P14" i="54"/>
  <c r="X14" i="54" s="1"/>
  <c r="N14" i="54"/>
  <c r="L14" i="54"/>
  <c r="H14" i="54"/>
  <c r="F14" i="54"/>
  <c r="D14" i="54"/>
  <c r="T12" i="54"/>
  <c r="P12" i="54"/>
  <c r="R29" i="54" s="1"/>
  <c r="H12" i="54"/>
  <c r="J31" i="54" s="1"/>
  <c r="D12" i="54"/>
  <c r="L12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P20" i="53"/>
  <c r="H20" i="53"/>
  <c r="N20" i="53" s="1"/>
  <c r="D20" i="53"/>
  <c r="T16" i="53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4" i="53" s="1"/>
  <c r="P12" i="53"/>
  <c r="H12" i="53"/>
  <c r="J18" i="53" s="1"/>
  <c r="D12" i="53"/>
  <c r="F24" i="53" s="1"/>
  <c r="D5" i="53"/>
  <c r="D4" i="53"/>
  <c r="B39" i="52"/>
  <c r="B38" i="52"/>
  <c r="T34" i="52"/>
  <c r="Z34" i="52" s="1"/>
  <c r="P34" i="52"/>
  <c r="H34" i="52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R21" i="52" s="1"/>
  <c r="H12" i="52"/>
  <c r="J21" i="52" s="1"/>
  <c r="D12" i="52"/>
  <c r="D5" i="52"/>
  <c r="D4" i="52"/>
  <c r="Z105" i="51"/>
  <c r="X105" i="51"/>
  <c r="N105" i="51"/>
  <c r="L105" i="51"/>
  <c r="T101" i="51"/>
  <c r="P101" i="51"/>
  <c r="H101" i="51"/>
  <c r="D101" i="51"/>
  <c r="L101" i="51" s="1"/>
  <c r="B101" i="51"/>
  <c r="T100" i="51"/>
  <c r="Z100" i="51" s="1"/>
  <c r="P100" i="51"/>
  <c r="X100" i="51" s="1"/>
  <c r="N100" i="51"/>
  <c r="H100" i="51"/>
  <c r="D100" i="51"/>
  <c r="L100" i="51" s="1"/>
  <c r="B100" i="51"/>
  <c r="Z99" i="51"/>
  <c r="X99" i="51"/>
  <c r="T99" i="51"/>
  <c r="P99" i="51"/>
  <c r="P98" i="51" s="1"/>
  <c r="X98" i="51" s="1"/>
  <c r="H99" i="51"/>
  <c r="D99" i="51"/>
  <c r="B99" i="51"/>
  <c r="T98" i="51"/>
  <c r="D98" i="51"/>
  <c r="Z96" i="51"/>
  <c r="X96" i="51"/>
  <c r="N96" i="51"/>
  <c r="L96" i="51"/>
  <c r="B96" i="51"/>
  <c r="T95" i="51"/>
  <c r="Z95" i="51" s="1"/>
  <c r="P95" i="51"/>
  <c r="X95" i="51" s="1"/>
  <c r="N95" i="51"/>
  <c r="L95" i="51"/>
  <c r="H95" i="51"/>
  <c r="D95" i="51"/>
  <c r="B95" i="51"/>
  <c r="X94" i="51"/>
  <c r="Z94" i="51" s="1"/>
  <c r="L94" i="51"/>
  <c r="N94" i="51" s="1"/>
  <c r="B94" i="51"/>
  <c r="Z93" i="51"/>
  <c r="X93" i="51"/>
  <c r="T93" i="51"/>
  <c r="P93" i="51"/>
  <c r="H93" i="51"/>
  <c r="D93" i="51"/>
  <c r="B93" i="51"/>
  <c r="Z92" i="51"/>
  <c r="X92" i="51"/>
  <c r="N92" i="51"/>
  <c r="L92" i="51"/>
  <c r="B92" i="51"/>
  <c r="Z91" i="51"/>
  <c r="X91" i="51"/>
  <c r="L91" i="51"/>
  <c r="N91" i="51" s="1"/>
  <c r="B91" i="51"/>
  <c r="X90" i="51"/>
  <c r="Z90" i="51" s="1"/>
  <c r="N90" i="51"/>
  <c r="L90" i="51"/>
  <c r="B90" i="51"/>
  <c r="Z89" i="51"/>
  <c r="X89" i="51"/>
  <c r="N89" i="51"/>
  <c r="L89" i="51"/>
  <c r="B89" i="51"/>
  <c r="T88" i="51"/>
  <c r="P88" i="51"/>
  <c r="X88" i="51" s="1"/>
  <c r="Z88" i="51" s="1"/>
  <c r="L88" i="51"/>
  <c r="N88" i="51" s="1"/>
  <c r="H88" i="51"/>
  <c r="D88" i="51"/>
  <c r="B88" i="51"/>
  <c r="Z87" i="51"/>
  <c r="X87" i="51"/>
  <c r="L87" i="51"/>
  <c r="N87" i="51" s="1"/>
  <c r="B87" i="51"/>
  <c r="X86" i="51"/>
  <c r="Z86" i="51" s="1"/>
  <c r="T86" i="51"/>
  <c r="P86" i="51"/>
  <c r="H86" i="51"/>
  <c r="D86" i="51"/>
  <c r="B86" i="51"/>
  <c r="X85" i="51"/>
  <c r="Z85" i="51" s="1"/>
  <c r="N85" i="51"/>
  <c r="L85" i="51"/>
  <c r="B85" i="51"/>
  <c r="T84" i="51"/>
  <c r="P84" i="51"/>
  <c r="H84" i="51"/>
  <c r="N84" i="51" s="1"/>
  <c r="D84" i="51"/>
  <c r="L84" i="51" s="1"/>
  <c r="B84" i="51"/>
  <c r="X83" i="51"/>
  <c r="Z83" i="51" s="1"/>
  <c r="N83" i="51"/>
  <c r="L83" i="51"/>
  <c r="B83" i="51"/>
  <c r="T82" i="51"/>
  <c r="Z82" i="51" s="1"/>
  <c r="P82" i="51"/>
  <c r="X82" i="51" s="1"/>
  <c r="H82" i="51"/>
  <c r="D82" i="51"/>
  <c r="L82" i="51" s="1"/>
  <c r="N82" i="51" s="1"/>
  <c r="B82" i="51"/>
  <c r="Z81" i="51"/>
  <c r="X81" i="51"/>
  <c r="N81" i="51"/>
  <c r="L81" i="51"/>
  <c r="B81" i="51"/>
  <c r="T80" i="51"/>
  <c r="P80" i="51"/>
  <c r="X80" i="51" s="1"/>
  <c r="Z80" i="51" s="1"/>
  <c r="N80" i="51"/>
  <c r="L80" i="51"/>
  <c r="H80" i="51"/>
  <c r="D80" i="51"/>
  <c r="B80" i="51"/>
  <c r="Z79" i="51"/>
  <c r="X79" i="51"/>
  <c r="N79" i="51"/>
  <c r="L79" i="51"/>
  <c r="B79" i="51"/>
  <c r="X78" i="51"/>
  <c r="Z78" i="51" s="1"/>
  <c r="L78" i="51"/>
  <c r="N78" i="51" s="1"/>
  <c r="B78" i="51"/>
  <c r="Z77" i="51"/>
  <c r="X77" i="51"/>
  <c r="T77" i="51"/>
  <c r="P77" i="51"/>
  <c r="H77" i="51"/>
  <c r="D77" i="51"/>
  <c r="B77" i="51"/>
  <c r="Z76" i="51"/>
  <c r="X76" i="51"/>
  <c r="N76" i="51"/>
  <c r="L76" i="51"/>
  <c r="B76" i="51"/>
  <c r="Z75" i="51"/>
  <c r="T75" i="51"/>
  <c r="X75" i="51" s="1"/>
  <c r="P75" i="51"/>
  <c r="H75" i="51"/>
  <c r="N75" i="51" s="1"/>
  <c r="D75" i="51"/>
  <c r="L75" i="51" s="1"/>
  <c r="B75" i="51"/>
  <c r="X74" i="51"/>
  <c r="Z74" i="51" s="1"/>
  <c r="L74" i="51"/>
  <c r="N74" i="51" s="1"/>
  <c r="B74" i="51"/>
  <c r="T73" i="51"/>
  <c r="P73" i="51"/>
  <c r="X73" i="51" s="1"/>
  <c r="H73" i="51"/>
  <c r="N73" i="51" s="1"/>
  <c r="D73" i="51"/>
  <c r="L73" i="51" s="1"/>
  <c r="B73" i="51"/>
  <c r="Z72" i="51"/>
  <c r="X72" i="51"/>
  <c r="L72" i="51"/>
  <c r="N72" i="51" s="1"/>
  <c r="B72" i="51"/>
  <c r="T71" i="51"/>
  <c r="Z71" i="51" s="1"/>
  <c r="P71" i="51"/>
  <c r="X71" i="51" s="1"/>
  <c r="N71" i="51"/>
  <c r="L71" i="51"/>
  <c r="H71" i="51"/>
  <c r="D71" i="51"/>
  <c r="B71" i="51"/>
  <c r="Z70" i="51"/>
  <c r="X70" i="51"/>
  <c r="N70" i="51"/>
  <c r="L70" i="51"/>
  <c r="B70" i="51"/>
  <c r="Z69" i="51"/>
  <c r="X69" i="51"/>
  <c r="L69" i="51"/>
  <c r="N69" i="51" s="1"/>
  <c r="B69" i="51"/>
  <c r="Z68" i="51"/>
  <c r="X68" i="51"/>
  <c r="N68" i="51"/>
  <c r="L68" i="51"/>
  <c r="B68" i="51"/>
  <c r="X67" i="51"/>
  <c r="Z67" i="51" s="1"/>
  <c r="N67" i="51"/>
  <c r="L67" i="51"/>
  <c r="B67" i="51"/>
  <c r="X66" i="51"/>
  <c r="Z66" i="51" s="1"/>
  <c r="L66" i="51"/>
  <c r="N66" i="51" s="1"/>
  <c r="B66" i="51"/>
  <c r="T65" i="51"/>
  <c r="P65" i="51"/>
  <c r="X65" i="51" s="1"/>
  <c r="H65" i="51"/>
  <c r="N65" i="51" s="1"/>
  <c r="D65" i="51"/>
  <c r="L65" i="51" s="1"/>
  <c r="B65" i="51"/>
  <c r="Z64" i="51"/>
  <c r="X64" i="51"/>
  <c r="L64" i="51"/>
  <c r="N64" i="51" s="1"/>
  <c r="B64" i="51"/>
  <c r="X63" i="51"/>
  <c r="Z63" i="51" s="1"/>
  <c r="N63" i="51"/>
  <c r="L63" i="51"/>
  <c r="B63" i="51"/>
  <c r="X62" i="51"/>
  <c r="Z62" i="51" s="1"/>
  <c r="L62" i="51"/>
  <c r="N62" i="51" s="1"/>
  <c r="B62" i="51"/>
  <c r="X61" i="51"/>
  <c r="Z61" i="51" s="1"/>
  <c r="N61" i="51"/>
  <c r="L61" i="51"/>
  <c r="B61" i="51"/>
  <c r="X60" i="51"/>
  <c r="Z60" i="51" s="1"/>
  <c r="N60" i="51"/>
  <c r="L60" i="51"/>
  <c r="B60" i="51"/>
  <c r="Z59" i="51"/>
  <c r="X59" i="51"/>
  <c r="L59" i="51"/>
  <c r="N59" i="51" s="1"/>
  <c r="B59" i="51"/>
  <c r="X58" i="51"/>
  <c r="Z58" i="51" s="1"/>
  <c r="L58" i="51"/>
  <c r="N58" i="51" s="1"/>
  <c r="B58" i="51"/>
  <c r="Z57" i="51"/>
  <c r="X57" i="51"/>
  <c r="L57" i="51"/>
  <c r="N57" i="51" s="1"/>
  <c r="B57" i="51"/>
  <c r="Z56" i="51"/>
  <c r="X56" i="51"/>
  <c r="L56" i="51"/>
  <c r="N56" i="51" s="1"/>
  <c r="B56" i="51"/>
  <c r="T55" i="51"/>
  <c r="P55" i="51"/>
  <c r="X55" i="51" s="1"/>
  <c r="N55" i="51"/>
  <c r="L55" i="51"/>
  <c r="H55" i="51"/>
  <c r="D55" i="51"/>
  <c r="B55" i="51"/>
  <c r="T54" i="51" a="1"/>
  <c r="T54" i="51" s="1"/>
  <c r="P54" i="51" a="1"/>
  <c r="P54" i="51"/>
  <c r="X54" i="51" s="1"/>
  <c r="H54" i="51" a="1"/>
  <c r="H54" i="51" s="1"/>
  <c r="D54" i="51" a="1"/>
  <c r="D54" i="51" s="1"/>
  <c r="X50" i="51"/>
  <c r="Z50" i="51" s="1"/>
  <c r="N50" i="51"/>
  <c r="L50" i="51"/>
  <c r="B50" i="51"/>
  <c r="X49" i="51"/>
  <c r="Z49" i="51" s="1"/>
  <c r="N49" i="51"/>
  <c r="L49" i="51"/>
  <c r="B49" i="51"/>
  <c r="X48" i="51"/>
  <c r="Z48" i="51" s="1"/>
  <c r="N48" i="51"/>
  <c r="L48" i="51"/>
  <c r="B48" i="51"/>
  <c r="Z47" i="51"/>
  <c r="X47" i="5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Z44" i="51"/>
  <c r="X44" i="51"/>
  <c r="L44" i="51"/>
  <c r="N44" i="51" s="1"/>
  <c r="B44" i="51"/>
  <c r="Z43" i="51"/>
  <c r="X43" i="51"/>
  <c r="N43" i="51"/>
  <c r="L43" i="51"/>
  <c r="B43" i="51"/>
  <c r="X42" i="51"/>
  <c r="Z42" i="51" s="1"/>
  <c r="L42" i="51"/>
  <c r="N42" i="51" s="1"/>
  <c r="B42" i="51"/>
  <c r="X41" i="51"/>
  <c r="Z41" i="51" s="1"/>
  <c r="N41" i="51"/>
  <c r="L41" i="51"/>
  <c r="B41" i="51"/>
  <c r="X40" i="51"/>
  <c r="Z40" i="51" s="1"/>
  <c r="N40" i="51"/>
  <c r="L40" i="51"/>
  <c r="B40" i="51"/>
  <c r="Z39" i="51"/>
  <c r="X39" i="51"/>
  <c r="N39" i="51"/>
  <c r="L39" i="51"/>
  <c r="B39" i="51"/>
  <c r="X38" i="51"/>
  <c r="Z38" i="51" s="1"/>
  <c r="L38" i="51"/>
  <c r="N38" i="51" s="1"/>
  <c r="B38" i="51"/>
  <c r="Z37" i="51"/>
  <c r="X37" i="51"/>
  <c r="N37" i="51"/>
  <c r="L37" i="51"/>
  <c r="B37" i="51"/>
  <c r="T36" i="51"/>
  <c r="P36" i="51"/>
  <c r="X36" i="51" s="1"/>
  <c r="Z36" i="51" s="1"/>
  <c r="L36" i="51"/>
  <c r="N36" i="51" s="1"/>
  <c r="H36" i="51"/>
  <c r="D36" i="51"/>
  <c r="Z34" i="51"/>
  <c r="T34" i="51"/>
  <c r="P34" i="51"/>
  <c r="X34" i="51" s="1"/>
  <c r="N34" i="51"/>
  <c r="H34" i="51"/>
  <c r="D34" i="51"/>
  <c r="L34" i="51" s="1"/>
  <c r="B34" i="51"/>
  <c r="T33" i="51"/>
  <c r="P33" i="51"/>
  <c r="H33" i="51"/>
  <c r="D33" i="51"/>
  <c r="L33" i="51" s="1"/>
  <c r="B33" i="51"/>
  <c r="X32" i="51"/>
  <c r="T32" i="51"/>
  <c r="Z32" i="51" s="1"/>
  <c r="P32" i="51"/>
  <c r="H32" i="51"/>
  <c r="N32" i="51" s="1"/>
  <c r="D32" i="51"/>
  <c r="L32" i="51" s="1"/>
  <c r="B32" i="51"/>
  <c r="Z31" i="51"/>
  <c r="X31" i="51"/>
  <c r="T31" i="51"/>
  <c r="P31" i="51"/>
  <c r="H31" i="51"/>
  <c r="N31" i="51" s="1"/>
  <c r="D31" i="51"/>
  <c r="B31" i="51"/>
  <c r="T30" i="51"/>
  <c r="P30" i="51"/>
  <c r="X30" i="51" s="1"/>
  <c r="Z30" i="51" s="1"/>
  <c r="N30" i="51"/>
  <c r="H30" i="51"/>
  <c r="D30" i="51"/>
  <c r="L30" i="51" s="1"/>
  <c r="B30" i="51"/>
  <c r="T29" i="51"/>
  <c r="P29" i="51"/>
  <c r="X29" i="51" s="1"/>
  <c r="H29" i="51"/>
  <c r="D29" i="51"/>
  <c r="L29" i="51" s="1"/>
  <c r="B29" i="51"/>
  <c r="T28" i="51"/>
  <c r="P28" i="51"/>
  <c r="X28" i="51" s="1"/>
  <c r="L28" i="51"/>
  <c r="H28" i="51"/>
  <c r="D28" i="51"/>
  <c r="B28" i="51"/>
  <c r="T27" i="51"/>
  <c r="P27" i="51"/>
  <c r="N27" i="51"/>
  <c r="L27" i="51"/>
  <c r="H27" i="51"/>
  <c r="D27" i="51"/>
  <c r="B27" i="51"/>
  <c r="T26" i="51"/>
  <c r="P26" i="51"/>
  <c r="X26" i="51" s="1"/>
  <c r="Z26" i="51" s="1"/>
  <c r="N26" i="51"/>
  <c r="H26" i="51"/>
  <c r="D26" i="51"/>
  <c r="L26" i="51" s="1"/>
  <c r="B26" i="51"/>
  <c r="T25" i="51"/>
  <c r="Z25" i="51" s="1"/>
  <c r="P25" i="51"/>
  <c r="X25" i="51" s="1"/>
  <c r="H25" i="51"/>
  <c r="N25" i="51" s="1"/>
  <c r="D25" i="51"/>
  <c r="L25" i="51" s="1"/>
  <c r="B25" i="51"/>
  <c r="X24" i="51"/>
  <c r="T24" i="51"/>
  <c r="Z24" i="51" s="1"/>
  <c r="P24" i="51"/>
  <c r="H24" i="51"/>
  <c r="N24" i="51" s="1"/>
  <c r="D24" i="51"/>
  <c r="L24" i="51" s="1"/>
  <c r="B24" i="51"/>
  <c r="Z23" i="51"/>
  <c r="X23" i="51"/>
  <c r="T23" i="51"/>
  <c r="P23" i="51"/>
  <c r="H23" i="51"/>
  <c r="D23" i="51"/>
  <c r="B23" i="51"/>
  <c r="T22" i="51"/>
  <c r="P22" i="51"/>
  <c r="X22" i="51" s="1"/>
  <c r="Z22" i="51" s="1"/>
  <c r="H22" i="51"/>
  <c r="D22" i="51"/>
  <c r="L22" i="51" s="1"/>
  <c r="N22" i="51" s="1"/>
  <c r="B22" i="51"/>
  <c r="T21" i="51"/>
  <c r="Z21" i="51" s="1"/>
  <c r="P21" i="51"/>
  <c r="X21" i="51" s="1"/>
  <c r="H21" i="51"/>
  <c r="D21" i="51"/>
  <c r="B21" i="51"/>
  <c r="T20" i="51"/>
  <c r="Z20" i="51" s="1"/>
  <c r="P20" i="51"/>
  <c r="X20" i="51" s="1"/>
  <c r="L20" i="51"/>
  <c r="H20" i="51"/>
  <c r="D20" i="51"/>
  <c r="B20" i="51"/>
  <c r="T19" i="51"/>
  <c r="Z19" i="51" s="1"/>
  <c r="P19" i="51"/>
  <c r="N19" i="51"/>
  <c r="L19" i="51"/>
  <c r="H19" i="51"/>
  <c r="D19" i="51"/>
  <c r="B19" i="51"/>
  <c r="T18" i="51"/>
  <c r="P18" i="51"/>
  <c r="H18" i="51"/>
  <c r="D18" i="51"/>
  <c r="L18" i="51" s="1"/>
  <c r="N18" i="51" s="1"/>
  <c r="B18" i="51"/>
  <c r="T17" i="51"/>
  <c r="P17" i="51"/>
  <c r="H17" i="51"/>
  <c r="D17" i="51"/>
  <c r="L17" i="51" s="1"/>
  <c r="B17" i="51"/>
  <c r="X16" i="51"/>
  <c r="T16" i="51"/>
  <c r="P16" i="51"/>
  <c r="H16" i="51"/>
  <c r="N16" i="51" s="1"/>
  <c r="D16" i="51"/>
  <c r="L16" i="51" s="1"/>
  <c r="B16" i="51"/>
  <c r="Z15" i="51"/>
  <c r="X15" i="51"/>
  <c r="T15" i="51"/>
  <c r="P15" i="51"/>
  <c r="H15" i="51"/>
  <c r="D15" i="51"/>
  <c r="B15" i="51"/>
  <c r="T14" i="51"/>
  <c r="P14" i="51"/>
  <c r="X14" i="51" s="1"/>
  <c r="Z14" i="51" s="1"/>
  <c r="H14" i="51"/>
  <c r="D14" i="51"/>
  <c r="L14" i="51" s="1"/>
  <c r="N14" i="51" s="1"/>
  <c r="B14" i="51"/>
  <c r="T13" i="51"/>
  <c r="P13" i="51"/>
  <c r="X13" i="51" s="1"/>
  <c r="H13" i="51"/>
  <c r="D13" i="5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H12" i="50"/>
  <c r="J20" i="50" s="1"/>
  <c r="D12" i="50"/>
  <c r="F20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D33" i="49"/>
  <c r="T29" i="49"/>
  <c r="Z29" i="49" s="1"/>
  <c r="P29" i="49"/>
  <c r="H29" i="49"/>
  <c r="D29" i="49"/>
  <c r="T25" i="49"/>
  <c r="Z25" i="49" s="1"/>
  <c r="P25" i="49"/>
  <c r="H25" i="49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D15" i="49"/>
  <c r="T13" i="49"/>
  <c r="Z13" i="49" s="1"/>
  <c r="P13" i="49"/>
  <c r="H13" i="49"/>
  <c r="N13" i="49" s="1"/>
  <c r="D13" i="49"/>
  <c r="B13" i="49"/>
  <c r="T12" i="49"/>
  <c r="V36" i="49" s="1"/>
  <c r="P12" i="49"/>
  <c r="H12" i="49"/>
  <c r="J20" i="49" s="1"/>
  <c r="D12" i="49"/>
  <c r="F20" i="49" s="1"/>
  <c r="D5" i="49"/>
  <c r="D4" i="49"/>
  <c r="Z66" i="48"/>
  <c r="X66" i="48"/>
  <c r="L66" i="48"/>
  <c r="N66" i="48" s="1"/>
  <c r="T62" i="48"/>
  <c r="P62" i="48"/>
  <c r="X62" i="48" s="1"/>
  <c r="N62" i="48"/>
  <c r="L62" i="48"/>
  <c r="H62" i="48"/>
  <c r="D62" i="48"/>
  <c r="D61" i="48" s="1"/>
  <c r="B62" i="48"/>
  <c r="H61" i="48"/>
  <c r="Z59" i="48"/>
  <c r="X59" i="48"/>
  <c r="N59" i="48"/>
  <c r="L59" i="48"/>
  <c r="B59" i="48"/>
  <c r="T58" i="48"/>
  <c r="Z58" i="48" s="1"/>
  <c r="R58" i="48"/>
  <c r="P58" i="48"/>
  <c r="X58" i="48" s="1"/>
  <c r="H58" i="48"/>
  <c r="N58" i="48" s="1"/>
  <c r="D58" i="48"/>
  <c r="L58" i="48" s="1"/>
  <c r="B58" i="48"/>
  <c r="Z57" i="48"/>
  <c r="X57" i="48"/>
  <c r="L57" i="48"/>
  <c r="N57" i="48" s="1"/>
  <c r="B57" i="48"/>
  <c r="T56" i="48"/>
  <c r="Z56" i="48" s="1"/>
  <c r="P56" i="48"/>
  <c r="X56" i="48" s="1"/>
  <c r="N56" i="48"/>
  <c r="L56" i="48"/>
  <c r="H56" i="48"/>
  <c r="D56" i="48"/>
  <c r="B56" i="48"/>
  <c r="Z55" i="48"/>
  <c r="X55" i="48"/>
  <c r="N55" i="48"/>
  <c r="L55" i="48"/>
  <c r="B55" i="48"/>
  <c r="Z54" i="48"/>
  <c r="X54" i="48"/>
  <c r="L54" i="48"/>
  <c r="N54" i="48" s="1"/>
  <c r="B54" i="48"/>
  <c r="T53" i="48"/>
  <c r="P53" i="48"/>
  <c r="X53" i="48" s="1"/>
  <c r="Z53" i="48" s="1"/>
  <c r="L53" i="48"/>
  <c r="N53" i="48" s="1"/>
  <c r="H53" i="48"/>
  <c r="D53" i="48"/>
  <c r="B53" i="48"/>
  <c r="Z52" i="48"/>
  <c r="X52" i="48"/>
  <c r="N52" i="48"/>
  <c r="L52" i="48"/>
  <c r="B52" i="48"/>
  <c r="X51" i="48"/>
  <c r="Z51" i="48" s="1"/>
  <c r="N51" i="48"/>
  <c r="L51" i="48"/>
  <c r="B51" i="48"/>
  <c r="Z50" i="48"/>
  <c r="X50" i="48"/>
  <c r="N50" i="48"/>
  <c r="L50" i="48"/>
  <c r="B50" i="48"/>
  <c r="Z49" i="48"/>
  <c r="X49" i="48"/>
  <c r="N49" i="48"/>
  <c r="L49" i="48"/>
  <c r="B49" i="48"/>
  <c r="T48" i="48"/>
  <c r="Z48" i="48" s="1"/>
  <c r="P48" i="48"/>
  <c r="X48" i="48" s="1"/>
  <c r="N48" i="48"/>
  <c r="L48" i="48"/>
  <c r="H48" i="48"/>
  <c r="D48" i="48"/>
  <c r="B48" i="48"/>
  <c r="X47" i="48"/>
  <c r="Z47" i="48" s="1"/>
  <c r="L47" i="48"/>
  <c r="N47" i="48" s="1"/>
  <c r="B47" i="48"/>
  <c r="Z46" i="48"/>
  <c r="X46" i="48"/>
  <c r="T46" i="48"/>
  <c r="P46" i="48"/>
  <c r="H46" i="48"/>
  <c r="D46" i="48"/>
  <c r="B46" i="48"/>
  <c r="X45" i="48"/>
  <c r="Z45" i="48" s="1"/>
  <c r="R45" i="48"/>
  <c r="N45" i="48"/>
  <c r="L45" i="48"/>
  <c r="B45" i="48"/>
  <c r="T44" i="48"/>
  <c r="P44" i="48"/>
  <c r="H44" i="48"/>
  <c r="N44" i="48" s="1"/>
  <c r="D44" i="48"/>
  <c r="L44" i="48" s="1"/>
  <c r="B44" i="48"/>
  <c r="X43" i="48"/>
  <c r="Z43" i="48" s="1"/>
  <c r="N43" i="48"/>
  <c r="L43" i="48"/>
  <c r="B43" i="48"/>
  <c r="X42" i="48"/>
  <c r="Z42" i="48" s="1"/>
  <c r="N42" i="48"/>
  <c r="L42" i="48"/>
  <c r="B42" i="48"/>
  <c r="T41" i="48"/>
  <c r="P41" i="48"/>
  <c r="H41" i="48"/>
  <c r="N41" i="48" s="1"/>
  <c r="D41" i="48"/>
  <c r="L41" i="48" s="1"/>
  <c r="B41" i="48"/>
  <c r="X40" i="48"/>
  <c r="Z40" i="48" s="1"/>
  <c r="N40" i="48"/>
  <c r="L40" i="48"/>
  <c r="B40" i="48"/>
  <c r="T39" i="48"/>
  <c r="Z39" i="48" s="1"/>
  <c r="P39" i="48"/>
  <c r="X39" i="48" s="1"/>
  <c r="H39" i="48"/>
  <c r="D39" i="48"/>
  <c r="L39" i="48" s="1"/>
  <c r="N39" i="48" s="1"/>
  <c r="B39" i="48"/>
  <c r="Z38" i="48"/>
  <c r="X38" i="48"/>
  <c r="N38" i="48"/>
  <c r="L38" i="48"/>
  <c r="B38" i="48"/>
  <c r="Z37" i="48"/>
  <c r="T37" i="48"/>
  <c r="P37" i="48"/>
  <c r="X37" i="48" s="1"/>
  <c r="N37" i="48"/>
  <c r="L37" i="48"/>
  <c r="H37" i="48"/>
  <c r="D37" i="48"/>
  <c r="B37" i="48"/>
  <c r="Z36" i="48"/>
  <c r="X36" i="48"/>
  <c r="N36" i="48"/>
  <c r="L36" i="48"/>
  <c r="B36" i="48"/>
  <c r="X35" i="48"/>
  <c r="Z35" i="48" s="1"/>
  <c r="L35" i="48"/>
  <c r="N35" i="48" s="1"/>
  <c r="B35" i="48"/>
  <c r="Z34" i="48"/>
  <c r="X34" i="48"/>
  <c r="L34" i="48"/>
  <c r="N34" i="48" s="1"/>
  <c r="B34" i="48"/>
  <c r="Z33" i="48"/>
  <c r="X33" i="48"/>
  <c r="N33" i="48"/>
  <c r="L33" i="48"/>
  <c r="B33" i="48"/>
  <c r="Z32" i="48"/>
  <c r="X32" i="48"/>
  <c r="N32" i="48"/>
  <c r="L32" i="48"/>
  <c r="B32" i="48"/>
  <c r="X31" i="48"/>
  <c r="Z31" i="48" s="1"/>
  <c r="L31" i="48"/>
  <c r="N31" i="48" s="1"/>
  <c r="B31" i="48"/>
  <c r="T30" i="48"/>
  <c r="R30" i="48"/>
  <c r="P30" i="48"/>
  <c r="X30" i="48" s="1"/>
  <c r="H30" i="48"/>
  <c r="D30" i="48"/>
  <c r="L30" i="48" s="1"/>
  <c r="B30" i="48"/>
  <c r="Z29" i="48"/>
  <c r="X29" i="48"/>
  <c r="N29" i="48"/>
  <c r="L29" i="48"/>
  <c r="B29" i="48"/>
  <c r="Z28" i="48"/>
  <c r="X28" i="48"/>
  <c r="N28" i="48"/>
  <c r="L28" i="48"/>
  <c r="B28" i="48"/>
  <c r="X27" i="48"/>
  <c r="Z27" i="48" s="1"/>
  <c r="L27" i="48"/>
  <c r="N27" i="48" s="1"/>
  <c r="B27" i="48"/>
  <c r="X26" i="48"/>
  <c r="Z26" i="48" s="1"/>
  <c r="N26" i="48"/>
  <c r="L26" i="48"/>
  <c r="B26" i="48"/>
  <c r="X25" i="48"/>
  <c r="Z25" i="48" s="1"/>
  <c r="R25" i="48"/>
  <c r="N25" i="48"/>
  <c r="L25" i="48"/>
  <c r="B25" i="48"/>
  <c r="Z24" i="48"/>
  <c r="X24" i="48"/>
  <c r="R24" i="48"/>
  <c r="N24" i="48"/>
  <c r="L24" i="48"/>
  <c r="B24" i="48"/>
  <c r="X23" i="48"/>
  <c r="Z23" i="48" s="1"/>
  <c r="L23" i="48"/>
  <c r="N23" i="48" s="1"/>
  <c r="B23" i="48"/>
  <c r="Z22" i="48"/>
  <c r="X22" i="48"/>
  <c r="L22" i="48"/>
  <c r="N22" i="48" s="1"/>
  <c r="B22" i="48"/>
  <c r="Z21" i="48"/>
  <c r="X21" i="48"/>
  <c r="L21" i="48"/>
  <c r="N21" i="48" s="1"/>
  <c r="B21" i="48"/>
  <c r="T20" i="48"/>
  <c r="Z20" i="48" s="1"/>
  <c r="P20" i="48"/>
  <c r="X20" i="48" s="1"/>
  <c r="N20" i="48"/>
  <c r="L20" i="48"/>
  <c r="H20" i="48"/>
  <c r="D20" i="48"/>
  <c r="B20" i="48"/>
  <c r="T19" i="48" a="1"/>
  <c r="T19" i="48" s="1"/>
  <c r="P19" i="48" a="1"/>
  <c r="P19" i="48"/>
  <c r="H19" i="48" a="1"/>
  <c r="H19" i="48" s="1"/>
  <c r="D19" i="48" a="1"/>
  <c r="D19" i="48" s="1"/>
  <c r="L19" i="48" s="1"/>
  <c r="T15" i="48"/>
  <c r="Z15" i="48" s="1"/>
  <c r="P15" i="48"/>
  <c r="X15" i="48" s="1"/>
  <c r="N15" i="48"/>
  <c r="H15" i="48"/>
  <c r="D15" i="48"/>
  <c r="L15" i="48" s="1"/>
  <c r="T13" i="48"/>
  <c r="P13" i="48"/>
  <c r="P12" i="48" s="1"/>
  <c r="H13" i="48"/>
  <c r="D13" i="48"/>
  <c r="B13" i="48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4" i="47" s="1"/>
  <c r="P12" i="47"/>
  <c r="H12" i="47"/>
  <c r="D12" i="47"/>
  <c r="F24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D20" i="46"/>
  <c r="T16" i="46"/>
  <c r="P16" i="46"/>
  <c r="H16" i="46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4" i="46" s="1"/>
  <c r="P12" i="46"/>
  <c r="R33" i="46" s="1"/>
  <c r="H12" i="46"/>
  <c r="J31" i="46" s="1"/>
  <c r="D12" i="46"/>
  <c r="D5" i="46"/>
  <c r="D4" i="46"/>
  <c r="X97" i="45"/>
  <c r="Z97" i="45" s="1"/>
  <c r="N97" i="45"/>
  <c r="L97" i="45"/>
  <c r="Z93" i="45"/>
  <c r="X93" i="45"/>
  <c r="T93" i="45"/>
  <c r="P93" i="45"/>
  <c r="L93" i="45"/>
  <c r="H93" i="45"/>
  <c r="N93" i="45" s="1"/>
  <c r="D93" i="45"/>
  <c r="Z91" i="45"/>
  <c r="X91" i="45"/>
  <c r="N91" i="45"/>
  <c r="L91" i="45"/>
  <c r="B91" i="45"/>
  <c r="Z90" i="45"/>
  <c r="X90" i="45"/>
  <c r="N90" i="45"/>
  <c r="L90" i="45"/>
  <c r="B90" i="45"/>
  <c r="Z89" i="45"/>
  <c r="X89" i="45"/>
  <c r="N89" i="45"/>
  <c r="L89" i="45"/>
  <c r="B89" i="45"/>
  <c r="X88" i="45"/>
  <c r="Z88" i="45" s="1"/>
  <c r="T88" i="45"/>
  <c r="P88" i="45"/>
  <c r="H88" i="45"/>
  <c r="D88" i="45"/>
  <c r="L88" i="45" s="1"/>
  <c r="N88" i="45" s="1"/>
  <c r="B88" i="45"/>
  <c r="X87" i="45"/>
  <c r="Z87" i="45" s="1"/>
  <c r="N87" i="45"/>
  <c r="L87" i="45"/>
  <c r="B87" i="45"/>
  <c r="X86" i="45"/>
  <c r="T86" i="45"/>
  <c r="Z86" i="45" s="1"/>
  <c r="P86" i="45"/>
  <c r="H86" i="45"/>
  <c r="N86" i="45" s="1"/>
  <c r="D86" i="45"/>
  <c r="L86" i="45" s="1"/>
  <c r="B86" i="45"/>
  <c r="Z85" i="45"/>
  <c r="X85" i="45"/>
  <c r="N85" i="45"/>
  <c r="L85" i="45"/>
  <c r="B85" i="45"/>
  <c r="T84" i="45"/>
  <c r="P84" i="45"/>
  <c r="X84" i="45" s="1"/>
  <c r="H84" i="45"/>
  <c r="D84" i="45"/>
  <c r="L84" i="45" s="1"/>
  <c r="N84" i="45" s="1"/>
  <c r="B84" i="45"/>
  <c r="X83" i="45"/>
  <c r="Z83" i="45" s="1"/>
  <c r="N83" i="45"/>
  <c r="L83" i="45"/>
  <c r="B83" i="45"/>
  <c r="Z82" i="45"/>
  <c r="X82" i="45"/>
  <c r="N82" i="45"/>
  <c r="L82" i="45"/>
  <c r="B82" i="45"/>
  <c r="Z81" i="45"/>
  <c r="X81" i="45"/>
  <c r="N81" i="45"/>
  <c r="L81" i="45"/>
  <c r="B81" i="45"/>
  <c r="Z80" i="45"/>
  <c r="X80" i="45"/>
  <c r="L80" i="45"/>
  <c r="N80" i="45" s="1"/>
  <c r="B80" i="45"/>
  <c r="X79" i="45"/>
  <c r="Z79" i="45" s="1"/>
  <c r="L79" i="45"/>
  <c r="N79" i="45" s="1"/>
  <c r="B79" i="45"/>
  <c r="Z78" i="45"/>
  <c r="X78" i="45"/>
  <c r="L78" i="45"/>
  <c r="N78" i="45" s="1"/>
  <c r="B78" i="45"/>
  <c r="X77" i="45"/>
  <c r="Z77" i="45" s="1"/>
  <c r="N77" i="45"/>
  <c r="L77" i="45"/>
  <c r="B77" i="45"/>
  <c r="Z76" i="45"/>
  <c r="X76" i="45"/>
  <c r="N76" i="45"/>
  <c r="L76" i="45"/>
  <c r="B76" i="45"/>
  <c r="Z75" i="45"/>
  <c r="X75" i="45"/>
  <c r="T75" i="45"/>
  <c r="P75" i="45"/>
  <c r="N75" i="45"/>
  <c r="L75" i="45"/>
  <c r="H75" i="45"/>
  <c r="D75" i="45"/>
  <c r="B75" i="45"/>
  <c r="X74" i="45"/>
  <c r="Z74" i="45" s="1"/>
  <c r="N74" i="45"/>
  <c r="L74" i="45"/>
  <c r="B74" i="45"/>
  <c r="T73" i="45"/>
  <c r="P73" i="45"/>
  <c r="H73" i="45"/>
  <c r="N73" i="45" s="1"/>
  <c r="D73" i="45"/>
  <c r="L73" i="45" s="1"/>
  <c r="B73" i="45"/>
  <c r="Z72" i="45"/>
  <c r="X72" i="45"/>
  <c r="N72" i="45"/>
  <c r="L72" i="45"/>
  <c r="B72" i="45"/>
  <c r="X71" i="45"/>
  <c r="Z71" i="45" s="1"/>
  <c r="N71" i="45"/>
  <c r="L71" i="45"/>
  <c r="B71" i="45"/>
  <c r="X70" i="45"/>
  <c r="Z70" i="45" s="1"/>
  <c r="N70" i="45"/>
  <c r="L70" i="45"/>
  <c r="B70" i="45"/>
  <c r="Z69" i="45"/>
  <c r="X69" i="45"/>
  <c r="N69" i="45"/>
  <c r="L69" i="45"/>
  <c r="B69" i="45"/>
  <c r="Z68" i="45"/>
  <c r="X68" i="45"/>
  <c r="T68" i="45"/>
  <c r="P68" i="45"/>
  <c r="H68" i="45"/>
  <c r="D68" i="45"/>
  <c r="L68" i="45" s="1"/>
  <c r="B68" i="45"/>
  <c r="X67" i="45"/>
  <c r="Z67" i="45" s="1"/>
  <c r="N67" i="45"/>
  <c r="L67" i="45"/>
  <c r="B67" i="45"/>
  <c r="X66" i="45"/>
  <c r="Z66" i="45" s="1"/>
  <c r="N66" i="45"/>
  <c r="L66" i="45"/>
  <c r="B66" i="45"/>
  <c r="Z65" i="45"/>
  <c r="X65" i="45"/>
  <c r="N65" i="45"/>
  <c r="L65" i="45"/>
  <c r="B65" i="45"/>
  <c r="T64" i="45"/>
  <c r="X64" i="45" s="1"/>
  <c r="Z64" i="45" s="1"/>
  <c r="P64" i="45"/>
  <c r="H64" i="45"/>
  <c r="D64" i="45"/>
  <c r="L64" i="45" s="1"/>
  <c r="N64" i="45" s="1"/>
  <c r="B64" i="45"/>
  <c r="X63" i="45"/>
  <c r="Z63" i="45" s="1"/>
  <c r="L63" i="45"/>
  <c r="N63" i="45" s="1"/>
  <c r="B63" i="45"/>
  <c r="T62" i="45"/>
  <c r="Z62" i="45" s="1"/>
  <c r="P62" i="45"/>
  <c r="X62" i="45" s="1"/>
  <c r="H62" i="45"/>
  <c r="D62" i="45"/>
  <c r="B62" i="45"/>
  <c r="Z61" i="45"/>
  <c r="X61" i="45"/>
  <c r="L61" i="45"/>
  <c r="N61" i="45" s="1"/>
  <c r="B61" i="45"/>
  <c r="T60" i="45"/>
  <c r="P60" i="45"/>
  <c r="N60" i="45"/>
  <c r="H60" i="45"/>
  <c r="D60" i="45"/>
  <c r="L60" i="45" s="1"/>
  <c r="B60" i="45"/>
  <c r="Z59" i="45"/>
  <c r="X59" i="45"/>
  <c r="L59" i="45"/>
  <c r="N59" i="45" s="1"/>
  <c r="B59" i="45"/>
  <c r="X58" i="45"/>
  <c r="Z58" i="45" s="1"/>
  <c r="T58" i="45"/>
  <c r="P58" i="45"/>
  <c r="L58" i="45"/>
  <c r="H58" i="45"/>
  <c r="N58" i="45" s="1"/>
  <c r="D58" i="45"/>
  <c r="B58" i="45"/>
  <c r="Z57" i="45"/>
  <c r="X57" i="45"/>
  <c r="N57" i="45"/>
  <c r="L57" i="45"/>
  <c r="B57" i="45"/>
  <c r="Z56" i="45"/>
  <c r="T56" i="45"/>
  <c r="X56" i="45" s="1"/>
  <c r="P56" i="45"/>
  <c r="H56" i="45"/>
  <c r="D56" i="45"/>
  <c r="B56" i="45"/>
  <c r="Z55" i="45"/>
  <c r="X55" i="45"/>
  <c r="N55" i="45"/>
  <c r="L55" i="45"/>
  <c r="B55" i="45"/>
  <c r="Z54" i="45"/>
  <c r="X54" i="45"/>
  <c r="T54" i="45"/>
  <c r="P54" i="45"/>
  <c r="H54" i="45"/>
  <c r="N54" i="45" s="1"/>
  <c r="D54" i="45"/>
  <c r="B54" i="45"/>
  <c r="Z53" i="45"/>
  <c r="X53" i="45"/>
  <c r="L53" i="45"/>
  <c r="N53" i="45" s="1"/>
  <c r="B53" i="45"/>
  <c r="T52" i="45"/>
  <c r="P52" i="45"/>
  <c r="N52" i="45"/>
  <c r="L52" i="45"/>
  <c r="H52" i="45"/>
  <c r="D52" i="45"/>
  <c r="B52" i="45"/>
  <c r="Z51" i="45"/>
  <c r="X51" i="45"/>
  <c r="L51" i="45"/>
  <c r="N51" i="45" s="1"/>
  <c r="B51" i="45"/>
  <c r="X50" i="45"/>
  <c r="T50" i="45"/>
  <c r="Z50" i="45" s="1"/>
  <c r="P50" i="45"/>
  <c r="H50" i="45"/>
  <c r="D50" i="45"/>
  <c r="L50" i="45" s="1"/>
  <c r="N50" i="45" s="1"/>
  <c r="B50" i="45"/>
  <c r="X49" i="45"/>
  <c r="Z49" i="45" s="1"/>
  <c r="N49" i="45"/>
  <c r="L49" i="45"/>
  <c r="B49" i="45"/>
  <c r="T48" i="45"/>
  <c r="P48" i="45"/>
  <c r="X48" i="45" s="1"/>
  <c r="Z48" i="45" s="1"/>
  <c r="H48" i="45"/>
  <c r="D48" i="45"/>
  <c r="L48" i="45" s="1"/>
  <c r="N48" i="45" s="1"/>
  <c r="B48" i="45"/>
  <c r="X47" i="45"/>
  <c r="Z47" i="45" s="1"/>
  <c r="N47" i="45"/>
  <c r="L47" i="45"/>
  <c r="B47" i="45"/>
  <c r="T46" i="45"/>
  <c r="P46" i="45"/>
  <c r="X46" i="45" s="1"/>
  <c r="Z46" i="45" s="1"/>
  <c r="N46" i="45"/>
  <c r="L46" i="45"/>
  <c r="H46" i="45"/>
  <c r="D46" i="45"/>
  <c r="B46" i="45"/>
  <c r="Z45" i="45"/>
  <c r="X45" i="45"/>
  <c r="L45" i="45"/>
  <c r="N45" i="45" s="1"/>
  <c r="B45" i="45"/>
  <c r="Z44" i="45"/>
  <c r="X44" i="45"/>
  <c r="T44" i="45"/>
  <c r="P44" i="45"/>
  <c r="L44" i="45"/>
  <c r="H44" i="45"/>
  <c r="N44" i="45" s="1"/>
  <c r="D44" i="45"/>
  <c r="B44" i="45"/>
  <c r="Z43" i="45"/>
  <c r="X43" i="45"/>
  <c r="N43" i="45"/>
  <c r="L43" i="45"/>
  <c r="B43" i="45"/>
  <c r="X42" i="45"/>
  <c r="Z42" i="45" s="1"/>
  <c r="N42" i="45"/>
  <c r="L42" i="45"/>
  <c r="B42" i="45"/>
  <c r="Z41" i="45"/>
  <c r="X41" i="45"/>
  <c r="L41" i="45"/>
  <c r="N41" i="45" s="1"/>
  <c r="B41" i="45"/>
  <c r="Z40" i="45"/>
  <c r="X40" i="45"/>
  <c r="N40" i="45"/>
  <c r="L40" i="45"/>
  <c r="B40" i="45"/>
  <c r="X39" i="45"/>
  <c r="Z39" i="45" s="1"/>
  <c r="N39" i="45"/>
  <c r="L39" i="45"/>
  <c r="B39" i="45"/>
  <c r="Z38" i="45"/>
  <c r="X38" i="45"/>
  <c r="L38" i="45"/>
  <c r="N38" i="45" s="1"/>
  <c r="B38" i="45"/>
  <c r="X37" i="45"/>
  <c r="Z37" i="45" s="1"/>
  <c r="N37" i="45"/>
  <c r="L37" i="45"/>
  <c r="B37" i="45"/>
  <c r="Z36" i="45"/>
  <c r="T36" i="45"/>
  <c r="P36" i="45"/>
  <c r="X36" i="45" s="1"/>
  <c r="H36" i="45"/>
  <c r="D36" i="45"/>
  <c r="L36" i="45" s="1"/>
  <c r="N36" i="45" s="1"/>
  <c r="B36" i="45"/>
  <c r="X35" i="45"/>
  <c r="Z35" i="45" s="1"/>
  <c r="N35" i="45"/>
  <c r="L35" i="45"/>
  <c r="B35" i="45"/>
  <c r="Z34" i="45"/>
  <c r="X34" i="45"/>
  <c r="L34" i="45"/>
  <c r="N34" i="45" s="1"/>
  <c r="B34" i="45"/>
  <c r="X33" i="45"/>
  <c r="Z33" i="45" s="1"/>
  <c r="N33" i="45"/>
  <c r="L33" i="45"/>
  <c r="B33" i="45"/>
  <c r="Z32" i="45"/>
  <c r="X32" i="45"/>
  <c r="N32" i="45"/>
  <c r="L32" i="45"/>
  <c r="B32" i="45"/>
  <c r="Z31" i="45"/>
  <c r="X31" i="45"/>
  <c r="L31" i="45"/>
  <c r="N31" i="45" s="1"/>
  <c r="B31" i="45"/>
  <c r="X30" i="45"/>
  <c r="Z30" i="45" s="1"/>
  <c r="N30" i="45"/>
  <c r="L30" i="45"/>
  <c r="B30" i="45"/>
  <c r="Z29" i="45"/>
  <c r="X29" i="45"/>
  <c r="L29" i="45"/>
  <c r="N29" i="45" s="1"/>
  <c r="B29" i="45"/>
  <c r="Z28" i="45"/>
  <c r="X28" i="45"/>
  <c r="N28" i="45"/>
  <c r="L28" i="45"/>
  <c r="B28" i="45"/>
  <c r="X27" i="45"/>
  <c r="Z27" i="45" s="1"/>
  <c r="N27" i="45"/>
  <c r="L27" i="45"/>
  <c r="B27" i="45"/>
  <c r="T26" i="45"/>
  <c r="P26" i="45"/>
  <c r="X26" i="45" s="1"/>
  <c r="Z26" i="45" s="1"/>
  <c r="N26" i="45"/>
  <c r="L26" i="45"/>
  <c r="H26" i="45"/>
  <c r="D26" i="45"/>
  <c r="B26" i="45"/>
  <c r="T25" i="45" a="1"/>
  <c r="T25" i="45" s="1"/>
  <c r="P25" i="45" a="1"/>
  <c r="P25" i="45" s="1"/>
  <c r="H25" i="45" a="1"/>
  <c r="H25" i="45" s="1"/>
  <c r="D25" i="45" a="1"/>
  <c r="D25" i="45" s="1"/>
  <c r="X21" i="45"/>
  <c r="Z21" i="45" s="1"/>
  <c r="N21" i="45"/>
  <c r="L21" i="45"/>
  <c r="B21" i="45"/>
  <c r="Z20" i="45"/>
  <c r="X20" i="45"/>
  <c r="N20" i="45"/>
  <c r="L20" i="45"/>
  <c r="B20" i="45"/>
  <c r="T19" i="45"/>
  <c r="P19" i="45"/>
  <c r="X19" i="45" s="1"/>
  <c r="L19" i="45"/>
  <c r="N19" i="45" s="1"/>
  <c r="H19" i="45"/>
  <c r="D19" i="45"/>
  <c r="Z17" i="45"/>
  <c r="T17" i="45"/>
  <c r="P17" i="45"/>
  <c r="X17" i="45" s="1"/>
  <c r="H17" i="45"/>
  <c r="N17" i="45" s="1"/>
  <c r="D17" i="45"/>
  <c r="L17" i="45" s="1"/>
  <c r="B17" i="45"/>
  <c r="T16" i="45"/>
  <c r="P16" i="45"/>
  <c r="L16" i="45"/>
  <c r="H16" i="45"/>
  <c r="N16" i="45" s="1"/>
  <c r="D16" i="45"/>
  <c r="B16" i="45"/>
  <c r="X15" i="45"/>
  <c r="T15" i="45"/>
  <c r="Z15" i="45" s="1"/>
  <c r="P15" i="45"/>
  <c r="N15" i="45"/>
  <c r="L15" i="45"/>
  <c r="H15" i="45"/>
  <c r="D15" i="45"/>
  <c r="B15" i="45"/>
  <c r="Z14" i="45"/>
  <c r="T14" i="45"/>
  <c r="P14" i="45"/>
  <c r="X14" i="45" s="1"/>
  <c r="N14" i="45"/>
  <c r="H14" i="45"/>
  <c r="L14" i="45" s="1"/>
  <c r="D14" i="45"/>
  <c r="B14" i="45"/>
  <c r="T13" i="45"/>
  <c r="P13" i="45"/>
  <c r="H13" i="45"/>
  <c r="D13" i="45"/>
  <c r="B13" i="45"/>
  <c r="H12" i="45"/>
  <c r="D4" i="45"/>
  <c r="B39" i="44"/>
  <c r="B38" i="44"/>
  <c r="T34" i="44"/>
  <c r="Z34" i="44" s="1"/>
  <c r="P34" i="44"/>
  <c r="H34" i="44"/>
  <c r="N34" i="44" s="1"/>
  <c r="D34" i="44"/>
  <c r="T33" i="44"/>
  <c r="P33" i="44"/>
  <c r="H33" i="44"/>
  <c r="N33" i="44" s="1"/>
  <c r="D33" i="44"/>
  <c r="T29" i="44"/>
  <c r="P29" i="44"/>
  <c r="H29" i="44"/>
  <c r="N29" i="44" s="1"/>
  <c r="D29" i="44"/>
  <c r="T25" i="44"/>
  <c r="P25" i="44"/>
  <c r="H25" i="44"/>
  <c r="N25" i="44" s="1"/>
  <c r="D25" i="44"/>
  <c r="B25" i="44"/>
  <c r="T24" i="44"/>
  <c r="Z24" i="44" s="1"/>
  <c r="P24" i="44"/>
  <c r="H24" i="44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P20" i="44"/>
  <c r="H20" i="44"/>
  <c r="N20" i="44" s="1"/>
  <c r="D20" i="44"/>
  <c r="T16" i="44"/>
  <c r="P16" i="44"/>
  <c r="H16" i="44"/>
  <c r="N16" i="44" s="1"/>
  <c r="D16" i="44"/>
  <c r="B16" i="44"/>
  <c r="T15" i="44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4" i="44" s="1"/>
  <c r="P12" i="44"/>
  <c r="H12" i="44"/>
  <c r="J20" i="44" s="1"/>
  <c r="D12" i="44"/>
  <c r="F24" i="44" s="1"/>
  <c r="D5" i="44"/>
  <c r="D4" i="44"/>
  <c r="B39" i="43"/>
  <c r="B38" i="43"/>
  <c r="T34" i="43"/>
  <c r="Z34" i="43" s="1"/>
  <c r="P34" i="43"/>
  <c r="H34" i="43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P22" i="43"/>
  <c r="H22" i="43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16" i="43" s="1"/>
  <c r="P12" i="43"/>
  <c r="R20" i="43" s="1"/>
  <c r="H12" i="43"/>
  <c r="J18" i="43" s="1"/>
  <c r="D12" i="43"/>
  <c r="F31" i="43" s="1"/>
  <c r="D5" i="43"/>
  <c r="D4" i="43"/>
  <c r="X108" i="42"/>
  <c r="Z108" i="42" s="1"/>
  <c r="N108" i="42"/>
  <c r="L108" i="42"/>
  <c r="J108" i="42"/>
  <c r="T104" i="42"/>
  <c r="Z104" i="42" s="1"/>
  <c r="P104" i="42"/>
  <c r="X104" i="42" s="1"/>
  <c r="L104" i="42"/>
  <c r="H104" i="42"/>
  <c r="N104" i="42" s="1"/>
  <c r="D104" i="42"/>
  <c r="B104" i="42"/>
  <c r="T103" i="42"/>
  <c r="P103" i="42"/>
  <c r="X103" i="42" s="1"/>
  <c r="Z103" i="42" s="1"/>
  <c r="H103" i="42"/>
  <c r="D103" i="42"/>
  <c r="L103" i="42" s="1"/>
  <c r="N103" i="42" s="1"/>
  <c r="B103" i="42"/>
  <c r="T102" i="42"/>
  <c r="P102" i="42"/>
  <c r="H102" i="42"/>
  <c r="D102" i="42"/>
  <c r="L102" i="42" s="1"/>
  <c r="B102" i="42"/>
  <c r="T101" i="42"/>
  <c r="D101" i="42"/>
  <c r="Z99" i="42"/>
  <c r="X99" i="42"/>
  <c r="N99" i="42"/>
  <c r="L99" i="42"/>
  <c r="B99" i="42"/>
  <c r="T98" i="42"/>
  <c r="P98" i="42"/>
  <c r="H98" i="42"/>
  <c r="D98" i="42"/>
  <c r="L98" i="42" s="1"/>
  <c r="N98" i="42" s="1"/>
  <c r="B98" i="42"/>
  <c r="X97" i="42"/>
  <c r="Z97" i="42" s="1"/>
  <c r="N97" i="42"/>
  <c r="L97" i="42"/>
  <c r="B97" i="42"/>
  <c r="Z96" i="42"/>
  <c r="X96" i="42"/>
  <c r="N96" i="42"/>
  <c r="L96" i="42"/>
  <c r="B96" i="42"/>
  <c r="T95" i="42"/>
  <c r="P95" i="42"/>
  <c r="X95" i="42" s="1"/>
  <c r="Z95" i="42" s="1"/>
  <c r="L95" i="42"/>
  <c r="H95" i="42"/>
  <c r="N95" i="42" s="1"/>
  <c r="D95" i="42"/>
  <c r="B95" i="42"/>
  <c r="Z94" i="42"/>
  <c r="X94" i="42"/>
  <c r="N94" i="42"/>
  <c r="L94" i="42"/>
  <c r="B94" i="42"/>
  <c r="X93" i="42"/>
  <c r="T93" i="42"/>
  <c r="Z93" i="42" s="1"/>
  <c r="P93" i="42"/>
  <c r="N93" i="42"/>
  <c r="H93" i="42"/>
  <c r="L93" i="42" s="1"/>
  <c r="D93" i="42"/>
  <c r="B93" i="42"/>
  <c r="X92" i="42"/>
  <c r="Z92" i="42" s="1"/>
  <c r="N92" i="42"/>
  <c r="L92" i="42"/>
  <c r="B92" i="42"/>
  <c r="Z91" i="42"/>
  <c r="T91" i="42"/>
  <c r="X91" i="42" s="1"/>
  <c r="P91" i="42"/>
  <c r="J91" i="42"/>
  <c r="H91" i="42"/>
  <c r="D91" i="42"/>
  <c r="L91" i="42" s="1"/>
  <c r="N91" i="42" s="1"/>
  <c r="B91" i="42"/>
  <c r="Z90" i="42"/>
  <c r="X90" i="42"/>
  <c r="N90" i="42"/>
  <c r="L90" i="42"/>
  <c r="B90" i="42"/>
  <c r="Z89" i="42"/>
  <c r="X89" i="42"/>
  <c r="N89" i="42"/>
  <c r="L89" i="42"/>
  <c r="B89" i="42"/>
  <c r="Z88" i="42"/>
  <c r="X88" i="42"/>
  <c r="N88" i="42"/>
  <c r="L88" i="42"/>
  <c r="B88" i="42"/>
  <c r="Z87" i="42"/>
  <c r="X87" i="42"/>
  <c r="R87" i="42"/>
  <c r="N87" i="42"/>
  <c r="L87" i="42"/>
  <c r="B87" i="42"/>
  <c r="Z86" i="42"/>
  <c r="X86" i="42"/>
  <c r="L86" i="42"/>
  <c r="N86" i="42" s="1"/>
  <c r="B86" i="42"/>
  <c r="X85" i="42"/>
  <c r="Z85" i="42" s="1"/>
  <c r="N85" i="42"/>
  <c r="L85" i="42"/>
  <c r="B85" i="42"/>
  <c r="Z84" i="42"/>
  <c r="X84" i="42"/>
  <c r="N84" i="42"/>
  <c r="L84" i="42"/>
  <c r="B84" i="42"/>
  <c r="Z83" i="42"/>
  <c r="X83" i="42"/>
  <c r="N83" i="42"/>
  <c r="L83" i="42"/>
  <c r="B83" i="42"/>
  <c r="X82" i="42"/>
  <c r="Z82" i="42" s="1"/>
  <c r="R82" i="42"/>
  <c r="N82" i="42"/>
  <c r="L82" i="42"/>
  <c r="B82" i="42"/>
  <c r="T81" i="42"/>
  <c r="P81" i="42"/>
  <c r="X81" i="42" s="1"/>
  <c r="Z81" i="42" s="1"/>
  <c r="H81" i="42"/>
  <c r="D81" i="42"/>
  <c r="L81" i="42" s="1"/>
  <c r="N81" i="42" s="1"/>
  <c r="B81" i="42"/>
  <c r="Z80" i="42"/>
  <c r="X80" i="42"/>
  <c r="N80" i="42"/>
  <c r="L80" i="42"/>
  <c r="B80" i="42"/>
  <c r="T79" i="42"/>
  <c r="R79" i="42"/>
  <c r="P79" i="42"/>
  <c r="X79" i="42" s="1"/>
  <c r="Z79" i="42" s="1"/>
  <c r="L79" i="42"/>
  <c r="H79" i="42"/>
  <c r="N79" i="42" s="1"/>
  <c r="D79" i="42"/>
  <c r="B79" i="42"/>
  <c r="Z78" i="42"/>
  <c r="X78" i="42"/>
  <c r="N78" i="42"/>
  <c r="L78" i="42"/>
  <c r="B78" i="42"/>
  <c r="X77" i="42"/>
  <c r="Z77" i="42" s="1"/>
  <c r="N77" i="42"/>
  <c r="L77" i="42"/>
  <c r="B77" i="42"/>
  <c r="Z76" i="42"/>
  <c r="X76" i="42"/>
  <c r="L76" i="42"/>
  <c r="N76" i="42" s="1"/>
  <c r="B76" i="42"/>
  <c r="Z75" i="42"/>
  <c r="X75" i="42"/>
  <c r="N75" i="42"/>
  <c r="L75" i="42"/>
  <c r="B75" i="42"/>
  <c r="T74" i="42"/>
  <c r="P74" i="42"/>
  <c r="N74" i="42"/>
  <c r="H74" i="42"/>
  <c r="D74" i="42"/>
  <c r="L74" i="42" s="1"/>
  <c r="B74" i="42"/>
  <c r="Z73" i="42"/>
  <c r="X73" i="42"/>
  <c r="N73" i="42"/>
  <c r="L73" i="42"/>
  <c r="J73" i="42"/>
  <c r="B73" i="42"/>
  <c r="Z72" i="42"/>
  <c r="T72" i="42"/>
  <c r="P72" i="42"/>
  <c r="X72" i="42" s="1"/>
  <c r="J72" i="42"/>
  <c r="H72" i="42"/>
  <c r="N72" i="42" s="1"/>
  <c r="D72" i="42"/>
  <c r="L72" i="42" s="1"/>
  <c r="B72" i="42"/>
  <c r="Z71" i="42"/>
  <c r="X71" i="42"/>
  <c r="N71" i="42"/>
  <c r="L71" i="42"/>
  <c r="B71" i="42"/>
  <c r="Z70" i="42"/>
  <c r="X70" i="42"/>
  <c r="N70" i="42"/>
  <c r="L70" i="42"/>
  <c r="B70" i="42"/>
  <c r="X69" i="42"/>
  <c r="Z69" i="42" s="1"/>
  <c r="N69" i="42"/>
  <c r="L69" i="42"/>
  <c r="B69" i="42"/>
  <c r="Z68" i="42"/>
  <c r="X68" i="42"/>
  <c r="N68" i="42"/>
  <c r="L68" i="42"/>
  <c r="B68" i="42"/>
  <c r="T67" i="42"/>
  <c r="P67" i="42"/>
  <c r="X67" i="42" s="1"/>
  <c r="Z67" i="42" s="1"/>
  <c r="L67" i="42"/>
  <c r="H67" i="42"/>
  <c r="N67" i="42" s="1"/>
  <c r="D67" i="42"/>
  <c r="B67" i="42"/>
  <c r="Z66" i="42"/>
  <c r="X66" i="42"/>
  <c r="L66" i="42"/>
  <c r="N66" i="42" s="1"/>
  <c r="B66" i="42"/>
  <c r="X65" i="42"/>
  <c r="T65" i="42"/>
  <c r="P65" i="42"/>
  <c r="N65" i="42"/>
  <c r="H65" i="42"/>
  <c r="L65" i="42" s="1"/>
  <c r="D65" i="42"/>
  <c r="B65" i="42"/>
  <c r="X64" i="42"/>
  <c r="Z64" i="42" s="1"/>
  <c r="N64" i="42"/>
  <c r="L64" i="42"/>
  <c r="B64" i="42"/>
  <c r="Z63" i="42"/>
  <c r="T63" i="42"/>
  <c r="X63" i="42" s="1"/>
  <c r="P63" i="42"/>
  <c r="H63" i="42"/>
  <c r="D63" i="42"/>
  <c r="L63" i="42" s="1"/>
  <c r="N63" i="42" s="1"/>
  <c r="B63" i="42"/>
  <c r="X62" i="42"/>
  <c r="Z62" i="42" s="1"/>
  <c r="R62" i="42"/>
  <c r="N62" i="42"/>
  <c r="L62" i="42"/>
  <c r="B62" i="42"/>
  <c r="T61" i="42"/>
  <c r="P61" i="42"/>
  <c r="X61" i="42" s="1"/>
  <c r="Z61" i="42" s="1"/>
  <c r="H61" i="42"/>
  <c r="D61" i="42"/>
  <c r="L61" i="42" s="1"/>
  <c r="N61" i="42" s="1"/>
  <c r="B61" i="42"/>
  <c r="Z60" i="42"/>
  <c r="X60" i="42"/>
  <c r="L60" i="42"/>
  <c r="N60" i="42" s="1"/>
  <c r="B60" i="42"/>
  <c r="T59" i="42"/>
  <c r="P59" i="42"/>
  <c r="X59" i="42" s="1"/>
  <c r="Z59" i="42" s="1"/>
  <c r="L59" i="42"/>
  <c r="H59" i="42"/>
  <c r="N59" i="42" s="1"/>
  <c r="D59" i="42"/>
  <c r="B59" i="42"/>
  <c r="Z58" i="42"/>
  <c r="X58" i="42"/>
  <c r="L58" i="42"/>
  <c r="N58" i="42" s="1"/>
  <c r="B58" i="42"/>
  <c r="X57" i="42"/>
  <c r="T57" i="42"/>
  <c r="P57" i="42"/>
  <c r="N57" i="42"/>
  <c r="H57" i="42"/>
  <c r="L57" i="42" s="1"/>
  <c r="D57" i="42"/>
  <c r="B57" i="42"/>
  <c r="X56" i="42"/>
  <c r="Z56" i="42" s="1"/>
  <c r="N56" i="42"/>
  <c r="L56" i="42"/>
  <c r="B56" i="42"/>
  <c r="Z55" i="42"/>
  <c r="T55" i="42"/>
  <c r="X55" i="42" s="1"/>
  <c r="P55" i="42"/>
  <c r="H55" i="42"/>
  <c r="D55" i="42"/>
  <c r="L55" i="42" s="1"/>
  <c r="N55" i="42" s="1"/>
  <c r="B55" i="42"/>
  <c r="X54" i="42"/>
  <c r="Z54" i="42" s="1"/>
  <c r="R54" i="42"/>
  <c r="N54" i="42"/>
  <c r="L54" i="42"/>
  <c r="B54" i="42"/>
  <c r="T53" i="42"/>
  <c r="P53" i="42"/>
  <c r="X53" i="42" s="1"/>
  <c r="Z53" i="42" s="1"/>
  <c r="N53" i="42"/>
  <c r="H53" i="42"/>
  <c r="D53" i="42"/>
  <c r="L53" i="42" s="1"/>
  <c r="B53" i="42"/>
  <c r="Z52" i="42"/>
  <c r="X52" i="42"/>
  <c r="L52" i="42"/>
  <c r="N52" i="42" s="1"/>
  <c r="B52" i="42"/>
  <c r="Z51" i="42"/>
  <c r="X51" i="42"/>
  <c r="N51" i="42"/>
  <c r="L51" i="42"/>
  <c r="B51" i="42"/>
  <c r="T50" i="42"/>
  <c r="P50" i="42"/>
  <c r="H50" i="42"/>
  <c r="D50" i="42"/>
  <c r="L50" i="42" s="1"/>
  <c r="N50" i="42" s="1"/>
  <c r="B50" i="42"/>
  <c r="X49" i="42"/>
  <c r="Z49" i="42" s="1"/>
  <c r="N49" i="42"/>
  <c r="L49" i="42"/>
  <c r="J49" i="42"/>
  <c r="B49" i="42"/>
  <c r="Z48" i="42"/>
  <c r="T48" i="42"/>
  <c r="P48" i="42"/>
  <c r="X48" i="42" s="1"/>
  <c r="J48" i="42"/>
  <c r="H48" i="42"/>
  <c r="D48" i="42"/>
  <c r="L48" i="42" s="1"/>
  <c r="B48" i="42"/>
  <c r="Z47" i="42"/>
  <c r="X47" i="42"/>
  <c r="N47" i="42"/>
  <c r="L47" i="42"/>
  <c r="B47" i="42"/>
  <c r="T46" i="42"/>
  <c r="Z46" i="42" s="1"/>
  <c r="P46" i="42"/>
  <c r="X46" i="42" s="1"/>
  <c r="L46" i="42"/>
  <c r="H46" i="42"/>
  <c r="D46" i="42"/>
  <c r="B46" i="42"/>
  <c r="Z45" i="42"/>
  <c r="X45" i="42"/>
  <c r="L45" i="42"/>
  <c r="N45" i="42" s="1"/>
  <c r="B45" i="42"/>
  <c r="X44" i="42"/>
  <c r="T44" i="42"/>
  <c r="Z44" i="42" s="1"/>
  <c r="R44" i="42"/>
  <c r="P44" i="42"/>
  <c r="H44" i="42"/>
  <c r="D44" i="42"/>
  <c r="B44" i="42"/>
  <c r="Z43" i="42"/>
  <c r="X43" i="42"/>
  <c r="N43" i="42"/>
  <c r="L43" i="42"/>
  <c r="B43" i="42"/>
  <c r="X42" i="42"/>
  <c r="Z42" i="42" s="1"/>
  <c r="R42" i="42"/>
  <c r="N42" i="42"/>
  <c r="L42" i="42"/>
  <c r="J42" i="42"/>
  <c r="B42" i="42"/>
  <c r="Z41" i="42"/>
  <c r="X41" i="42"/>
  <c r="L41" i="42"/>
  <c r="N41" i="42" s="1"/>
  <c r="B41" i="42"/>
  <c r="X40" i="42"/>
  <c r="Z40" i="42" s="1"/>
  <c r="L40" i="42"/>
  <c r="N40" i="42" s="1"/>
  <c r="B40" i="42"/>
  <c r="Z39" i="42"/>
  <c r="X39" i="42"/>
  <c r="R39" i="42"/>
  <c r="N39" i="42"/>
  <c r="L39" i="42"/>
  <c r="B39" i="42"/>
  <c r="Z38" i="42"/>
  <c r="X38" i="42"/>
  <c r="L38" i="42"/>
  <c r="N38" i="42" s="1"/>
  <c r="B38" i="42"/>
  <c r="X37" i="42"/>
  <c r="T37" i="42"/>
  <c r="P37" i="42"/>
  <c r="H37" i="42"/>
  <c r="L37" i="42" s="1"/>
  <c r="D37" i="42"/>
  <c r="B37" i="42"/>
  <c r="X36" i="42"/>
  <c r="Z36" i="42" s="1"/>
  <c r="L36" i="42"/>
  <c r="N36" i="42" s="1"/>
  <c r="B36" i="42"/>
  <c r="Z35" i="42"/>
  <c r="X35" i="42"/>
  <c r="R35" i="42"/>
  <c r="N35" i="42"/>
  <c r="L35" i="42"/>
  <c r="B35" i="42"/>
  <c r="Z34" i="42"/>
  <c r="X34" i="42"/>
  <c r="R34" i="42"/>
  <c r="L34" i="42"/>
  <c r="N34" i="42" s="1"/>
  <c r="B34" i="42"/>
  <c r="Z33" i="42"/>
  <c r="X33" i="42"/>
  <c r="N33" i="42"/>
  <c r="L33" i="42"/>
  <c r="B33" i="42"/>
  <c r="Z32" i="42"/>
  <c r="X32" i="42"/>
  <c r="L32" i="42"/>
  <c r="N32" i="42" s="1"/>
  <c r="B32" i="42"/>
  <c r="Z31" i="42"/>
  <c r="X31" i="42"/>
  <c r="N31" i="42"/>
  <c r="L31" i="42"/>
  <c r="F31" i="42"/>
  <c r="B31" i="42"/>
  <c r="X30" i="42"/>
  <c r="Z30" i="42" s="1"/>
  <c r="N30" i="42"/>
  <c r="L30" i="42"/>
  <c r="B30" i="42"/>
  <c r="Z29" i="42"/>
  <c r="X29" i="42"/>
  <c r="L29" i="42"/>
  <c r="N29" i="42" s="1"/>
  <c r="J29" i="42"/>
  <c r="B29" i="42"/>
  <c r="X28" i="42"/>
  <c r="Z28" i="42" s="1"/>
  <c r="N28" i="42"/>
  <c r="L28" i="42"/>
  <c r="B28" i="42"/>
  <c r="T27" i="42"/>
  <c r="X27" i="42" s="1"/>
  <c r="R27" i="42"/>
  <c r="P27" i="42"/>
  <c r="H27" i="42"/>
  <c r="D27" i="42"/>
  <c r="L27" i="42" s="1"/>
  <c r="N27" i="42" s="1"/>
  <c r="B27" i="42"/>
  <c r="T26" i="42" a="1"/>
  <c r="T26" i="42" s="1"/>
  <c r="P26" i="42" a="1"/>
  <c r="P26" i="42" s="1"/>
  <c r="X26" i="42" s="1"/>
  <c r="H26" i="42" a="1"/>
  <c r="H26" i="42" s="1"/>
  <c r="D26" i="42" a="1"/>
  <c r="D26" i="42"/>
  <c r="Z22" i="42"/>
  <c r="X22" i="42"/>
  <c r="R22" i="42"/>
  <c r="L22" i="42"/>
  <c r="N22" i="42" s="1"/>
  <c r="B22" i="42"/>
  <c r="X21" i="42"/>
  <c r="Z21" i="42" s="1"/>
  <c r="N21" i="42"/>
  <c r="L21" i="42"/>
  <c r="J21" i="42"/>
  <c r="B21" i="42"/>
  <c r="T20" i="42"/>
  <c r="P20" i="42"/>
  <c r="X20" i="42" s="1"/>
  <c r="Z20" i="42" s="1"/>
  <c r="H20" i="42"/>
  <c r="D20" i="42"/>
  <c r="L20" i="42" s="1"/>
  <c r="X18" i="42"/>
  <c r="T18" i="42"/>
  <c r="Z18" i="42" s="1"/>
  <c r="P18" i="42"/>
  <c r="L18" i="42"/>
  <c r="N18" i="42" s="1"/>
  <c r="H18" i="42"/>
  <c r="D18" i="42"/>
  <c r="B18" i="42"/>
  <c r="T17" i="42"/>
  <c r="P17" i="42"/>
  <c r="X17" i="42" s="1"/>
  <c r="Z17" i="42" s="1"/>
  <c r="H17" i="42"/>
  <c r="L17" i="42" s="1"/>
  <c r="N17" i="42" s="1"/>
  <c r="D17" i="42"/>
  <c r="B17" i="42"/>
  <c r="T16" i="42"/>
  <c r="P16" i="42"/>
  <c r="N16" i="42"/>
  <c r="H16" i="42"/>
  <c r="D16" i="42"/>
  <c r="L16" i="42" s="1"/>
  <c r="B16" i="42"/>
  <c r="T15" i="42"/>
  <c r="Z15" i="42" s="1"/>
  <c r="P15" i="42"/>
  <c r="H15" i="42"/>
  <c r="N15" i="42" s="1"/>
  <c r="D15" i="42"/>
  <c r="L15" i="42" s="1"/>
  <c r="B15" i="42"/>
  <c r="X14" i="42"/>
  <c r="Z14" i="42" s="1"/>
  <c r="T14" i="42"/>
  <c r="P14" i="42"/>
  <c r="L14" i="42"/>
  <c r="H14" i="42"/>
  <c r="D14" i="42"/>
  <c r="B14" i="42"/>
  <c r="T13" i="42"/>
  <c r="X13" i="42" s="1"/>
  <c r="Z13" i="42" s="1"/>
  <c r="P13" i="42"/>
  <c r="N13" i="42"/>
  <c r="H13" i="42"/>
  <c r="D13" i="42"/>
  <c r="L13" i="42" s="1"/>
  <c r="B13" i="42"/>
  <c r="P12" i="42"/>
  <c r="H12" i="42"/>
  <c r="J90" i="42" s="1"/>
  <c r="D12" i="42"/>
  <c r="F104" i="42" s="1"/>
  <c r="D4" i="42"/>
  <c r="B39" i="41"/>
  <c r="B38" i="41"/>
  <c r="T34" i="41"/>
  <c r="Z34" i="41" s="1"/>
  <c r="P34" i="41"/>
  <c r="H34" i="41"/>
  <c r="D34" i="41"/>
  <c r="T33" i="41"/>
  <c r="P33" i="41"/>
  <c r="H33" i="41"/>
  <c r="N33" i="41" s="1"/>
  <c r="D33" i="41"/>
  <c r="T29" i="4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P13" i="41"/>
  <c r="H13" i="41"/>
  <c r="N13" i="41" s="1"/>
  <c r="D13" i="41"/>
  <c r="B13" i="41"/>
  <c r="T12" i="41"/>
  <c r="V24" i="41" s="1"/>
  <c r="P12" i="41"/>
  <c r="H12" i="41"/>
  <c r="J15" i="41" s="1"/>
  <c r="D12" i="41"/>
  <c r="D5" i="41"/>
  <c r="D4" i="41"/>
  <c r="B39" i="40"/>
  <c r="B38" i="40"/>
  <c r="T34" i="40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2" i="40" s="1"/>
  <c r="P12" i="40"/>
  <c r="R36" i="40" s="1"/>
  <c r="H12" i="40"/>
  <c r="J20" i="40" s="1"/>
  <c r="D12" i="40"/>
  <c r="F36" i="40" s="1"/>
  <c r="D5" i="40"/>
  <c r="D4" i="40"/>
  <c r="Z119" i="39"/>
  <c r="X119" i="39"/>
  <c r="N119" i="39"/>
  <c r="L119" i="39"/>
  <c r="Z115" i="39"/>
  <c r="X115" i="39"/>
  <c r="T115" i="39"/>
  <c r="P115" i="39"/>
  <c r="L115" i="39"/>
  <c r="H115" i="39"/>
  <c r="N115" i="39" s="1"/>
  <c r="D115" i="39"/>
  <c r="B115" i="39"/>
  <c r="T114" i="39"/>
  <c r="P114" i="39"/>
  <c r="H114" i="39"/>
  <c r="D114" i="39"/>
  <c r="D112" i="39" s="1"/>
  <c r="L112" i="39" s="1"/>
  <c r="B114" i="39"/>
  <c r="T113" i="39"/>
  <c r="P113" i="39"/>
  <c r="X113" i="39" s="1"/>
  <c r="Z113" i="39" s="1"/>
  <c r="N113" i="39"/>
  <c r="L113" i="39"/>
  <c r="H113" i="39"/>
  <c r="D113" i="39"/>
  <c r="B113" i="39"/>
  <c r="P112" i="39"/>
  <c r="H112" i="39"/>
  <c r="X110" i="39"/>
  <c r="Z110" i="39" s="1"/>
  <c r="L110" i="39"/>
  <c r="N110" i="39" s="1"/>
  <c r="B110" i="39"/>
  <c r="T109" i="39"/>
  <c r="Z109" i="39" s="1"/>
  <c r="P109" i="39"/>
  <c r="X109" i="39" s="1"/>
  <c r="H109" i="39"/>
  <c r="D109" i="39"/>
  <c r="L109" i="39" s="1"/>
  <c r="N109" i="39" s="1"/>
  <c r="B109" i="39"/>
  <c r="X108" i="39"/>
  <c r="Z108" i="39" s="1"/>
  <c r="N108" i="39"/>
  <c r="L108" i="39"/>
  <c r="B108" i="39"/>
  <c r="Z107" i="39"/>
  <c r="X107" i="39"/>
  <c r="N107" i="39"/>
  <c r="L107" i="39"/>
  <c r="B107" i="39"/>
  <c r="X106" i="39"/>
  <c r="T106" i="39"/>
  <c r="Z106" i="39" s="1"/>
  <c r="P106" i="39"/>
  <c r="H106" i="39"/>
  <c r="D106" i="39"/>
  <c r="B106" i="39"/>
  <c r="Z105" i="39"/>
  <c r="X105" i="39"/>
  <c r="N105" i="39"/>
  <c r="L105" i="39"/>
  <c r="B105" i="39"/>
  <c r="T104" i="39"/>
  <c r="P104" i="39"/>
  <c r="N104" i="39"/>
  <c r="L104" i="39"/>
  <c r="H104" i="39"/>
  <c r="D104" i="39"/>
  <c r="B104" i="39"/>
  <c r="X103" i="39"/>
  <c r="Z103" i="39" s="1"/>
  <c r="N103" i="39"/>
  <c r="L103" i="39"/>
  <c r="B103" i="39"/>
  <c r="T102" i="39"/>
  <c r="P102" i="39"/>
  <c r="X102" i="39" s="1"/>
  <c r="Z102" i="39" s="1"/>
  <c r="H102" i="39"/>
  <c r="D102" i="39"/>
  <c r="L102" i="39" s="1"/>
  <c r="B102" i="39"/>
  <c r="Z101" i="39"/>
  <c r="X101" i="39"/>
  <c r="N101" i="39"/>
  <c r="L101" i="39"/>
  <c r="B101" i="39"/>
  <c r="Z100" i="39"/>
  <c r="X100" i="39"/>
  <c r="N100" i="39"/>
  <c r="L100" i="39"/>
  <c r="B100" i="39"/>
  <c r="Z99" i="39"/>
  <c r="X99" i="39"/>
  <c r="N99" i="39"/>
  <c r="L99" i="39"/>
  <c r="B99" i="39"/>
  <c r="X98" i="39"/>
  <c r="Z98" i="39" s="1"/>
  <c r="L98" i="39"/>
  <c r="N98" i="39" s="1"/>
  <c r="B98" i="39"/>
  <c r="Z97" i="39"/>
  <c r="X97" i="39"/>
  <c r="N97" i="39"/>
  <c r="L97" i="39"/>
  <c r="B97" i="39"/>
  <c r="X96" i="39"/>
  <c r="Z96" i="39" s="1"/>
  <c r="N96" i="39"/>
  <c r="L96" i="39"/>
  <c r="B96" i="39"/>
  <c r="Z95" i="39"/>
  <c r="X95" i="39"/>
  <c r="N95" i="39"/>
  <c r="L95" i="39"/>
  <c r="B95" i="39"/>
  <c r="X94" i="39"/>
  <c r="Z94" i="39" s="1"/>
  <c r="L94" i="39"/>
  <c r="N94" i="39" s="1"/>
  <c r="B94" i="39"/>
  <c r="Z93" i="39"/>
  <c r="X93" i="39"/>
  <c r="N93" i="39"/>
  <c r="L93" i="39"/>
  <c r="B93" i="39"/>
  <c r="T92" i="39"/>
  <c r="P92" i="39"/>
  <c r="X92" i="39" s="1"/>
  <c r="H92" i="39"/>
  <c r="D92" i="39"/>
  <c r="L92" i="39" s="1"/>
  <c r="B92" i="39"/>
  <c r="Z91" i="39"/>
  <c r="X91" i="39"/>
  <c r="N91" i="39"/>
  <c r="L91" i="39"/>
  <c r="B91" i="39"/>
  <c r="X90" i="39"/>
  <c r="Z90" i="39" s="1"/>
  <c r="T90" i="39"/>
  <c r="P90" i="39"/>
  <c r="H90" i="39"/>
  <c r="D90" i="39"/>
  <c r="B90" i="39"/>
  <c r="Z89" i="39"/>
  <c r="X89" i="39"/>
  <c r="N89" i="39"/>
  <c r="L89" i="39"/>
  <c r="B89" i="39"/>
  <c r="X88" i="39"/>
  <c r="Z88" i="39" s="1"/>
  <c r="N88" i="39"/>
  <c r="L88" i="39"/>
  <c r="B88" i="39"/>
  <c r="Z87" i="39"/>
  <c r="X87" i="39"/>
  <c r="L87" i="39"/>
  <c r="N87" i="39" s="1"/>
  <c r="B87" i="39"/>
  <c r="X86" i="39"/>
  <c r="Z86" i="39" s="1"/>
  <c r="N86" i="39"/>
  <c r="L86" i="39"/>
  <c r="B86" i="39"/>
  <c r="T85" i="39"/>
  <c r="P85" i="39"/>
  <c r="X85" i="39" s="1"/>
  <c r="Z85" i="39" s="1"/>
  <c r="H85" i="39"/>
  <c r="D85" i="39"/>
  <c r="L85" i="39" s="1"/>
  <c r="N85" i="39" s="1"/>
  <c r="B85" i="39"/>
  <c r="X84" i="39"/>
  <c r="Z84" i="39" s="1"/>
  <c r="N84" i="39"/>
  <c r="L84" i="39"/>
  <c r="B84" i="39"/>
  <c r="T83" i="39"/>
  <c r="P83" i="39"/>
  <c r="X83" i="39" s="1"/>
  <c r="Z83" i="39" s="1"/>
  <c r="N83" i="39"/>
  <c r="L83" i="39"/>
  <c r="H83" i="39"/>
  <c r="D83" i="39"/>
  <c r="B83" i="39"/>
  <c r="Z82" i="39"/>
  <c r="X82" i="39"/>
  <c r="L82" i="39"/>
  <c r="N82" i="39" s="1"/>
  <c r="B82" i="39"/>
  <c r="Z81" i="39"/>
  <c r="X81" i="39"/>
  <c r="N81" i="39"/>
  <c r="L81" i="39"/>
  <c r="B81" i="39"/>
  <c r="X80" i="39"/>
  <c r="Z80" i="39" s="1"/>
  <c r="N80" i="39"/>
  <c r="L80" i="39"/>
  <c r="B80" i="39"/>
  <c r="Z79" i="39"/>
  <c r="X79" i="39"/>
  <c r="N79" i="39"/>
  <c r="L79" i="39"/>
  <c r="B79" i="39"/>
  <c r="T78" i="39"/>
  <c r="P78" i="39"/>
  <c r="X78" i="39" s="1"/>
  <c r="H78" i="39"/>
  <c r="D78" i="39"/>
  <c r="B78" i="39"/>
  <c r="Z77" i="39"/>
  <c r="X77" i="39"/>
  <c r="N77" i="39"/>
  <c r="L77" i="39"/>
  <c r="B77" i="39"/>
  <c r="T76" i="39"/>
  <c r="P76" i="39"/>
  <c r="L76" i="39"/>
  <c r="N76" i="39" s="1"/>
  <c r="H76" i="39"/>
  <c r="D76" i="39"/>
  <c r="B76" i="39"/>
  <c r="X75" i="39"/>
  <c r="Z75" i="39" s="1"/>
  <c r="N75" i="39"/>
  <c r="L75" i="39"/>
  <c r="B75" i="39"/>
  <c r="X74" i="39"/>
  <c r="Z74" i="39" s="1"/>
  <c r="T74" i="39"/>
  <c r="P74" i="39"/>
  <c r="H74" i="39"/>
  <c r="D74" i="39"/>
  <c r="L74" i="39" s="1"/>
  <c r="B74" i="39"/>
  <c r="Z73" i="39"/>
  <c r="X73" i="39"/>
  <c r="N73" i="39"/>
  <c r="L73" i="39"/>
  <c r="B73" i="39"/>
  <c r="T72" i="39"/>
  <c r="P72" i="39"/>
  <c r="X72" i="39" s="1"/>
  <c r="H72" i="39"/>
  <c r="D72" i="39"/>
  <c r="L72" i="39" s="1"/>
  <c r="B72" i="39"/>
  <c r="Z71" i="39"/>
  <c r="X71" i="39"/>
  <c r="L71" i="39"/>
  <c r="N71" i="39" s="1"/>
  <c r="B71" i="39"/>
  <c r="T70" i="39"/>
  <c r="P70" i="39"/>
  <c r="X70" i="39" s="1"/>
  <c r="L70" i="39"/>
  <c r="H70" i="39"/>
  <c r="D70" i="39"/>
  <c r="B70" i="39"/>
  <c r="Z69" i="39"/>
  <c r="X69" i="39"/>
  <c r="N69" i="39"/>
  <c r="L69" i="39"/>
  <c r="B69" i="39"/>
  <c r="X68" i="39"/>
  <c r="Z68" i="39" s="1"/>
  <c r="N68" i="39"/>
  <c r="L68" i="39"/>
  <c r="B68" i="39"/>
  <c r="T67" i="39"/>
  <c r="P67" i="39"/>
  <c r="X67" i="39" s="1"/>
  <c r="Z67" i="39" s="1"/>
  <c r="N67" i="39"/>
  <c r="L67" i="39"/>
  <c r="H67" i="39"/>
  <c r="D67" i="39"/>
  <c r="B67" i="39"/>
  <c r="Z66" i="39"/>
  <c r="X66" i="39"/>
  <c r="L66" i="39"/>
  <c r="N66" i="39" s="1"/>
  <c r="B66" i="39"/>
  <c r="Z65" i="39"/>
  <c r="X65" i="39"/>
  <c r="T65" i="39"/>
  <c r="P65" i="39"/>
  <c r="L65" i="39"/>
  <c r="H65" i="39"/>
  <c r="D65" i="39"/>
  <c r="B65" i="39"/>
  <c r="Z64" i="39"/>
  <c r="X64" i="39"/>
  <c r="N64" i="39"/>
  <c r="L64" i="39"/>
  <c r="B64" i="39"/>
  <c r="X63" i="39"/>
  <c r="T63" i="39"/>
  <c r="Z63" i="39" s="1"/>
  <c r="P63" i="39"/>
  <c r="H63" i="39"/>
  <c r="N63" i="39" s="1"/>
  <c r="D63" i="39"/>
  <c r="B63" i="39"/>
  <c r="X62" i="39"/>
  <c r="Z62" i="39" s="1"/>
  <c r="L62" i="39"/>
  <c r="N62" i="39" s="1"/>
  <c r="B62" i="39"/>
  <c r="Z61" i="39"/>
  <c r="X61" i="39"/>
  <c r="N61" i="39"/>
  <c r="L61" i="39"/>
  <c r="B61" i="39"/>
  <c r="T60" i="39"/>
  <c r="P60" i="39"/>
  <c r="L60" i="39"/>
  <c r="N60" i="39" s="1"/>
  <c r="H60" i="39"/>
  <c r="D60" i="39"/>
  <c r="B60" i="39"/>
  <c r="Z59" i="39"/>
  <c r="X59" i="39"/>
  <c r="L59" i="39"/>
  <c r="N59" i="39" s="1"/>
  <c r="B59" i="39"/>
  <c r="T58" i="39"/>
  <c r="P58" i="39"/>
  <c r="X58" i="39" s="1"/>
  <c r="Z58" i="39" s="1"/>
  <c r="H58" i="39"/>
  <c r="D58" i="39"/>
  <c r="B58" i="39"/>
  <c r="Z57" i="39"/>
  <c r="X57" i="39"/>
  <c r="N57" i="39"/>
  <c r="L57" i="39"/>
  <c r="B57" i="39"/>
  <c r="T56" i="39"/>
  <c r="P56" i="39"/>
  <c r="L56" i="39"/>
  <c r="N56" i="39" s="1"/>
  <c r="H56" i="39"/>
  <c r="D56" i="39"/>
  <c r="B56" i="39"/>
  <c r="X55" i="39"/>
  <c r="Z55" i="39" s="1"/>
  <c r="N55" i="39"/>
  <c r="L55" i="39"/>
  <c r="B55" i="39"/>
  <c r="X54" i="39"/>
  <c r="Z54" i="39" s="1"/>
  <c r="T54" i="39"/>
  <c r="P54" i="39"/>
  <c r="H54" i="39"/>
  <c r="D54" i="39"/>
  <c r="L54" i="39" s="1"/>
  <c r="B54" i="39"/>
  <c r="Z53" i="39"/>
  <c r="X53" i="39"/>
  <c r="N53" i="39"/>
  <c r="L53" i="39"/>
  <c r="B53" i="39"/>
  <c r="Z52" i="39"/>
  <c r="X52" i="39"/>
  <c r="N52" i="39"/>
  <c r="L52" i="39"/>
  <c r="B52" i="39"/>
  <c r="Z51" i="39"/>
  <c r="X51" i="39"/>
  <c r="N51" i="39"/>
  <c r="L51" i="39"/>
  <c r="B51" i="39"/>
  <c r="X50" i="39"/>
  <c r="Z50" i="39" s="1"/>
  <c r="V50" i="39"/>
  <c r="L50" i="39"/>
  <c r="N50" i="39" s="1"/>
  <c r="B50" i="39"/>
  <c r="X49" i="39"/>
  <c r="Z49" i="39" s="1"/>
  <c r="N49" i="39"/>
  <c r="L49" i="39"/>
  <c r="B49" i="39"/>
  <c r="X48" i="39"/>
  <c r="Z48" i="39" s="1"/>
  <c r="N48" i="39"/>
  <c r="L48" i="39"/>
  <c r="B48" i="39"/>
  <c r="Z47" i="39"/>
  <c r="X47" i="39"/>
  <c r="L47" i="39"/>
  <c r="N47" i="39" s="1"/>
  <c r="B47" i="39"/>
  <c r="T46" i="39"/>
  <c r="P46" i="39"/>
  <c r="X46" i="39" s="1"/>
  <c r="H46" i="39"/>
  <c r="D46" i="39"/>
  <c r="B46" i="39"/>
  <c r="X45" i="39"/>
  <c r="Z45" i="39" s="1"/>
  <c r="N45" i="39"/>
  <c r="L45" i="39"/>
  <c r="B45" i="39"/>
  <c r="Z44" i="39"/>
  <c r="X44" i="39"/>
  <c r="N44" i="39"/>
  <c r="L44" i="39"/>
  <c r="B44" i="39"/>
  <c r="Z43" i="39"/>
  <c r="X43" i="39"/>
  <c r="L43" i="39"/>
  <c r="N43" i="39" s="1"/>
  <c r="B43" i="39"/>
  <c r="Z42" i="39"/>
  <c r="X42" i="39"/>
  <c r="N42" i="39"/>
  <c r="L42" i="39"/>
  <c r="B42" i="39"/>
  <c r="Z41" i="39"/>
  <c r="X41" i="39"/>
  <c r="L41" i="39"/>
  <c r="N41" i="39" s="1"/>
  <c r="B41" i="39"/>
  <c r="Z40" i="39"/>
  <c r="X40" i="39"/>
  <c r="L40" i="39"/>
  <c r="N40" i="39" s="1"/>
  <c r="B40" i="39"/>
  <c r="X39" i="39"/>
  <c r="Z39" i="39" s="1"/>
  <c r="N39" i="39"/>
  <c r="L39" i="39"/>
  <c r="B39" i="39"/>
  <c r="X38" i="39"/>
  <c r="Z38" i="39" s="1"/>
  <c r="L38" i="39"/>
  <c r="N38" i="39" s="1"/>
  <c r="B38" i="39"/>
  <c r="X37" i="39"/>
  <c r="Z37" i="39" s="1"/>
  <c r="N37" i="39"/>
  <c r="L37" i="39"/>
  <c r="B37" i="39"/>
  <c r="T36" i="39"/>
  <c r="P36" i="39"/>
  <c r="L36" i="39"/>
  <c r="N36" i="39" s="1"/>
  <c r="H36" i="39"/>
  <c r="D36" i="39"/>
  <c r="B36" i="39"/>
  <c r="T35" i="39" a="1"/>
  <c r="T35" i="39" s="1"/>
  <c r="P35" i="39" a="1"/>
  <c r="P35" i="39"/>
  <c r="H35" i="39" a="1"/>
  <c r="H35" i="39" s="1"/>
  <c r="D35" i="39" a="1"/>
  <c r="D35" i="39" s="1"/>
  <c r="Z31" i="39"/>
  <c r="X31" i="39"/>
  <c r="L31" i="39"/>
  <c r="N31" i="39" s="1"/>
  <c r="B31" i="39"/>
  <c r="X30" i="39"/>
  <c r="Z30" i="39" s="1"/>
  <c r="L30" i="39"/>
  <c r="N30" i="39" s="1"/>
  <c r="B30" i="39"/>
  <c r="Z29" i="39"/>
  <c r="X29" i="39"/>
  <c r="N29" i="39"/>
  <c r="L29" i="39"/>
  <c r="B29" i="39"/>
  <c r="Z28" i="39"/>
  <c r="T28" i="39"/>
  <c r="P28" i="39"/>
  <c r="X28" i="39" s="1"/>
  <c r="L28" i="39"/>
  <c r="H28" i="39"/>
  <c r="D28" i="39"/>
  <c r="T26" i="39"/>
  <c r="P26" i="39"/>
  <c r="X26" i="39" s="1"/>
  <c r="Z26" i="39" s="1"/>
  <c r="H26" i="39"/>
  <c r="N26" i="39" s="1"/>
  <c r="D26" i="39"/>
  <c r="L26" i="39" s="1"/>
  <c r="B26" i="39"/>
  <c r="T25" i="39"/>
  <c r="P25" i="39"/>
  <c r="X25" i="39" s="1"/>
  <c r="Z25" i="39" s="1"/>
  <c r="L25" i="39"/>
  <c r="H25" i="39"/>
  <c r="D25" i="39"/>
  <c r="B25" i="39"/>
  <c r="T24" i="39"/>
  <c r="P24" i="39"/>
  <c r="L24" i="39"/>
  <c r="N24" i="39" s="1"/>
  <c r="H24" i="39"/>
  <c r="D24" i="39"/>
  <c r="B24" i="39"/>
  <c r="Z23" i="39"/>
  <c r="T23" i="39"/>
  <c r="P23" i="39"/>
  <c r="X23" i="39" s="1"/>
  <c r="N23" i="39"/>
  <c r="H23" i="39"/>
  <c r="L23" i="39" s="1"/>
  <c r="D23" i="39"/>
  <c r="B23" i="39"/>
  <c r="Z22" i="39"/>
  <c r="T22" i="39"/>
  <c r="P22" i="39"/>
  <c r="X22" i="39" s="1"/>
  <c r="N22" i="39"/>
  <c r="H22" i="39"/>
  <c r="D22" i="39"/>
  <c r="L22" i="39" s="1"/>
  <c r="B22" i="39"/>
  <c r="T21" i="39"/>
  <c r="P21" i="39"/>
  <c r="X21" i="39" s="1"/>
  <c r="N21" i="39"/>
  <c r="H21" i="39"/>
  <c r="D21" i="39"/>
  <c r="L21" i="39" s="1"/>
  <c r="B21" i="39"/>
  <c r="Z20" i="39"/>
  <c r="T20" i="39"/>
  <c r="P20" i="39"/>
  <c r="X20" i="39" s="1"/>
  <c r="L20" i="39"/>
  <c r="H20" i="39"/>
  <c r="N20" i="39" s="1"/>
  <c r="D20" i="39"/>
  <c r="B20" i="39"/>
  <c r="X19" i="39"/>
  <c r="Z19" i="39" s="1"/>
  <c r="T19" i="39"/>
  <c r="P19" i="39"/>
  <c r="N19" i="39"/>
  <c r="H19" i="39"/>
  <c r="D19" i="39"/>
  <c r="L19" i="39" s="1"/>
  <c r="B19" i="39"/>
  <c r="Z18" i="39"/>
  <c r="T18" i="39"/>
  <c r="P18" i="39"/>
  <c r="X18" i="39" s="1"/>
  <c r="H18" i="39"/>
  <c r="N18" i="39" s="1"/>
  <c r="D18" i="39"/>
  <c r="L18" i="39" s="1"/>
  <c r="B18" i="39"/>
  <c r="T17" i="39"/>
  <c r="P17" i="39"/>
  <c r="X17" i="39" s="1"/>
  <c r="Z17" i="39" s="1"/>
  <c r="L17" i="39"/>
  <c r="H17" i="39"/>
  <c r="D17" i="39"/>
  <c r="B17" i="39"/>
  <c r="T16" i="39"/>
  <c r="T12" i="39" s="1"/>
  <c r="V92" i="39" s="1"/>
  <c r="P16" i="39"/>
  <c r="L16" i="39"/>
  <c r="N16" i="39" s="1"/>
  <c r="H16" i="39"/>
  <c r="D16" i="39"/>
  <c r="B16" i="39"/>
  <c r="Z15" i="39"/>
  <c r="T15" i="39"/>
  <c r="P15" i="39"/>
  <c r="X15" i="39" s="1"/>
  <c r="N15" i="39"/>
  <c r="H15" i="39"/>
  <c r="L15" i="39" s="1"/>
  <c r="D15" i="39"/>
  <c r="B15" i="39"/>
  <c r="T14" i="39"/>
  <c r="P14" i="39"/>
  <c r="X14" i="39" s="1"/>
  <c r="Z14" i="39" s="1"/>
  <c r="N14" i="39"/>
  <c r="H14" i="39"/>
  <c r="D14" i="39"/>
  <c r="L14" i="39" s="1"/>
  <c r="B14" i="39"/>
  <c r="T13" i="39"/>
  <c r="Z13" i="39" s="1"/>
  <c r="P13" i="39"/>
  <c r="X13" i="39" s="1"/>
  <c r="N13" i="39"/>
  <c r="H13" i="39"/>
  <c r="D13" i="39"/>
  <c r="B13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P12" i="38"/>
  <c r="R16" i="38" s="1"/>
  <c r="H12" i="38"/>
  <c r="J18" i="38" s="1"/>
  <c r="D12" i="38"/>
  <c r="D5" i="38"/>
  <c r="D4" i="38"/>
  <c r="B39" i="37"/>
  <c r="B38" i="37"/>
  <c r="T34" i="37"/>
  <c r="Z34" i="37" s="1"/>
  <c r="P34" i="37"/>
  <c r="H34" i="37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P12" i="37"/>
  <c r="R18" i="37" s="1"/>
  <c r="H12" i="37"/>
  <c r="J22" i="37" s="1"/>
  <c r="D12" i="37"/>
  <c r="D18" i="37" s="1"/>
  <c r="D5" i="37"/>
  <c r="D4" i="37"/>
  <c r="X118" i="36"/>
  <c r="Z118" i="36" s="1"/>
  <c r="N118" i="36"/>
  <c r="L118" i="36"/>
  <c r="T114" i="36"/>
  <c r="Z114" i="36" s="1"/>
  <c r="P114" i="36"/>
  <c r="X114" i="36" s="1"/>
  <c r="L114" i="36"/>
  <c r="N114" i="36" s="1"/>
  <c r="H114" i="36"/>
  <c r="D114" i="36"/>
  <c r="B114" i="36"/>
  <c r="X113" i="36"/>
  <c r="Z113" i="36" s="1"/>
  <c r="T113" i="36"/>
  <c r="P113" i="36"/>
  <c r="H113" i="36"/>
  <c r="D113" i="36"/>
  <c r="B113" i="36"/>
  <c r="T112" i="36"/>
  <c r="P112" i="36"/>
  <c r="H112" i="36"/>
  <c r="D112" i="36"/>
  <c r="L112" i="36" s="1"/>
  <c r="B112" i="36"/>
  <c r="Z109" i="36"/>
  <c r="X109" i="36"/>
  <c r="N109" i="36"/>
  <c r="L109" i="36"/>
  <c r="B109" i="36"/>
  <c r="T108" i="36"/>
  <c r="P108" i="36"/>
  <c r="H108" i="36"/>
  <c r="D108" i="36"/>
  <c r="L108" i="36" s="1"/>
  <c r="B108" i="36"/>
  <c r="X107" i="36"/>
  <c r="Z107" i="36" s="1"/>
  <c r="N107" i="36"/>
  <c r="L107" i="36"/>
  <c r="B107" i="36"/>
  <c r="X106" i="36"/>
  <c r="Z106" i="36" s="1"/>
  <c r="N106" i="36"/>
  <c r="L106" i="36"/>
  <c r="B106" i="36"/>
  <c r="Z105" i="36"/>
  <c r="X105" i="36"/>
  <c r="N105" i="36"/>
  <c r="L105" i="36"/>
  <c r="B105" i="36"/>
  <c r="T104" i="36"/>
  <c r="P104" i="36"/>
  <c r="H104" i="36"/>
  <c r="N104" i="36" s="1"/>
  <c r="D104" i="36"/>
  <c r="L104" i="36" s="1"/>
  <c r="B104" i="36"/>
  <c r="X103" i="36"/>
  <c r="Z103" i="36" s="1"/>
  <c r="N103" i="36"/>
  <c r="L103" i="36"/>
  <c r="B103" i="36"/>
  <c r="T102" i="36"/>
  <c r="Z102" i="36" s="1"/>
  <c r="P102" i="36"/>
  <c r="X102" i="36" s="1"/>
  <c r="H102" i="36"/>
  <c r="N102" i="36" s="1"/>
  <c r="D102" i="36"/>
  <c r="L102" i="36" s="1"/>
  <c r="B102" i="36"/>
  <c r="Z101" i="36"/>
  <c r="X101" i="36"/>
  <c r="N101" i="36"/>
  <c r="L101" i="36"/>
  <c r="B101" i="36"/>
  <c r="T100" i="36"/>
  <c r="Z100" i="36" s="1"/>
  <c r="P100" i="36"/>
  <c r="X100" i="36" s="1"/>
  <c r="L100" i="36"/>
  <c r="N100" i="36" s="1"/>
  <c r="H100" i="36"/>
  <c r="D100" i="36"/>
  <c r="B100" i="36"/>
  <c r="X99" i="36"/>
  <c r="Z99" i="36" s="1"/>
  <c r="N99" i="36"/>
  <c r="L99" i="36"/>
  <c r="B99" i="36"/>
  <c r="Z98" i="36"/>
  <c r="X98" i="36"/>
  <c r="N98" i="36"/>
  <c r="L98" i="36"/>
  <c r="B98" i="36"/>
  <c r="Z97" i="36"/>
  <c r="X97" i="36"/>
  <c r="N97" i="36"/>
  <c r="L97" i="36"/>
  <c r="B97" i="36"/>
  <c r="Z96" i="36"/>
  <c r="X96" i="36"/>
  <c r="L96" i="36"/>
  <c r="N96" i="36" s="1"/>
  <c r="B96" i="36"/>
  <c r="X95" i="36"/>
  <c r="Z95" i="36" s="1"/>
  <c r="L95" i="36"/>
  <c r="N95" i="36" s="1"/>
  <c r="B95" i="36"/>
  <c r="X94" i="36"/>
  <c r="Z94" i="36" s="1"/>
  <c r="N94" i="36"/>
  <c r="L94" i="36"/>
  <c r="B94" i="36"/>
  <c r="Z93" i="36"/>
  <c r="X93" i="36"/>
  <c r="N93" i="36"/>
  <c r="L93" i="36"/>
  <c r="B93" i="36"/>
  <c r="X92" i="36"/>
  <c r="Z92" i="36" s="1"/>
  <c r="N92" i="36"/>
  <c r="L92" i="36"/>
  <c r="B92" i="36"/>
  <c r="X91" i="36"/>
  <c r="Z91" i="36" s="1"/>
  <c r="L91" i="36"/>
  <c r="N91" i="36" s="1"/>
  <c r="B91" i="36"/>
  <c r="T90" i="36"/>
  <c r="P90" i="36"/>
  <c r="X90" i="36" s="1"/>
  <c r="Z90" i="36" s="1"/>
  <c r="H90" i="36"/>
  <c r="D90" i="36"/>
  <c r="B90" i="36"/>
  <c r="Z89" i="36"/>
  <c r="X89" i="36"/>
  <c r="N89" i="36"/>
  <c r="L89" i="36"/>
  <c r="B89" i="36"/>
  <c r="X88" i="36"/>
  <c r="Z88" i="36" s="1"/>
  <c r="N88" i="36"/>
  <c r="L88" i="36"/>
  <c r="B88" i="36"/>
  <c r="X87" i="36"/>
  <c r="Z87" i="36" s="1"/>
  <c r="T87" i="36"/>
  <c r="P87" i="36"/>
  <c r="H87" i="36"/>
  <c r="L87" i="36" s="1"/>
  <c r="D87" i="36"/>
  <c r="B87" i="36"/>
  <c r="X86" i="36"/>
  <c r="Z86" i="36" s="1"/>
  <c r="N86" i="36"/>
  <c r="L86" i="36"/>
  <c r="B86" i="36"/>
  <c r="Z85" i="36"/>
  <c r="X85" i="36"/>
  <c r="N85" i="36"/>
  <c r="L85" i="36"/>
  <c r="B85" i="36"/>
  <c r="X84" i="36"/>
  <c r="Z84" i="36" s="1"/>
  <c r="N84" i="36"/>
  <c r="L84" i="36"/>
  <c r="B84" i="36"/>
  <c r="X83" i="36"/>
  <c r="Z83" i="36" s="1"/>
  <c r="L83" i="36"/>
  <c r="N83" i="36" s="1"/>
  <c r="B83" i="36"/>
  <c r="T82" i="36"/>
  <c r="P82" i="36"/>
  <c r="X82" i="36" s="1"/>
  <c r="Z82" i="36" s="1"/>
  <c r="H82" i="36"/>
  <c r="D82" i="36"/>
  <c r="B82" i="36"/>
  <c r="Z81" i="36"/>
  <c r="X81" i="36"/>
  <c r="N81" i="36"/>
  <c r="L81" i="36"/>
  <c r="B81" i="36"/>
  <c r="T80" i="36"/>
  <c r="P80" i="36"/>
  <c r="L80" i="36"/>
  <c r="H80" i="36"/>
  <c r="N80" i="36" s="1"/>
  <c r="D80" i="36"/>
  <c r="B80" i="36"/>
  <c r="X79" i="36"/>
  <c r="Z79" i="36" s="1"/>
  <c r="L79" i="36"/>
  <c r="N79" i="36" s="1"/>
  <c r="B79" i="36"/>
  <c r="X78" i="36"/>
  <c r="Z78" i="36" s="1"/>
  <c r="L78" i="36"/>
  <c r="N78" i="36" s="1"/>
  <c r="B78" i="36"/>
  <c r="Z77" i="36"/>
  <c r="X77" i="36"/>
  <c r="N77" i="36"/>
  <c r="L77" i="36"/>
  <c r="B77" i="36"/>
  <c r="X76" i="36"/>
  <c r="Z76" i="36" s="1"/>
  <c r="N76" i="36"/>
  <c r="L76" i="36"/>
  <c r="B76" i="36"/>
  <c r="X75" i="36"/>
  <c r="Z75" i="36" s="1"/>
  <c r="T75" i="36"/>
  <c r="P75" i="36"/>
  <c r="H75" i="36"/>
  <c r="L75" i="36" s="1"/>
  <c r="D75" i="36"/>
  <c r="B75" i="36"/>
  <c r="X74" i="36"/>
  <c r="Z74" i="36" s="1"/>
  <c r="L74" i="36"/>
  <c r="N74" i="36" s="1"/>
  <c r="B74" i="36"/>
  <c r="T73" i="36"/>
  <c r="X73" i="36" s="1"/>
  <c r="P73" i="36"/>
  <c r="H73" i="36"/>
  <c r="D73" i="36"/>
  <c r="L73" i="36" s="1"/>
  <c r="B73" i="36"/>
  <c r="Z72" i="36"/>
  <c r="X72" i="36"/>
  <c r="L72" i="36"/>
  <c r="N72" i="36" s="1"/>
  <c r="B72" i="36"/>
  <c r="T71" i="36"/>
  <c r="P71" i="36"/>
  <c r="X71" i="36" s="1"/>
  <c r="H71" i="36"/>
  <c r="D71" i="36"/>
  <c r="L71" i="36" s="1"/>
  <c r="N71" i="36" s="1"/>
  <c r="B71" i="36"/>
  <c r="X70" i="36"/>
  <c r="Z70" i="36" s="1"/>
  <c r="L70" i="36"/>
  <c r="N70" i="36" s="1"/>
  <c r="B70" i="36"/>
  <c r="T69" i="36"/>
  <c r="P69" i="36"/>
  <c r="X69" i="36" s="1"/>
  <c r="Z69" i="36" s="1"/>
  <c r="L69" i="36"/>
  <c r="N69" i="36" s="1"/>
  <c r="H69" i="36"/>
  <c r="D69" i="36"/>
  <c r="B69" i="36"/>
  <c r="X68" i="36"/>
  <c r="Z68" i="36" s="1"/>
  <c r="N68" i="36"/>
  <c r="L68" i="36"/>
  <c r="B68" i="36"/>
  <c r="X67" i="36"/>
  <c r="Z67" i="36" s="1"/>
  <c r="T67" i="36"/>
  <c r="P67" i="36"/>
  <c r="H67" i="36"/>
  <c r="L67" i="36" s="1"/>
  <c r="D67" i="36"/>
  <c r="B67" i="36"/>
  <c r="X66" i="36"/>
  <c r="Z66" i="36" s="1"/>
  <c r="L66" i="36"/>
  <c r="N66" i="36" s="1"/>
  <c r="B66" i="36"/>
  <c r="T65" i="36"/>
  <c r="X65" i="36" s="1"/>
  <c r="P65" i="36"/>
  <c r="H65" i="36"/>
  <c r="D65" i="36"/>
  <c r="L65" i="36" s="1"/>
  <c r="B65" i="36"/>
  <c r="Z64" i="36"/>
  <c r="X64" i="36"/>
  <c r="L64" i="36"/>
  <c r="N64" i="36" s="1"/>
  <c r="B64" i="36"/>
  <c r="T63" i="36"/>
  <c r="P63" i="36"/>
  <c r="X63" i="36" s="1"/>
  <c r="H63" i="36"/>
  <c r="D63" i="36"/>
  <c r="L63" i="36" s="1"/>
  <c r="N63" i="36" s="1"/>
  <c r="B63" i="36"/>
  <c r="X62" i="36"/>
  <c r="Z62" i="36" s="1"/>
  <c r="L62" i="36"/>
  <c r="N62" i="36" s="1"/>
  <c r="B62" i="36"/>
  <c r="T61" i="36"/>
  <c r="P61" i="36"/>
  <c r="X61" i="36" s="1"/>
  <c r="Z61" i="36" s="1"/>
  <c r="L61" i="36"/>
  <c r="N61" i="36" s="1"/>
  <c r="H61" i="36"/>
  <c r="D61" i="36"/>
  <c r="B61" i="36"/>
  <c r="X60" i="36"/>
  <c r="Z60" i="36" s="1"/>
  <c r="N60" i="36"/>
  <c r="L60" i="36"/>
  <c r="B60" i="36"/>
  <c r="X59" i="36"/>
  <c r="Z59" i="36" s="1"/>
  <c r="T59" i="36"/>
  <c r="P59" i="36"/>
  <c r="H59" i="36"/>
  <c r="L59" i="36" s="1"/>
  <c r="D59" i="36"/>
  <c r="B59" i="36"/>
  <c r="X58" i="36"/>
  <c r="Z58" i="36" s="1"/>
  <c r="L58" i="36"/>
  <c r="N58" i="36" s="1"/>
  <c r="B58" i="36"/>
  <c r="T57" i="36"/>
  <c r="X57" i="36" s="1"/>
  <c r="P57" i="36"/>
  <c r="H57" i="36"/>
  <c r="D57" i="36"/>
  <c r="L57" i="36" s="1"/>
  <c r="B57" i="36"/>
  <c r="Z56" i="36"/>
  <c r="X56" i="36"/>
  <c r="L56" i="36"/>
  <c r="N56" i="36" s="1"/>
  <c r="B56" i="36"/>
  <c r="X55" i="36"/>
  <c r="Z55" i="36" s="1"/>
  <c r="L55" i="36"/>
  <c r="N55" i="36" s="1"/>
  <c r="B55" i="36"/>
  <c r="X54" i="36"/>
  <c r="T54" i="36"/>
  <c r="Z54" i="36" s="1"/>
  <c r="P54" i="36"/>
  <c r="H54" i="36"/>
  <c r="D54" i="36"/>
  <c r="L54" i="36" s="1"/>
  <c r="B54" i="36"/>
  <c r="Z53" i="36"/>
  <c r="X53" i="36"/>
  <c r="N53" i="36"/>
  <c r="L53" i="36"/>
  <c r="B53" i="36"/>
  <c r="T52" i="36"/>
  <c r="P52" i="36"/>
  <c r="H52" i="36"/>
  <c r="D52" i="36"/>
  <c r="L52" i="36" s="1"/>
  <c r="N52" i="36" s="1"/>
  <c r="B52" i="36"/>
  <c r="X51" i="36"/>
  <c r="Z51" i="36" s="1"/>
  <c r="L51" i="36"/>
  <c r="N51" i="36" s="1"/>
  <c r="B51" i="36"/>
  <c r="X50" i="36"/>
  <c r="Z50" i="36" s="1"/>
  <c r="T50" i="36"/>
  <c r="P50" i="36"/>
  <c r="H50" i="36"/>
  <c r="D50" i="36"/>
  <c r="B50" i="36"/>
  <c r="Z49" i="36"/>
  <c r="X49" i="36"/>
  <c r="N49" i="36"/>
  <c r="L49" i="36"/>
  <c r="B49" i="36"/>
  <c r="T48" i="36"/>
  <c r="P48" i="36"/>
  <c r="L48" i="36"/>
  <c r="H48" i="36"/>
  <c r="D48" i="36"/>
  <c r="B48" i="36"/>
  <c r="X47" i="36"/>
  <c r="Z47" i="36" s="1"/>
  <c r="N47" i="36"/>
  <c r="L47" i="36"/>
  <c r="B47" i="36"/>
  <c r="X46" i="36"/>
  <c r="Z46" i="36" s="1"/>
  <c r="N46" i="36"/>
  <c r="L46" i="36"/>
  <c r="B46" i="36"/>
  <c r="Z45" i="36"/>
  <c r="X45" i="36"/>
  <c r="N45" i="36"/>
  <c r="L45" i="36"/>
  <c r="B45" i="36"/>
  <c r="X44" i="36"/>
  <c r="Z44" i="36" s="1"/>
  <c r="N44" i="36"/>
  <c r="L44" i="36"/>
  <c r="B44" i="36"/>
  <c r="X43" i="36"/>
  <c r="Z43" i="36" s="1"/>
  <c r="L43" i="36"/>
  <c r="N43" i="36" s="1"/>
  <c r="B43" i="36"/>
  <c r="X42" i="36"/>
  <c r="Z42" i="36" s="1"/>
  <c r="L42" i="36"/>
  <c r="N42" i="36" s="1"/>
  <c r="B42" i="36"/>
  <c r="Z41" i="36"/>
  <c r="X41" i="36"/>
  <c r="N41" i="36"/>
  <c r="L41" i="36"/>
  <c r="B41" i="36"/>
  <c r="T40" i="36"/>
  <c r="P40" i="36"/>
  <c r="H40" i="36"/>
  <c r="D40" i="36"/>
  <c r="L40" i="36" s="1"/>
  <c r="N40" i="36" s="1"/>
  <c r="B40" i="36"/>
  <c r="X39" i="36"/>
  <c r="Z39" i="36" s="1"/>
  <c r="L39" i="36"/>
  <c r="N39" i="36" s="1"/>
  <c r="B39" i="36"/>
  <c r="X38" i="36"/>
  <c r="Z38" i="36" s="1"/>
  <c r="L38" i="36"/>
  <c r="N38" i="36" s="1"/>
  <c r="B38" i="36"/>
  <c r="Z37" i="36"/>
  <c r="X37" i="36"/>
  <c r="N37" i="36"/>
  <c r="L37" i="36"/>
  <c r="B37" i="36"/>
  <c r="Z36" i="36"/>
  <c r="X36" i="36"/>
  <c r="L36" i="36"/>
  <c r="N36" i="36" s="1"/>
  <c r="B36" i="36"/>
  <c r="X35" i="36"/>
  <c r="Z35" i="36" s="1"/>
  <c r="L35" i="36"/>
  <c r="N35" i="36" s="1"/>
  <c r="B35" i="36"/>
  <c r="X34" i="36"/>
  <c r="Z34" i="36" s="1"/>
  <c r="L34" i="36"/>
  <c r="N34" i="36" s="1"/>
  <c r="B34" i="36"/>
  <c r="Z33" i="36"/>
  <c r="X33" i="36"/>
  <c r="N33" i="36"/>
  <c r="L33" i="36"/>
  <c r="B33" i="36"/>
  <c r="X32" i="36"/>
  <c r="Z32" i="36" s="1"/>
  <c r="N32" i="36"/>
  <c r="L32" i="36"/>
  <c r="B32" i="36"/>
  <c r="X31" i="36"/>
  <c r="Z31" i="36" s="1"/>
  <c r="L31" i="36"/>
  <c r="N31" i="36" s="1"/>
  <c r="B31" i="36"/>
  <c r="Z30" i="36"/>
  <c r="X30" i="36"/>
  <c r="T30" i="36"/>
  <c r="P30" i="36"/>
  <c r="H30" i="36"/>
  <c r="D30" i="36"/>
  <c r="B30" i="36"/>
  <c r="T29" i="36" a="1"/>
  <c r="T29" i="36" s="1"/>
  <c r="P29" i="36" a="1"/>
  <c r="P29" i="36"/>
  <c r="H29" i="36" a="1"/>
  <c r="H29" i="36"/>
  <c r="D29" i="36" a="1"/>
  <c r="D29" i="36" s="1"/>
  <c r="Z25" i="36"/>
  <c r="X25" i="36"/>
  <c r="N25" i="36"/>
  <c r="L25" i="36"/>
  <c r="B25" i="36"/>
  <c r="X24" i="36"/>
  <c r="Z24" i="36" s="1"/>
  <c r="L24" i="36"/>
  <c r="N24" i="36" s="1"/>
  <c r="B24" i="36"/>
  <c r="T23" i="36"/>
  <c r="P23" i="36"/>
  <c r="X23" i="36" s="1"/>
  <c r="H23" i="36"/>
  <c r="D23" i="36"/>
  <c r="L23" i="36" s="1"/>
  <c r="N23" i="36" s="1"/>
  <c r="X21" i="36"/>
  <c r="T21" i="36"/>
  <c r="Z21" i="36" s="1"/>
  <c r="P21" i="36"/>
  <c r="H21" i="36"/>
  <c r="N21" i="36" s="1"/>
  <c r="D21" i="36"/>
  <c r="B21" i="36"/>
  <c r="X20" i="36"/>
  <c r="Z20" i="36" s="1"/>
  <c r="T20" i="36"/>
  <c r="P20" i="36"/>
  <c r="L20" i="36"/>
  <c r="H20" i="36"/>
  <c r="N20" i="36" s="1"/>
  <c r="D20" i="36"/>
  <c r="B20" i="36"/>
  <c r="Z19" i="36"/>
  <c r="T19" i="36"/>
  <c r="P19" i="36"/>
  <c r="X19" i="36" s="1"/>
  <c r="H19" i="36"/>
  <c r="D19" i="36"/>
  <c r="L19" i="36" s="1"/>
  <c r="N19" i="36" s="1"/>
  <c r="B19" i="36"/>
  <c r="T18" i="36"/>
  <c r="P18" i="36"/>
  <c r="X18" i="36" s="1"/>
  <c r="H18" i="36"/>
  <c r="D18" i="36"/>
  <c r="B18" i="36"/>
  <c r="T17" i="36"/>
  <c r="P17" i="36"/>
  <c r="X17" i="36" s="1"/>
  <c r="H17" i="36"/>
  <c r="N17" i="36" s="1"/>
  <c r="D17" i="36"/>
  <c r="B17" i="36"/>
  <c r="X16" i="36"/>
  <c r="T16" i="36"/>
  <c r="Z16" i="36" s="1"/>
  <c r="P16" i="36"/>
  <c r="N16" i="36"/>
  <c r="L16" i="36"/>
  <c r="H16" i="36"/>
  <c r="D16" i="36"/>
  <c r="B16" i="36"/>
  <c r="T15" i="36"/>
  <c r="P15" i="36"/>
  <c r="X15" i="36" s="1"/>
  <c r="Z15" i="36" s="1"/>
  <c r="N15" i="36"/>
  <c r="H15" i="36"/>
  <c r="D15" i="36"/>
  <c r="L15" i="36" s="1"/>
  <c r="B15" i="36"/>
  <c r="T14" i="36"/>
  <c r="P14" i="36"/>
  <c r="H14" i="36"/>
  <c r="D14" i="36"/>
  <c r="B14" i="36"/>
  <c r="T13" i="36"/>
  <c r="P13" i="36"/>
  <c r="H13" i="36"/>
  <c r="D13" i="36"/>
  <c r="B13" i="36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P20" i="35"/>
  <c r="H20" i="35"/>
  <c r="N20" i="35" s="1"/>
  <c r="D20" i="35"/>
  <c r="T16" i="35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4" i="35" s="1"/>
  <c r="P12" i="35"/>
  <c r="R29" i="35" s="1"/>
  <c r="H12" i="35"/>
  <c r="D12" i="35"/>
  <c r="D5" i="35"/>
  <c r="D4" i="35"/>
  <c r="Z170" i="34"/>
  <c r="X170" i="34"/>
  <c r="N170" i="34"/>
  <c r="L170" i="34"/>
  <c r="T166" i="34"/>
  <c r="P166" i="34"/>
  <c r="L166" i="34"/>
  <c r="H166" i="34"/>
  <c r="D166" i="34"/>
  <c r="D163" i="34" s="1"/>
  <c r="B166" i="34"/>
  <c r="T165" i="34"/>
  <c r="P165" i="34"/>
  <c r="X165" i="34" s="1"/>
  <c r="N165" i="34"/>
  <c r="H165" i="34"/>
  <c r="D165" i="34"/>
  <c r="L165" i="34" s="1"/>
  <c r="B165" i="34"/>
  <c r="T164" i="34"/>
  <c r="P164" i="34"/>
  <c r="H164" i="34"/>
  <c r="D164" i="34"/>
  <c r="B164" i="34"/>
  <c r="T163" i="34"/>
  <c r="Z161" i="34"/>
  <c r="X161" i="34"/>
  <c r="N161" i="34"/>
  <c r="L161" i="34"/>
  <c r="B161" i="34"/>
  <c r="T160" i="34"/>
  <c r="P160" i="34"/>
  <c r="L160" i="34"/>
  <c r="N160" i="34" s="1"/>
  <c r="H160" i="34"/>
  <c r="D160" i="34"/>
  <c r="B160" i="34"/>
  <c r="X159" i="34"/>
  <c r="Z159" i="34" s="1"/>
  <c r="V159" i="34"/>
  <c r="L159" i="34"/>
  <c r="N159" i="34" s="1"/>
  <c r="B159" i="34"/>
  <c r="T158" i="34"/>
  <c r="P158" i="34"/>
  <c r="X158" i="34" s="1"/>
  <c r="Z158" i="34" s="1"/>
  <c r="H158" i="34"/>
  <c r="D158" i="34"/>
  <c r="B158" i="34"/>
  <c r="Z157" i="34"/>
  <c r="X157" i="34"/>
  <c r="N157" i="34"/>
  <c r="L157" i="34"/>
  <c r="B157" i="34"/>
  <c r="T156" i="34"/>
  <c r="P156" i="34"/>
  <c r="H156" i="34"/>
  <c r="N156" i="34" s="1"/>
  <c r="D156" i="34"/>
  <c r="L156" i="34" s="1"/>
  <c r="B156" i="34"/>
  <c r="X155" i="34"/>
  <c r="Z155" i="34" s="1"/>
  <c r="L155" i="34"/>
  <c r="N155" i="34" s="1"/>
  <c r="B155" i="34"/>
  <c r="X154" i="34"/>
  <c r="T154" i="34"/>
  <c r="Z154" i="34" s="1"/>
  <c r="P154" i="34"/>
  <c r="H154" i="34"/>
  <c r="D154" i="34"/>
  <c r="B154" i="34"/>
  <c r="Z153" i="34"/>
  <c r="X153" i="34"/>
  <c r="N153" i="34"/>
  <c r="L153" i="34"/>
  <c r="B153" i="34"/>
  <c r="Z152" i="34"/>
  <c r="X152" i="34"/>
  <c r="N152" i="34"/>
  <c r="L152" i="34"/>
  <c r="B152" i="34"/>
  <c r="Z151" i="34"/>
  <c r="X151" i="34"/>
  <c r="L151" i="34"/>
  <c r="N151" i="34" s="1"/>
  <c r="B151" i="34"/>
  <c r="X150" i="34"/>
  <c r="Z150" i="34" s="1"/>
  <c r="N150" i="34"/>
  <c r="L150" i="34"/>
  <c r="B150" i="34"/>
  <c r="X149" i="34"/>
  <c r="Z149" i="34" s="1"/>
  <c r="N149" i="34"/>
  <c r="L149" i="34"/>
  <c r="B149" i="34"/>
  <c r="Z148" i="34"/>
  <c r="X148" i="34"/>
  <c r="N148" i="34"/>
  <c r="L148" i="34"/>
  <c r="B148" i="34"/>
  <c r="X147" i="34"/>
  <c r="Z147" i="34" s="1"/>
  <c r="T147" i="34"/>
  <c r="P147" i="34"/>
  <c r="H147" i="34"/>
  <c r="D147" i="34"/>
  <c r="B147" i="34"/>
  <c r="X146" i="34"/>
  <c r="Z146" i="34" s="1"/>
  <c r="V146" i="34"/>
  <c r="L146" i="34"/>
  <c r="N146" i="34" s="1"/>
  <c r="B146" i="34"/>
  <c r="Z145" i="34"/>
  <c r="X145" i="34"/>
  <c r="N145" i="34"/>
  <c r="L145" i="34"/>
  <c r="B145" i="34"/>
  <c r="T144" i="34"/>
  <c r="X144" i="34" s="1"/>
  <c r="P144" i="34"/>
  <c r="H144" i="34"/>
  <c r="N144" i="34" s="1"/>
  <c r="D144" i="34"/>
  <c r="L144" i="34" s="1"/>
  <c r="B144" i="34"/>
  <c r="X143" i="34"/>
  <c r="Z143" i="34" s="1"/>
  <c r="L143" i="34"/>
  <c r="N143" i="34" s="1"/>
  <c r="B143" i="34"/>
  <c r="X142" i="34"/>
  <c r="Z142" i="34" s="1"/>
  <c r="N142" i="34"/>
  <c r="L142" i="34"/>
  <c r="B142" i="34"/>
  <c r="X141" i="34"/>
  <c r="Z141" i="34" s="1"/>
  <c r="N141" i="34"/>
  <c r="L141" i="34"/>
  <c r="B141" i="34"/>
  <c r="Z140" i="34"/>
  <c r="X140" i="34"/>
  <c r="N140" i="34"/>
  <c r="L140" i="34"/>
  <c r="B140" i="34"/>
  <c r="X139" i="34"/>
  <c r="Z139" i="34" s="1"/>
  <c r="T139" i="34"/>
  <c r="P139" i="34"/>
  <c r="H139" i="34"/>
  <c r="D139" i="34"/>
  <c r="B139" i="34"/>
  <c r="Z138" i="34"/>
  <c r="X138" i="34"/>
  <c r="N138" i="34"/>
  <c r="L138" i="34"/>
  <c r="B138" i="34"/>
  <c r="Z137" i="34"/>
  <c r="X137" i="34"/>
  <c r="N137" i="34"/>
  <c r="L137" i="34"/>
  <c r="B137" i="34"/>
  <c r="Z136" i="34"/>
  <c r="T136" i="34"/>
  <c r="X136" i="34" s="1"/>
  <c r="P136" i="34"/>
  <c r="H136" i="34"/>
  <c r="D136" i="34"/>
  <c r="L136" i="34" s="1"/>
  <c r="B136" i="34"/>
  <c r="Z135" i="34"/>
  <c r="X135" i="34"/>
  <c r="N135" i="34"/>
  <c r="L135" i="34"/>
  <c r="B135" i="34"/>
  <c r="X134" i="34"/>
  <c r="Z134" i="34" s="1"/>
  <c r="N134" i="34"/>
  <c r="L134" i="34"/>
  <c r="B134" i="34"/>
  <c r="X133" i="34"/>
  <c r="Z133" i="34" s="1"/>
  <c r="N133" i="34"/>
  <c r="L133" i="34"/>
  <c r="B133" i="34"/>
  <c r="Z132" i="34"/>
  <c r="T132" i="34"/>
  <c r="X132" i="34" s="1"/>
  <c r="P132" i="34"/>
  <c r="H132" i="34"/>
  <c r="N132" i="34" s="1"/>
  <c r="D132" i="34"/>
  <c r="L132" i="34" s="1"/>
  <c r="B132" i="34"/>
  <c r="Z131" i="34"/>
  <c r="X131" i="34"/>
  <c r="L131" i="34"/>
  <c r="N131" i="34" s="1"/>
  <c r="B131" i="34"/>
  <c r="T130" i="34"/>
  <c r="P130" i="34"/>
  <c r="X130" i="34" s="1"/>
  <c r="H130" i="34"/>
  <c r="D130" i="34"/>
  <c r="L130" i="34" s="1"/>
  <c r="B130" i="34"/>
  <c r="Z129" i="34"/>
  <c r="X129" i="34"/>
  <c r="N129" i="34"/>
  <c r="L129" i="34"/>
  <c r="B129" i="34"/>
  <c r="T128" i="34"/>
  <c r="Z128" i="34" s="1"/>
  <c r="P128" i="34"/>
  <c r="N128" i="34"/>
  <c r="L128" i="34"/>
  <c r="H128" i="34"/>
  <c r="D128" i="34"/>
  <c r="B128" i="34"/>
  <c r="Z127" i="34"/>
  <c r="X127" i="34"/>
  <c r="N127" i="34"/>
  <c r="L127" i="34"/>
  <c r="B127" i="34"/>
  <c r="Z126" i="34"/>
  <c r="X126" i="34"/>
  <c r="L126" i="34"/>
  <c r="N126" i="34" s="1"/>
  <c r="B126" i="34"/>
  <c r="T125" i="34"/>
  <c r="P125" i="34"/>
  <c r="X125" i="34" s="1"/>
  <c r="Z125" i="34" s="1"/>
  <c r="L125" i="34"/>
  <c r="N125" i="34" s="1"/>
  <c r="H125" i="34"/>
  <c r="D125" i="34"/>
  <c r="B125" i="34"/>
  <c r="Z124" i="34"/>
  <c r="X124" i="34"/>
  <c r="V124" i="34"/>
  <c r="L124" i="34"/>
  <c r="N124" i="34" s="1"/>
  <c r="B124" i="34"/>
  <c r="X123" i="34"/>
  <c r="Z123" i="34" s="1"/>
  <c r="T123" i="34"/>
  <c r="P123" i="34"/>
  <c r="H123" i="34"/>
  <c r="D123" i="34"/>
  <c r="B123" i="34"/>
  <c r="X122" i="34"/>
  <c r="Z122" i="34" s="1"/>
  <c r="V122" i="34"/>
  <c r="L122" i="34"/>
  <c r="N122" i="34" s="1"/>
  <c r="B122" i="34"/>
  <c r="Z121" i="34"/>
  <c r="X121" i="34"/>
  <c r="T121" i="34"/>
  <c r="P121" i="34"/>
  <c r="H121" i="34"/>
  <c r="D121" i="34"/>
  <c r="L121" i="34" s="1"/>
  <c r="B121" i="34"/>
  <c r="X120" i="34"/>
  <c r="Z120" i="34" s="1"/>
  <c r="N120" i="34"/>
  <c r="L120" i="34"/>
  <c r="B120" i="34"/>
  <c r="X119" i="34"/>
  <c r="Z119" i="34" s="1"/>
  <c r="L119" i="34"/>
  <c r="N119" i="34" s="1"/>
  <c r="B119" i="34"/>
  <c r="X118" i="34"/>
  <c r="T118" i="34"/>
  <c r="Z118" i="34" s="1"/>
  <c r="P118" i="34"/>
  <c r="H118" i="34"/>
  <c r="D118" i="34"/>
  <c r="B118" i="34"/>
  <c r="Z117" i="34"/>
  <c r="X117" i="34"/>
  <c r="N117" i="34"/>
  <c r="L117" i="34"/>
  <c r="B117" i="34"/>
  <c r="T116" i="34"/>
  <c r="Z116" i="34" s="1"/>
  <c r="P116" i="34"/>
  <c r="X116" i="34" s="1"/>
  <c r="N116" i="34"/>
  <c r="H116" i="34"/>
  <c r="D116" i="34"/>
  <c r="L116" i="34" s="1"/>
  <c r="B116" i="34"/>
  <c r="Z115" i="34"/>
  <c r="X115" i="34"/>
  <c r="N115" i="34"/>
  <c r="L115" i="34"/>
  <c r="B115" i="34"/>
  <c r="Z114" i="34"/>
  <c r="T114" i="34"/>
  <c r="P114" i="34"/>
  <c r="X114" i="34" s="1"/>
  <c r="H114" i="34"/>
  <c r="L114" i="34" s="1"/>
  <c r="D114" i="34"/>
  <c r="B114" i="34"/>
  <c r="Z113" i="34"/>
  <c r="X113" i="34"/>
  <c r="N113" i="34"/>
  <c r="L113" i="34"/>
  <c r="B113" i="34"/>
  <c r="Z112" i="34"/>
  <c r="X112" i="34"/>
  <c r="N112" i="34"/>
  <c r="L112" i="34"/>
  <c r="B112" i="34"/>
  <c r="Z111" i="34"/>
  <c r="X111" i="34"/>
  <c r="T111" i="34"/>
  <c r="P111" i="34"/>
  <c r="H111" i="34"/>
  <c r="N111" i="34" s="1"/>
  <c r="D111" i="34"/>
  <c r="B111" i="34"/>
  <c r="X110" i="34"/>
  <c r="Z110" i="34" s="1"/>
  <c r="N110" i="34"/>
  <c r="L110" i="34"/>
  <c r="B110" i="34"/>
  <c r="Z109" i="34"/>
  <c r="T109" i="34"/>
  <c r="X109" i="34" s="1"/>
  <c r="P109" i="34"/>
  <c r="H109" i="34"/>
  <c r="D109" i="34"/>
  <c r="L109" i="34" s="1"/>
  <c r="B109" i="34"/>
  <c r="X108" i="34"/>
  <c r="Z108" i="34" s="1"/>
  <c r="N108" i="34"/>
  <c r="L108" i="34"/>
  <c r="B108" i="34"/>
  <c r="V107" i="34"/>
  <c r="T107" i="34"/>
  <c r="P107" i="34"/>
  <c r="X107" i="34" s="1"/>
  <c r="N107" i="34"/>
  <c r="H107" i="34"/>
  <c r="D107" i="34"/>
  <c r="L107" i="34" s="1"/>
  <c r="B107" i="34"/>
  <c r="Z106" i="34"/>
  <c r="X106" i="34"/>
  <c r="L106" i="34"/>
  <c r="N106" i="34" s="1"/>
  <c r="B106" i="34"/>
  <c r="T105" i="34"/>
  <c r="P105" i="34"/>
  <c r="X105" i="34" s="1"/>
  <c r="Z105" i="34" s="1"/>
  <c r="L105" i="34"/>
  <c r="N105" i="34" s="1"/>
  <c r="H105" i="34"/>
  <c r="D105" i="34"/>
  <c r="B105" i="34"/>
  <c r="Z104" i="34"/>
  <c r="X104" i="34"/>
  <c r="V104" i="34"/>
  <c r="N104" i="34"/>
  <c r="L104" i="34"/>
  <c r="B104" i="34"/>
  <c r="X103" i="34"/>
  <c r="Z103" i="34" s="1"/>
  <c r="L103" i="34"/>
  <c r="N103" i="34" s="1"/>
  <c r="B103" i="34"/>
  <c r="Z102" i="34"/>
  <c r="X102" i="34"/>
  <c r="L102" i="34"/>
  <c r="N102" i="34" s="1"/>
  <c r="B102" i="34"/>
  <c r="Z101" i="34"/>
  <c r="X101" i="34"/>
  <c r="L101" i="34"/>
  <c r="N101" i="34" s="1"/>
  <c r="B101" i="34"/>
  <c r="Z100" i="34"/>
  <c r="X100" i="34"/>
  <c r="N100" i="34"/>
  <c r="L100" i="34"/>
  <c r="B100" i="34"/>
  <c r="X99" i="34"/>
  <c r="Z99" i="34" s="1"/>
  <c r="V99" i="34"/>
  <c r="L99" i="34"/>
  <c r="N99" i="34" s="1"/>
  <c r="B99" i="34"/>
  <c r="X98" i="34"/>
  <c r="T98" i="34"/>
  <c r="Z98" i="34" s="1"/>
  <c r="P98" i="34"/>
  <c r="H98" i="34"/>
  <c r="D98" i="34"/>
  <c r="L98" i="34" s="1"/>
  <c r="B98" i="34"/>
  <c r="Z97" i="34"/>
  <c r="X97" i="34"/>
  <c r="N97" i="34"/>
  <c r="L97" i="34"/>
  <c r="B97" i="34"/>
  <c r="Z96" i="34"/>
  <c r="X96" i="34"/>
  <c r="N96" i="34"/>
  <c r="L96" i="34"/>
  <c r="B96" i="34"/>
  <c r="X95" i="34"/>
  <c r="Z95" i="34" s="1"/>
  <c r="L95" i="34"/>
  <c r="N95" i="34" s="1"/>
  <c r="B95" i="34"/>
  <c r="X94" i="34"/>
  <c r="Z94" i="34" s="1"/>
  <c r="N94" i="34"/>
  <c r="L94" i="34"/>
  <c r="B94" i="34"/>
  <c r="X93" i="34"/>
  <c r="Z93" i="34" s="1"/>
  <c r="N93" i="34"/>
  <c r="L93" i="34"/>
  <c r="B93" i="34"/>
  <c r="Z92" i="34"/>
  <c r="X92" i="34"/>
  <c r="N92" i="34"/>
  <c r="L92" i="34"/>
  <c r="B92" i="34"/>
  <c r="X91" i="34"/>
  <c r="Z91" i="34" s="1"/>
  <c r="L91" i="34"/>
  <c r="N91" i="34" s="1"/>
  <c r="B91" i="34"/>
  <c r="X90" i="34"/>
  <c r="Z90" i="34" s="1"/>
  <c r="L90" i="34"/>
  <c r="N90" i="34" s="1"/>
  <c r="B90" i="34"/>
  <c r="Z89" i="34"/>
  <c r="T89" i="34"/>
  <c r="P89" i="34"/>
  <c r="X89" i="34" s="1"/>
  <c r="L89" i="34"/>
  <c r="N89" i="34" s="1"/>
  <c r="H89" i="34"/>
  <c r="D89" i="34"/>
  <c r="B89" i="34"/>
  <c r="T88" i="34" a="1"/>
  <c r="T88" i="34" s="1"/>
  <c r="P88" i="34" a="1"/>
  <c r="P88" i="34" s="1"/>
  <c r="H88" i="34" a="1"/>
  <c r="H88" i="34" s="1"/>
  <c r="D88" i="34" a="1"/>
  <c r="D88" i="34"/>
  <c r="Z84" i="34"/>
  <c r="X84" i="34"/>
  <c r="N84" i="34"/>
  <c r="L84" i="34"/>
  <c r="B84" i="34"/>
  <c r="Z83" i="34"/>
  <c r="X83" i="34"/>
  <c r="N83" i="34"/>
  <c r="L83" i="34"/>
  <c r="B83" i="34"/>
  <c r="X82" i="34"/>
  <c r="Z82" i="34" s="1"/>
  <c r="N82" i="34"/>
  <c r="L82" i="34"/>
  <c r="B82" i="34"/>
  <c r="X81" i="34"/>
  <c r="Z81" i="34" s="1"/>
  <c r="N81" i="34"/>
  <c r="L81" i="34"/>
  <c r="B81" i="34"/>
  <c r="Z80" i="34"/>
  <c r="X80" i="34"/>
  <c r="N80" i="34"/>
  <c r="L80" i="34"/>
  <c r="B80" i="34"/>
  <c r="X79" i="34"/>
  <c r="Z79" i="34" s="1"/>
  <c r="L79" i="34"/>
  <c r="N79" i="34" s="1"/>
  <c r="B79" i="34"/>
  <c r="Z78" i="34"/>
  <c r="X78" i="34"/>
  <c r="L78" i="34"/>
  <c r="N78" i="34" s="1"/>
  <c r="B78" i="34"/>
  <c r="Z77" i="34"/>
  <c r="X77" i="34"/>
  <c r="N77" i="34"/>
  <c r="L77" i="34"/>
  <c r="B77" i="34"/>
  <c r="Z76" i="34"/>
  <c r="X76" i="34"/>
  <c r="N76" i="34"/>
  <c r="L76" i="34"/>
  <c r="B76" i="34"/>
  <c r="X75" i="34"/>
  <c r="Z75" i="34" s="1"/>
  <c r="N75" i="34"/>
  <c r="L75" i="34"/>
  <c r="B75" i="34"/>
  <c r="Z74" i="34"/>
  <c r="X74" i="34"/>
  <c r="N74" i="34"/>
  <c r="L74" i="34"/>
  <c r="B74" i="34"/>
  <c r="Z73" i="34"/>
  <c r="X73" i="34"/>
  <c r="N73" i="34"/>
  <c r="L73" i="34"/>
  <c r="B73" i="34"/>
  <c r="Z72" i="34"/>
  <c r="X72" i="34"/>
  <c r="N72" i="34"/>
  <c r="L72" i="34"/>
  <c r="B72" i="34"/>
  <c r="X71" i="34"/>
  <c r="Z71" i="34" s="1"/>
  <c r="N71" i="34"/>
  <c r="L71" i="34"/>
  <c r="B71" i="34"/>
  <c r="Z70" i="34"/>
  <c r="X70" i="34"/>
  <c r="L70" i="34"/>
  <c r="N70" i="34" s="1"/>
  <c r="B70" i="34"/>
  <c r="Z69" i="34"/>
  <c r="X69" i="34"/>
  <c r="L69" i="34"/>
  <c r="N69" i="34" s="1"/>
  <c r="B69" i="34"/>
  <c r="Z68" i="34"/>
  <c r="X68" i="34"/>
  <c r="N68" i="34"/>
  <c r="L68" i="34"/>
  <c r="B68" i="34"/>
  <c r="X67" i="34"/>
  <c r="Z67" i="34" s="1"/>
  <c r="N67" i="34"/>
  <c r="L67" i="34"/>
  <c r="B67" i="34"/>
  <c r="X66" i="34"/>
  <c r="Z66" i="34" s="1"/>
  <c r="N66" i="34"/>
  <c r="L66" i="34"/>
  <c r="B66" i="34"/>
  <c r="X65" i="34"/>
  <c r="Z65" i="34" s="1"/>
  <c r="N65" i="34"/>
  <c r="L65" i="34"/>
  <c r="B65" i="34"/>
  <c r="Z64" i="34"/>
  <c r="X64" i="34"/>
  <c r="N64" i="34"/>
  <c r="L64" i="34"/>
  <c r="B64" i="34"/>
  <c r="X63" i="34"/>
  <c r="Z63" i="34" s="1"/>
  <c r="L63" i="34"/>
  <c r="N63" i="34" s="1"/>
  <c r="B63" i="34"/>
  <c r="Z62" i="34"/>
  <c r="X62" i="34"/>
  <c r="L62" i="34"/>
  <c r="N62" i="34" s="1"/>
  <c r="B62" i="34"/>
  <c r="Z61" i="34"/>
  <c r="X61" i="34"/>
  <c r="N61" i="34"/>
  <c r="L61" i="34"/>
  <c r="B61" i="34"/>
  <c r="Z60" i="34"/>
  <c r="X60" i="34"/>
  <c r="N60" i="34"/>
  <c r="L60" i="34"/>
  <c r="B60" i="34"/>
  <c r="Z59" i="34"/>
  <c r="X59" i="34"/>
  <c r="V59" i="34"/>
  <c r="N59" i="34"/>
  <c r="L59" i="34"/>
  <c r="B59" i="34"/>
  <c r="T58" i="34"/>
  <c r="P58" i="34"/>
  <c r="X58" i="34" s="1"/>
  <c r="Z58" i="34" s="1"/>
  <c r="H58" i="34"/>
  <c r="D58" i="34"/>
  <c r="Z56" i="34"/>
  <c r="X56" i="34"/>
  <c r="T56" i="34"/>
  <c r="P56" i="34"/>
  <c r="H56" i="34"/>
  <c r="N56" i="34" s="1"/>
  <c r="D56" i="34"/>
  <c r="B56" i="34"/>
  <c r="T55" i="34"/>
  <c r="P55" i="34"/>
  <c r="X55" i="34" s="1"/>
  <c r="Z55" i="34" s="1"/>
  <c r="N55" i="34"/>
  <c r="H55" i="34"/>
  <c r="D55" i="34"/>
  <c r="L55" i="34" s="1"/>
  <c r="B55" i="34"/>
  <c r="T54" i="34"/>
  <c r="P54" i="34"/>
  <c r="X54" i="34" s="1"/>
  <c r="N54" i="34"/>
  <c r="H54" i="34"/>
  <c r="D54" i="34"/>
  <c r="L54" i="34" s="1"/>
  <c r="B54" i="34"/>
  <c r="T53" i="34"/>
  <c r="P53" i="34"/>
  <c r="H53" i="34"/>
  <c r="D53" i="34"/>
  <c r="B53" i="34"/>
  <c r="T52" i="34"/>
  <c r="Z52" i="34" s="1"/>
  <c r="P52" i="34"/>
  <c r="N52" i="34"/>
  <c r="L52" i="34"/>
  <c r="H52" i="34"/>
  <c r="D52" i="34"/>
  <c r="B52" i="34"/>
  <c r="X51" i="34"/>
  <c r="Z51" i="34" s="1"/>
  <c r="T51" i="34"/>
  <c r="P51" i="34"/>
  <c r="H51" i="34"/>
  <c r="D51" i="34"/>
  <c r="L51" i="34" s="1"/>
  <c r="N51" i="34" s="1"/>
  <c r="B51" i="34"/>
  <c r="T50" i="34"/>
  <c r="P50" i="34"/>
  <c r="H50" i="34"/>
  <c r="N50" i="34" s="1"/>
  <c r="D50" i="34"/>
  <c r="L50" i="34" s="1"/>
  <c r="B50" i="34"/>
  <c r="X49" i="34"/>
  <c r="T49" i="34"/>
  <c r="P49" i="34"/>
  <c r="H49" i="34"/>
  <c r="D49" i="34"/>
  <c r="B49" i="34"/>
  <c r="X48" i="34"/>
  <c r="Z48" i="34" s="1"/>
  <c r="T48" i="34"/>
  <c r="P48" i="34"/>
  <c r="H48" i="34"/>
  <c r="L48" i="34" s="1"/>
  <c r="D48" i="34"/>
  <c r="B48" i="34"/>
  <c r="T47" i="34"/>
  <c r="P47" i="34"/>
  <c r="X47" i="34" s="1"/>
  <c r="Z47" i="34" s="1"/>
  <c r="H47" i="34"/>
  <c r="D47" i="34"/>
  <c r="L47" i="34" s="1"/>
  <c r="N47" i="34" s="1"/>
  <c r="B47" i="34"/>
  <c r="T46" i="34"/>
  <c r="P46" i="34"/>
  <c r="X46" i="34" s="1"/>
  <c r="N46" i="34"/>
  <c r="H46" i="34"/>
  <c r="D46" i="34"/>
  <c r="L46" i="34" s="1"/>
  <c r="B46" i="34"/>
  <c r="T45" i="34"/>
  <c r="P45" i="34"/>
  <c r="X45" i="34" s="1"/>
  <c r="H45" i="34"/>
  <c r="D45" i="34"/>
  <c r="B45" i="34"/>
  <c r="T44" i="34"/>
  <c r="X44" i="34" s="1"/>
  <c r="P44" i="34"/>
  <c r="N44" i="34"/>
  <c r="L44" i="34"/>
  <c r="H44" i="34"/>
  <c r="D44" i="34"/>
  <c r="B44" i="34"/>
  <c r="X43" i="34"/>
  <c r="Z43" i="34" s="1"/>
  <c r="T43" i="34"/>
  <c r="P43" i="34"/>
  <c r="N43" i="34"/>
  <c r="H43" i="34"/>
  <c r="D43" i="34"/>
  <c r="L43" i="34" s="1"/>
  <c r="B43" i="34"/>
  <c r="T42" i="34"/>
  <c r="Z42" i="34" s="1"/>
  <c r="P42" i="34"/>
  <c r="H42" i="34"/>
  <c r="N42" i="34" s="1"/>
  <c r="D42" i="34"/>
  <c r="L42" i="34" s="1"/>
  <c r="B42" i="34"/>
  <c r="X41" i="34"/>
  <c r="T41" i="34"/>
  <c r="P41" i="34"/>
  <c r="H41" i="34"/>
  <c r="D41" i="34"/>
  <c r="B41" i="34"/>
  <c r="X40" i="34"/>
  <c r="Z40" i="34" s="1"/>
  <c r="T40" i="34"/>
  <c r="P40" i="34"/>
  <c r="H40" i="34"/>
  <c r="L40" i="34" s="1"/>
  <c r="D40" i="34"/>
  <c r="B40" i="34"/>
  <c r="T39" i="34"/>
  <c r="P39" i="34"/>
  <c r="X39" i="34" s="1"/>
  <c r="Z39" i="34" s="1"/>
  <c r="H39" i="34"/>
  <c r="D39" i="34"/>
  <c r="L39" i="34" s="1"/>
  <c r="N39" i="34" s="1"/>
  <c r="B39" i="34"/>
  <c r="T38" i="34"/>
  <c r="P38" i="34"/>
  <c r="X38" i="34" s="1"/>
  <c r="N38" i="34"/>
  <c r="H38" i="34"/>
  <c r="D38" i="34"/>
  <c r="L38" i="34" s="1"/>
  <c r="B38" i="34"/>
  <c r="T37" i="34"/>
  <c r="P37" i="34"/>
  <c r="X37" i="34" s="1"/>
  <c r="H37" i="34"/>
  <c r="D37" i="34"/>
  <c r="B37" i="34"/>
  <c r="T36" i="34"/>
  <c r="X36" i="34" s="1"/>
  <c r="P36" i="34"/>
  <c r="N36" i="34"/>
  <c r="L36" i="34"/>
  <c r="H36" i="34"/>
  <c r="D36" i="34"/>
  <c r="B36" i="34"/>
  <c r="X35" i="34"/>
  <c r="Z35" i="34" s="1"/>
  <c r="T35" i="34"/>
  <c r="P35" i="34"/>
  <c r="N35" i="34"/>
  <c r="H35" i="34"/>
  <c r="D35" i="34"/>
  <c r="L35" i="34" s="1"/>
  <c r="B35" i="34"/>
  <c r="T34" i="34"/>
  <c r="P34" i="34"/>
  <c r="H34" i="34"/>
  <c r="N34" i="34" s="1"/>
  <c r="D34" i="34"/>
  <c r="L34" i="34" s="1"/>
  <c r="B34" i="34"/>
  <c r="X33" i="34"/>
  <c r="T33" i="34"/>
  <c r="P33" i="34"/>
  <c r="H33" i="34"/>
  <c r="N33" i="34" s="1"/>
  <c r="D33" i="34"/>
  <c r="B33" i="34"/>
  <c r="X32" i="34"/>
  <c r="Z32" i="34" s="1"/>
  <c r="T32" i="34"/>
  <c r="P32" i="34"/>
  <c r="H32" i="34"/>
  <c r="N32" i="34" s="1"/>
  <c r="D32" i="34"/>
  <c r="B32" i="34"/>
  <c r="T31" i="34"/>
  <c r="P31" i="34"/>
  <c r="X31" i="34" s="1"/>
  <c r="Z31" i="34" s="1"/>
  <c r="H31" i="34"/>
  <c r="D31" i="34"/>
  <c r="L31" i="34" s="1"/>
  <c r="N31" i="34" s="1"/>
  <c r="B31" i="34"/>
  <c r="T30" i="34"/>
  <c r="P30" i="34"/>
  <c r="X30" i="34" s="1"/>
  <c r="N30" i="34"/>
  <c r="H30" i="34"/>
  <c r="D30" i="34"/>
  <c r="L30" i="34" s="1"/>
  <c r="B30" i="34"/>
  <c r="T29" i="34"/>
  <c r="P29" i="34"/>
  <c r="X29" i="34" s="1"/>
  <c r="H29" i="34"/>
  <c r="D29" i="34"/>
  <c r="B29" i="34"/>
  <c r="T28" i="34"/>
  <c r="X28" i="34" s="1"/>
  <c r="P28" i="34"/>
  <c r="N28" i="34"/>
  <c r="L28" i="34"/>
  <c r="H28" i="34"/>
  <c r="D28" i="34"/>
  <c r="B28" i="34"/>
  <c r="Z27" i="34"/>
  <c r="X27" i="34"/>
  <c r="T27" i="34"/>
  <c r="P27" i="34"/>
  <c r="N27" i="34"/>
  <c r="H27" i="34"/>
  <c r="D27" i="34"/>
  <c r="L27" i="34" s="1"/>
  <c r="B27" i="34"/>
  <c r="T26" i="34"/>
  <c r="P26" i="34"/>
  <c r="H26" i="34"/>
  <c r="N26" i="34" s="1"/>
  <c r="D26" i="34"/>
  <c r="L26" i="34" s="1"/>
  <c r="B26" i="34"/>
  <c r="X25" i="34"/>
  <c r="T25" i="34"/>
  <c r="P25" i="34"/>
  <c r="H25" i="34"/>
  <c r="N25" i="34" s="1"/>
  <c r="D25" i="34"/>
  <c r="B25" i="34"/>
  <c r="X24" i="34"/>
  <c r="Z24" i="34" s="1"/>
  <c r="T24" i="34"/>
  <c r="P24" i="34"/>
  <c r="H24" i="34"/>
  <c r="L24" i="34" s="1"/>
  <c r="D24" i="34"/>
  <c r="B24" i="34"/>
  <c r="T23" i="34"/>
  <c r="P23" i="34"/>
  <c r="X23" i="34" s="1"/>
  <c r="Z23" i="34" s="1"/>
  <c r="H23" i="34"/>
  <c r="D23" i="34"/>
  <c r="L23" i="34" s="1"/>
  <c r="N23" i="34" s="1"/>
  <c r="B23" i="34"/>
  <c r="T22" i="34"/>
  <c r="P22" i="34"/>
  <c r="X22" i="34" s="1"/>
  <c r="N22" i="34"/>
  <c r="H22" i="34"/>
  <c r="D22" i="34"/>
  <c r="L22" i="34" s="1"/>
  <c r="B22" i="34"/>
  <c r="T21" i="34"/>
  <c r="P21" i="34"/>
  <c r="X21" i="34" s="1"/>
  <c r="H21" i="34"/>
  <c r="D21" i="34"/>
  <c r="B21" i="34"/>
  <c r="T20" i="34"/>
  <c r="X20" i="34" s="1"/>
  <c r="P20" i="34"/>
  <c r="N20" i="34"/>
  <c r="L20" i="34"/>
  <c r="H20" i="34"/>
  <c r="D20" i="34"/>
  <c r="B20" i="34"/>
  <c r="X19" i="34"/>
  <c r="Z19" i="34" s="1"/>
  <c r="T19" i="34"/>
  <c r="P19" i="34"/>
  <c r="H19" i="34"/>
  <c r="D19" i="34"/>
  <c r="L19" i="34" s="1"/>
  <c r="N19" i="34" s="1"/>
  <c r="B19" i="34"/>
  <c r="T18" i="34"/>
  <c r="P18" i="34"/>
  <c r="H18" i="34"/>
  <c r="N18" i="34" s="1"/>
  <c r="D18" i="34"/>
  <c r="L18" i="34" s="1"/>
  <c r="B18" i="34"/>
  <c r="X17" i="34"/>
  <c r="T17" i="34"/>
  <c r="P17" i="34"/>
  <c r="H17" i="34"/>
  <c r="D17" i="34"/>
  <c r="B17" i="34"/>
  <c r="X16" i="34"/>
  <c r="Z16" i="34" s="1"/>
  <c r="T16" i="34"/>
  <c r="P16" i="34"/>
  <c r="H16" i="34"/>
  <c r="L16" i="34" s="1"/>
  <c r="D16" i="34"/>
  <c r="B16" i="34"/>
  <c r="T15" i="34"/>
  <c r="P15" i="34"/>
  <c r="X15" i="34" s="1"/>
  <c r="Z15" i="34" s="1"/>
  <c r="H15" i="34"/>
  <c r="D15" i="34"/>
  <c r="L15" i="34" s="1"/>
  <c r="N15" i="34" s="1"/>
  <c r="B15" i="34"/>
  <c r="T14" i="34"/>
  <c r="P14" i="34"/>
  <c r="X14" i="34" s="1"/>
  <c r="N14" i="34"/>
  <c r="H14" i="34"/>
  <c r="D14" i="34"/>
  <c r="L14" i="34" s="1"/>
  <c r="B14" i="34"/>
  <c r="T13" i="34"/>
  <c r="P13" i="34"/>
  <c r="H13" i="34"/>
  <c r="D13" i="34"/>
  <c r="D12" i="34" s="1"/>
  <c r="B13" i="34"/>
  <c r="T12" i="34"/>
  <c r="V136" i="34" s="1"/>
  <c r="D4" i="34"/>
  <c r="B39" i="33"/>
  <c r="B38" i="33"/>
  <c r="T34" i="33"/>
  <c r="Z34" i="33" s="1"/>
  <c r="P34" i="33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D29" i="33"/>
  <c r="T25" i="33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D22" i="33"/>
  <c r="B22" i="33"/>
  <c r="T21" i="33"/>
  <c r="Z21" i="33" s="1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D15" i="33"/>
  <c r="T13" i="33"/>
  <c r="Z13" i="33" s="1"/>
  <c r="P13" i="33"/>
  <c r="H13" i="33"/>
  <c r="N13" i="33" s="1"/>
  <c r="D13" i="33"/>
  <c r="B13" i="33"/>
  <c r="T12" i="33"/>
  <c r="V18" i="33" s="1"/>
  <c r="P12" i="33"/>
  <c r="R22" i="33" s="1"/>
  <c r="H12" i="33"/>
  <c r="D12" i="33"/>
  <c r="F29" i="33" s="1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P15" i="32"/>
  <c r="H15" i="32"/>
  <c r="N15" i="32" s="1"/>
  <c r="D15" i="32"/>
  <c r="T13" i="32"/>
  <c r="P13" i="32"/>
  <c r="H13" i="32"/>
  <c r="N13" i="32" s="1"/>
  <c r="D13" i="32"/>
  <c r="B13" i="32"/>
  <c r="T12" i="32"/>
  <c r="V36" i="32" s="1"/>
  <c r="P12" i="32"/>
  <c r="H12" i="32"/>
  <c r="J22" i="32" s="1"/>
  <c r="D12" i="32"/>
  <c r="F36" i="32" s="1"/>
  <c r="D5" i="32"/>
  <c r="D4" i="32"/>
  <c r="X88" i="31"/>
  <c r="Z88" i="31" s="1"/>
  <c r="N88" i="31"/>
  <c r="L88" i="31"/>
  <c r="T84" i="31"/>
  <c r="Z84" i="31" s="1"/>
  <c r="P84" i="31"/>
  <c r="N84" i="31"/>
  <c r="H84" i="31"/>
  <c r="D84" i="31"/>
  <c r="L84" i="31" s="1"/>
  <c r="B84" i="31"/>
  <c r="T83" i="31"/>
  <c r="P83" i="31"/>
  <c r="X83" i="31" s="1"/>
  <c r="N83" i="31"/>
  <c r="H83" i="31"/>
  <c r="D83" i="31"/>
  <c r="L83" i="31" s="1"/>
  <c r="B83" i="31"/>
  <c r="H82" i="31"/>
  <c r="Z80" i="31"/>
  <c r="X80" i="31"/>
  <c r="N80" i="31"/>
  <c r="L80" i="31"/>
  <c r="B80" i="31"/>
  <c r="X79" i="31"/>
  <c r="T79" i="31"/>
  <c r="Z79" i="31" s="1"/>
  <c r="P79" i="31"/>
  <c r="H79" i="31"/>
  <c r="N79" i="31" s="1"/>
  <c r="D79" i="31"/>
  <c r="L79" i="31" s="1"/>
  <c r="B79" i="31"/>
  <c r="Z78" i="31"/>
  <c r="X78" i="31"/>
  <c r="N78" i="31"/>
  <c r="L78" i="31"/>
  <c r="B78" i="31"/>
  <c r="T77" i="31"/>
  <c r="Z77" i="31" s="1"/>
  <c r="P77" i="31"/>
  <c r="X77" i="31" s="1"/>
  <c r="H77" i="31"/>
  <c r="D77" i="31"/>
  <c r="L77" i="31" s="1"/>
  <c r="N77" i="31" s="1"/>
  <c r="B77" i="31"/>
  <c r="X76" i="31"/>
  <c r="Z76" i="31" s="1"/>
  <c r="N76" i="31"/>
  <c r="L76" i="31"/>
  <c r="B76" i="31"/>
  <c r="Z75" i="31"/>
  <c r="X75" i="31"/>
  <c r="L75" i="31"/>
  <c r="N75" i="31" s="1"/>
  <c r="B75" i="31"/>
  <c r="Z74" i="31"/>
  <c r="X74" i="31"/>
  <c r="N74" i="31"/>
  <c r="L74" i="31"/>
  <c r="B74" i="31"/>
  <c r="X73" i="31"/>
  <c r="Z73" i="31" s="1"/>
  <c r="L73" i="31"/>
  <c r="N73" i="31" s="1"/>
  <c r="B73" i="31"/>
  <c r="Z72" i="31"/>
  <c r="X72" i="31"/>
  <c r="N72" i="31"/>
  <c r="L72" i="31"/>
  <c r="B72" i="31"/>
  <c r="Z71" i="31"/>
  <c r="X71" i="31"/>
  <c r="N71" i="31"/>
  <c r="L71" i="31"/>
  <c r="B71" i="31"/>
  <c r="T70" i="31"/>
  <c r="Z70" i="31" s="1"/>
  <c r="P70" i="31"/>
  <c r="X70" i="31" s="1"/>
  <c r="H70" i="31"/>
  <c r="D70" i="31"/>
  <c r="L70" i="31" s="1"/>
  <c r="N70" i="31" s="1"/>
  <c r="B70" i="31"/>
  <c r="Z69" i="31"/>
  <c r="X69" i="31"/>
  <c r="N69" i="31"/>
  <c r="L69" i="31"/>
  <c r="B69" i="31"/>
  <c r="Z68" i="31"/>
  <c r="T68" i="31"/>
  <c r="P68" i="31"/>
  <c r="X68" i="31" s="1"/>
  <c r="N68" i="31"/>
  <c r="H68" i="31"/>
  <c r="L68" i="31" s="1"/>
  <c r="D68" i="31"/>
  <c r="B68" i="31"/>
  <c r="Z67" i="31"/>
  <c r="X67" i="31"/>
  <c r="L67" i="31"/>
  <c r="N67" i="31" s="1"/>
  <c r="B67" i="31"/>
  <c r="T66" i="31"/>
  <c r="X66" i="31" s="1"/>
  <c r="Z66" i="31" s="1"/>
  <c r="P66" i="31"/>
  <c r="N66" i="31"/>
  <c r="L66" i="31"/>
  <c r="H66" i="31"/>
  <c r="D66" i="31"/>
  <c r="B66" i="31"/>
  <c r="X65" i="31"/>
  <c r="Z65" i="31" s="1"/>
  <c r="L65" i="31"/>
  <c r="N65" i="31" s="1"/>
  <c r="B65" i="31"/>
  <c r="Z64" i="31"/>
  <c r="X64" i="31"/>
  <c r="N64" i="31"/>
  <c r="L64" i="31"/>
  <c r="B64" i="31"/>
  <c r="Z63" i="31"/>
  <c r="X63" i="31"/>
  <c r="N63" i="31"/>
  <c r="L63" i="31"/>
  <c r="B63" i="31"/>
  <c r="T62" i="31"/>
  <c r="P62" i="31"/>
  <c r="X62" i="31" s="1"/>
  <c r="N62" i="31"/>
  <c r="L62" i="31"/>
  <c r="H62" i="31"/>
  <c r="D62" i="31"/>
  <c r="B62" i="31"/>
  <c r="Z61" i="31"/>
  <c r="X61" i="31"/>
  <c r="N61" i="31"/>
  <c r="L61" i="31"/>
  <c r="B61" i="31"/>
  <c r="Z60" i="31"/>
  <c r="X60" i="31"/>
  <c r="T60" i="31"/>
  <c r="P60" i="31"/>
  <c r="H60" i="31"/>
  <c r="N60" i="31" s="1"/>
  <c r="D60" i="31"/>
  <c r="B60" i="31"/>
  <c r="X59" i="31"/>
  <c r="Z59" i="31" s="1"/>
  <c r="N59" i="31"/>
  <c r="L59" i="31"/>
  <c r="B59" i="31"/>
  <c r="Z58" i="31"/>
  <c r="X58" i="31"/>
  <c r="N58" i="31"/>
  <c r="L58" i="31"/>
  <c r="B58" i="31"/>
  <c r="X57" i="31"/>
  <c r="T57" i="31"/>
  <c r="Z57" i="31" s="1"/>
  <c r="P57" i="31"/>
  <c r="H57" i="31"/>
  <c r="D57" i="31"/>
  <c r="B57" i="31"/>
  <c r="Z56" i="31"/>
  <c r="X56" i="31"/>
  <c r="L56" i="31"/>
  <c r="N56" i="31" s="1"/>
  <c r="B56" i="31"/>
  <c r="X55" i="31"/>
  <c r="T55" i="31"/>
  <c r="P55" i="31"/>
  <c r="L55" i="31"/>
  <c r="H55" i="31"/>
  <c r="D55" i="31"/>
  <c r="B55" i="31"/>
  <c r="Z54" i="31"/>
  <c r="X54" i="31"/>
  <c r="N54" i="31"/>
  <c r="L54" i="31"/>
  <c r="B54" i="31"/>
  <c r="X53" i="31"/>
  <c r="T53" i="31"/>
  <c r="Z53" i="31" s="1"/>
  <c r="P53" i="31"/>
  <c r="N53" i="31"/>
  <c r="H53" i="31"/>
  <c r="D53" i="31"/>
  <c r="B53" i="31"/>
  <c r="X52" i="31"/>
  <c r="Z52" i="31" s="1"/>
  <c r="N52" i="31"/>
  <c r="L52" i="31"/>
  <c r="B52" i="31"/>
  <c r="T51" i="31"/>
  <c r="Z51" i="31" s="1"/>
  <c r="P51" i="31"/>
  <c r="X51" i="31" s="1"/>
  <c r="L51" i="31"/>
  <c r="H51" i="31"/>
  <c r="D51" i="31"/>
  <c r="B51" i="31"/>
  <c r="Z50" i="31"/>
  <c r="X50" i="31"/>
  <c r="N50" i="31"/>
  <c r="L50" i="31"/>
  <c r="B50" i="31"/>
  <c r="T49" i="31"/>
  <c r="Z49" i="31" s="1"/>
  <c r="P49" i="31"/>
  <c r="X49" i="31" s="1"/>
  <c r="L49" i="31"/>
  <c r="H49" i="31"/>
  <c r="N49" i="31" s="1"/>
  <c r="D49" i="31"/>
  <c r="B49" i="31"/>
  <c r="Z48" i="31"/>
  <c r="X48" i="31"/>
  <c r="N48" i="31"/>
  <c r="L48" i="31"/>
  <c r="B48" i="31"/>
  <c r="X47" i="31"/>
  <c r="Z47" i="31" s="1"/>
  <c r="N47" i="31"/>
  <c r="L47" i="31"/>
  <c r="B47" i="31"/>
  <c r="Z46" i="31"/>
  <c r="X46" i="31"/>
  <c r="N46" i="31"/>
  <c r="L46" i="31"/>
  <c r="B46" i="31"/>
  <c r="X45" i="31"/>
  <c r="Z45" i="31" s="1"/>
  <c r="L45" i="31"/>
  <c r="N45" i="31" s="1"/>
  <c r="B45" i="31"/>
  <c r="X44" i="31"/>
  <c r="Z44" i="31" s="1"/>
  <c r="T44" i="31"/>
  <c r="P44" i="31"/>
  <c r="H44" i="31"/>
  <c r="D44" i="31"/>
  <c r="B44" i="31"/>
  <c r="X43" i="31"/>
  <c r="Z43" i="31" s="1"/>
  <c r="N43" i="31"/>
  <c r="L43" i="31"/>
  <c r="B43" i="31"/>
  <c r="Z42" i="31"/>
  <c r="X42" i="31"/>
  <c r="N42" i="31"/>
  <c r="L42" i="31"/>
  <c r="B42" i="31"/>
  <c r="X41" i="31"/>
  <c r="Z41" i="31" s="1"/>
  <c r="L41" i="31"/>
  <c r="N41" i="31" s="1"/>
  <c r="B41" i="31"/>
  <c r="X40" i="31"/>
  <c r="Z40" i="31" s="1"/>
  <c r="N40" i="31"/>
  <c r="L40" i="31"/>
  <c r="B40" i="31"/>
  <c r="X39" i="31"/>
  <c r="Z39" i="31" s="1"/>
  <c r="N39" i="31"/>
  <c r="L39" i="31"/>
  <c r="B39" i="31"/>
  <c r="X38" i="31"/>
  <c r="Z38" i="31" s="1"/>
  <c r="L38" i="31"/>
  <c r="N38" i="31" s="1"/>
  <c r="B38" i="31"/>
  <c r="X37" i="31"/>
  <c r="Z37" i="31" s="1"/>
  <c r="N37" i="31"/>
  <c r="L37" i="31"/>
  <c r="B37" i="31"/>
  <c r="Z36" i="31"/>
  <c r="X36" i="31"/>
  <c r="N36" i="31"/>
  <c r="L36" i="31"/>
  <c r="B36" i="31"/>
  <c r="T35" i="31"/>
  <c r="X35" i="31" s="1"/>
  <c r="Z35" i="31" s="1"/>
  <c r="P35" i="31"/>
  <c r="L35" i="31"/>
  <c r="N35" i="31" s="1"/>
  <c r="H35" i="31"/>
  <c r="D35" i="31"/>
  <c r="B35" i="31"/>
  <c r="V34" i="31"/>
  <c r="T34" i="31" a="1"/>
  <c r="T34" i="31" s="1"/>
  <c r="P34" i="31" a="1"/>
  <c r="P34" i="31" s="1"/>
  <c r="X34" i="31" s="1"/>
  <c r="H34" i="31" a="1"/>
  <c r="H34" i="31" s="1"/>
  <c r="D34" i="31" a="1"/>
  <c r="D34" i="31" s="1"/>
  <c r="L34" i="31" s="1"/>
  <c r="Z30" i="31"/>
  <c r="X30" i="31"/>
  <c r="N30" i="31"/>
  <c r="L30" i="31"/>
  <c r="B30" i="31"/>
  <c r="Z29" i="31"/>
  <c r="X29" i="31"/>
  <c r="N29" i="31"/>
  <c r="L29" i="31"/>
  <c r="B29" i="31"/>
  <c r="Z28" i="31"/>
  <c r="X28" i="31"/>
  <c r="N28" i="31"/>
  <c r="L28" i="31"/>
  <c r="B28" i="31"/>
  <c r="T27" i="31"/>
  <c r="Z27" i="31" s="1"/>
  <c r="P27" i="31"/>
  <c r="N27" i="31"/>
  <c r="H27" i="31"/>
  <c r="D27" i="31"/>
  <c r="L27" i="31" s="1"/>
  <c r="T25" i="31"/>
  <c r="Z25" i="31" s="1"/>
  <c r="P25" i="31"/>
  <c r="X25" i="31" s="1"/>
  <c r="H25" i="31"/>
  <c r="N25" i="31" s="1"/>
  <c r="D25" i="31"/>
  <c r="L25" i="31" s="1"/>
  <c r="B25" i="31"/>
  <c r="X24" i="31"/>
  <c r="T24" i="31"/>
  <c r="Z24" i="31" s="1"/>
  <c r="P24" i="31"/>
  <c r="H24" i="31"/>
  <c r="D24" i="31"/>
  <c r="B24" i="31"/>
  <c r="Z23" i="31"/>
  <c r="X23" i="31"/>
  <c r="T23" i="31"/>
  <c r="P23" i="31"/>
  <c r="L23" i="31"/>
  <c r="H23" i="31"/>
  <c r="N23" i="31" s="1"/>
  <c r="D23" i="31"/>
  <c r="B23" i="31"/>
  <c r="T22" i="31"/>
  <c r="P22" i="31"/>
  <c r="X22" i="31" s="1"/>
  <c r="Z22" i="31" s="1"/>
  <c r="N22" i="31"/>
  <c r="H22" i="31"/>
  <c r="D22" i="31"/>
  <c r="L22" i="31" s="1"/>
  <c r="B22" i="31"/>
  <c r="T21" i="31"/>
  <c r="P21" i="31"/>
  <c r="X21" i="31" s="1"/>
  <c r="H21" i="31"/>
  <c r="N21" i="31" s="1"/>
  <c r="D21" i="31"/>
  <c r="L21" i="31" s="1"/>
  <c r="B21" i="31"/>
  <c r="T20" i="31"/>
  <c r="P20" i="31"/>
  <c r="X20" i="31" s="1"/>
  <c r="L20" i="31"/>
  <c r="H20" i="31"/>
  <c r="N20" i="31" s="1"/>
  <c r="D20" i="31"/>
  <c r="B20" i="31"/>
  <c r="X19" i="31"/>
  <c r="T19" i="31"/>
  <c r="Z19" i="31" s="1"/>
  <c r="P19" i="31"/>
  <c r="N19" i="31"/>
  <c r="L19" i="31"/>
  <c r="H19" i="31"/>
  <c r="D19" i="31"/>
  <c r="B19" i="31"/>
  <c r="Z18" i="31"/>
  <c r="T18" i="31"/>
  <c r="P18" i="31"/>
  <c r="X18" i="31" s="1"/>
  <c r="N18" i="31"/>
  <c r="H18" i="31"/>
  <c r="D18" i="31"/>
  <c r="L18" i="31" s="1"/>
  <c r="B18" i="31"/>
  <c r="T17" i="31"/>
  <c r="Z17" i="31" s="1"/>
  <c r="P17" i="31"/>
  <c r="X17" i="31" s="1"/>
  <c r="H17" i="31"/>
  <c r="N17" i="31" s="1"/>
  <c r="D17" i="31"/>
  <c r="L17" i="31" s="1"/>
  <c r="B17" i="31"/>
  <c r="X16" i="31"/>
  <c r="T16" i="31"/>
  <c r="Z16" i="31" s="1"/>
  <c r="P16" i="31"/>
  <c r="H16" i="31"/>
  <c r="N16" i="31" s="1"/>
  <c r="D16" i="31"/>
  <c r="B16" i="31"/>
  <c r="Z15" i="31"/>
  <c r="X15" i="31"/>
  <c r="T15" i="31"/>
  <c r="P15" i="31"/>
  <c r="L15" i="31"/>
  <c r="H15" i="31"/>
  <c r="D15" i="31"/>
  <c r="B15" i="31"/>
  <c r="T14" i="31"/>
  <c r="P14" i="31"/>
  <c r="X14" i="31" s="1"/>
  <c r="Z14" i="31" s="1"/>
  <c r="H14" i="31"/>
  <c r="D14" i="31"/>
  <c r="L14" i="31" s="1"/>
  <c r="N14" i="31" s="1"/>
  <c r="B14" i="31"/>
  <c r="T13" i="31"/>
  <c r="P13" i="31"/>
  <c r="H13" i="31"/>
  <c r="N13" i="31" s="1"/>
  <c r="D13" i="31"/>
  <c r="L13" i="31" s="1"/>
  <c r="B13" i="31"/>
  <c r="T12" i="31"/>
  <c r="D4" i="31"/>
  <c r="B39" i="30"/>
  <c r="B38" i="30"/>
  <c r="T34" i="30"/>
  <c r="Z34" i="30" s="1"/>
  <c r="P34" i="30"/>
  <c r="H34" i="30"/>
  <c r="N34" i="30" s="1"/>
  <c r="D34" i="30"/>
  <c r="T33" i="30"/>
  <c r="P33" i="30"/>
  <c r="H33" i="30"/>
  <c r="N33" i="30" s="1"/>
  <c r="D33" i="30"/>
  <c r="T29" i="30"/>
  <c r="P29" i="30"/>
  <c r="H29" i="30"/>
  <c r="N29" i="30" s="1"/>
  <c r="D29" i="30"/>
  <c r="T25" i="30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24" i="30" s="1"/>
  <c r="P12" i="30"/>
  <c r="R34" i="30" s="1"/>
  <c r="H12" i="30"/>
  <c r="J36" i="30" s="1"/>
  <c r="D12" i="30"/>
  <c r="F18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P21" i="29"/>
  <c r="H21" i="29"/>
  <c r="N21" i="29" s="1"/>
  <c r="D21" i="29"/>
  <c r="B21" i="29"/>
  <c r="T20" i="29"/>
  <c r="P20" i="29"/>
  <c r="H20" i="29"/>
  <c r="N20" i="29" s="1"/>
  <c r="D20" i="29"/>
  <c r="T16" i="29"/>
  <c r="P16" i="29"/>
  <c r="H16" i="29"/>
  <c r="N16" i="29" s="1"/>
  <c r="D16" i="29"/>
  <c r="B16" i="29"/>
  <c r="T15" i="29"/>
  <c r="Z15" i="29" s="1"/>
  <c r="P15" i="29"/>
  <c r="H15" i="29"/>
  <c r="D15" i="29"/>
  <c r="T13" i="29"/>
  <c r="P13" i="29"/>
  <c r="H13" i="29"/>
  <c r="N13" i="29" s="1"/>
  <c r="D13" i="29"/>
  <c r="B13" i="29"/>
  <c r="T12" i="29"/>
  <c r="P12" i="29"/>
  <c r="R34" i="29" s="1"/>
  <c r="H12" i="29"/>
  <c r="J36" i="29" s="1"/>
  <c r="D12" i="29"/>
  <c r="F24" i="29" s="1"/>
  <c r="D5" i="29"/>
  <c r="D4" i="29"/>
  <c r="Z167" i="28"/>
  <c r="X167" i="28"/>
  <c r="L167" i="28"/>
  <c r="N167" i="28" s="1"/>
  <c r="T163" i="28"/>
  <c r="P163" i="28"/>
  <c r="H163" i="28"/>
  <c r="D163" i="28"/>
  <c r="B163" i="28"/>
  <c r="X162" i="28"/>
  <c r="T162" i="28"/>
  <c r="Z162" i="28" s="1"/>
  <c r="P162" i="28"/>
  <c r="P160" i="28" s="1"/>
  <c r="H162" i="28"/>
  <c r="L162" i="28" s="1"/>
  <c r="N162" i="28" s="1"/>
  <c r="D162" i="28"/>
  <c r="B162" i="28"/>
  <c r="X161" i="28"/>
  <c r="Z161" i="28" s="1"/>
  <c r="T161" i="28"/>
  <c r="P161" i="28"/>
  <c r="H161" i="28"/>
  <c r="D161" i="28"/>
  <c r="B161" i="28"/>
  <c r="Z158" i="28"/>
  <c r="X158" i="28"/>
  <c r="N158" i="28"/>
  <c r="L158" i="28"/>
  <c r="B158" i="28"/>
  <c r="T157" i="28"/>
  <c r="P157" i="28"/>
  <c r="X157" i="28" s="1"/>
  <c r="Z157" i="28" s="1"/>
  <c r="L157" i="28"/>
  <c r="N157" i="28" s="1"/>
  <c r="H157" i="28"/>
  <c r="D157" i="28"/>
  <c r="B157" i="28"/>
  <c r="X156" i="28"/>
  <c r="Z156" i="28" s="1"/>
  <c r="L156" i="28"/>
  <c r="N156" i="28" s="1"/>
  <c r="B156" i="28"/>
  <c r="X155" i="28"/>
  <c r="Z155" i="28" s="1"/>
  <c r="T155" i="28"/>
  <c r="P155" i="28"/>
  <c r="H155" i="28"/>
  <c r="D155" i="28"/>
  <c r="B155" i="28"/>
  <c r="Z154" i="28"/>
  <c r="X154" i="28"/>
  <c r="N154" i="28"/>
  <c r="L154" i="28"/>
  <c r="B154" i="28"/>
  <c r="T153" i="28"/>
  <c r="P153" i="28"/>
  <c r="N153" i="28"/>
  <c r="H153" i="28"/>
  <c r="D153" i="28"/>
  <c r="L153" i="28" s="1"/>
  <c r="B153" i="28"/>
  <c r="X152" i="28"/>
  <c r="Z152" i="28" s="1"/>
  <c r="L152" i="28"/>
  <c r="N152" i="28" s="1"/>
  <c r="B152" i="28"/>
  <c r="T151" i="28"/>
  <c r="P151" i="28"/>
  <c r="X151" i="28" s="1"/>
  <c r="Z151" i="28" s="1"/>
  <c r="H151" i="28"/>
  <c r="D151" i="28"/>
  <c r="L151" i="28" s="1"/>
  <c r="N151" i="28" s="1"/>
  <c r="B151" i="28"/>
  <c r="Z150" i="28"/>
  <c r="X150" i="28"/>
  <c r="N150" i="28"/>
  <c r="L150" i="28"/>
  <c r="B150" i="28"/>
  <c r="Z149" i="28"/>
  <c r="X149" i="28"/>
  <c r="N149" i="28"/>
  <c r="L149" i="28"/>
  <c r="B149" i="28"/>
  <c r="X148" i="28"/>
  <c r="Z148" i="28" s="1"/>
  <c r="L148" i="28"/>
  <c r="N148" i="28" s="1"/>
  <c r="B148" i="28"/>
  <c r="Z147" i="28"/>
  <c r="X147" i="28"/>
  <c r="N147" i="28"/>
  <c r="L147" i="28"/>
  <c r="B147" i="28"/>
  <c r="Z146" i="28"/>
  <c r="X146" i="28"/>
  <c r="N146" i="28"/>
  <c r="L146" i="28"/>
  <c r="B146" i="28"/>
  <c r="X145" i="28"/>
  <c r="Z145" i="28" s="1"/>
  <c r="N145" i="28"/>
  <c r="L145" i="28"/>
  <c r="B145" i="28"/>
  <c r="T144" i="28"/>
  <c r="P144" i="28"/>
  <c r="X144" i="28" s="1"/>
  <c r="Z144" i="28" s="1"/>
  <c r="H144" i="28"/>
  <c r="D144" i="28"/>
  <c r="L144" i="28" s="1"/>
  <c r="B144" i="28"/>
  <c r="Z143" i="28"/>
  <c r="X143" i="28"/>
  <c r="L143" i="28"/>
  <c r="N143" i="28" s="1"/>
  <c r="B143" i="28"/>
  <c r="Z142" i="28"/>
  <c r="X142" i="28"/>
  <c r="N142" i="28"/>
  <c r="L142" i="28"/>
  <c r="B142" i="28"/>
  <c r="T141" i="28"/>
  <c r="P141" i="28"/>
  <c r="H141" i="28"/>
  <c r="D141" i="28"/>
  <c r="L141" i="28" s="1"/>
  <c r="N141" i="28" s="1"/>
  <c r="B141" i="28"/>
  <c r="X140" i="28"/>
  <c r="Z140" i="28" s="1"/>
  <c r="L140" i="28"/>
  <c r="N140" i="28" s="1"/>
  <c r="B140" i="28"/>
  <c r="Z139" i="28"/>
  <c r="X139" i="28"/>
  <c r="L139" i="28"/>
  <c r="N139" i="28" s="1"/>
  <c r="B139" i="28"/>
  <c r="Z138" i="28"/>
  <c r="X138" i="28"/>
  <c r="N138" i="28"/>
  <c r="L138" i="28"/>
  <c r="B138" i="28"/>
  <c r="T137" i="28"/>
  <c r="P137" i="28"/>
  <c r="H137" i="28"/>
  <c r="D137" i="28"/>
  <c r="L137" i="28" s="1"/>
  <c r="N137" i="28" s="1"/>
  <c r="B137" i="28"/>
  <c r="Z136" i="28"/>
  <c r="X136" i="28"/>
  <c r="N136" i="28"/>
  <c r="L136" i="28"/>
  <c r="B136" i="28"/>
  <c r="Z135" i="28"/>
  <c r="X135" i="28"/>
  <c r="L135" i="28"/>
  <c r="N135" i="28" s="1"/>
  <c r="B135" i="28"/>
  <c r="T134" i="28"/>
  <c r="Z134" i="28" s="1"/>
  <c r="P134" i="28"/>
  <c r="X134" i="28" s="1"/>
  <c r="L134" i="28"/>
  <c r="N134" i="28" s="1"/>
  <c r="H134" i="28"/>
  <c r="D134" i="28"/>
  <c r="B134" i="28"/>
  <c r="Z133" i="28"/>
  <c r="X133" i="28"/>
  <c r="N133" i="28"/>
  <c r="L133" i="28"/>
  <c r="B133" i="28"/>
  <c r="X132" i="28"/>
  <c r="Z132" i="28" s="1"/>
  <c r="N132" i="28"/>
  <c r="L132" i="28"/>
  <c r="B132" i="28"/>
  <c r="Z131" i="28"/>
  <c r="X131" i="28"/>
  <c r="N131" i="28"/>
  <c r="L131" i="28"/>
  <c r="B131" i="28"/>
  <c r="T130" i="28"/>
  <c r="P130" i="28"/>
  <c r="X130" i="28" s="1"/>
  <c r="N130" i="28"/>
  <c r="L130" i="28"/>
  <c r="H130" i="28"/>
  <c r="D130" i="28"/>
  <c r="B130" i="28"/>
  <c r="Z129" i="28"/>
  <c r="X129" i="28"/>
  <c r="L129" i="28"/>
  <c r="N129" i="28" s="1"/>
  <c r="B129" i="28"/>
  <c r="X128" i="28"/>
  <c r="Z128" i="28" s="1"/>
  <c r="T128" i="28"/>
  <c r="P128" i="28"/>
  <c r="H128" i="28"/>
  <c r="L128" i="28" s="1"/>
  <c r="N128" i="28" s="1"/>
  <c r="D128" i="28"/>
  <c r="B128" i="28"/>
  <c r="Z127" i="28"/>
  <c r="X127" i="28"/>
  <c r="N127" i="28"/>
  <c r="L127" i="28"/>
  <c r="B127" i="28"/>
  <c r="Z126" i="28"/>
  <c r="T126" i="28"/>
  <c r="X126" i="28" s="1"/>
  <c r="P126" i="28"/>
  <c r="N126" i="28"/>
  <c r="H126" i="28"/>
  <c r="D126" i="28"/>
  <c r="L126" i="28" s="1"/>
  <c r="B126" i="28"/>
  <c r="Z125" i="28"/>
  <c r="X125" i="28"/>
  <c r="N125" i="28"/>
  <c r="L125" i="28"/>
  <c r="B125" i="28"/>
  <c r="X124" i="28"/>
  <c r="Z124" i="28" s="1"/>
  <c r="L124" i="28"/>
  <c r="N124" i="28" s="1"/>
  <c r="B124" i="28"/>
  <c r="X123" i="28"/>
  <c r="Z123" i="28" s="1"/>
  <c r="T123" i="28"/>
  <c r="P123" i="28"/>
  <c r="H123" i="28"/>
  <c r="D123" i="28"/>
  <c r="B123" i="28"/>
  <c r="Z122" i="28"/>
  <c r="X122" i="28"/>
  <c r="N122" i="28"/>
  <c r="L122" i="28"/>
  <c r="B122" i="28"/>
  <c r="T121" i="28"/>
  <c r="P121" i="28"/>
  <c r="H121" i="28"/>
  <c r="D121" i="28"/>
  <c r="L121" i="28" s="1"/>
  <c r="N121" i="28" s="1"/>
  <c r="B121" i="28"/>
  <c r="X120" i="28"/>
  <c r="Z120" i="28" s="1"/>
  <c r="L120" i="28"/>
  <c r="N120" i="28" s="1"/>
  <c r="B120" i="28"/>
  <c r="T119" i="28"/>
  <c r="P119" i="28"/>
  <c r="X119" i="28" s="1"/>
  <c r="Z119" i="28" s="1"/>
  <c r="H119" i="28"/>
  <c r="D119" i="28"/>
  <c r="L119" i="28" s="1"/>
  <c r="N119" i="28" s="1"/>
  <c r="B119" i="28"/>
  <c r="Z118" i="28"/>
  <c r="X118" i="28"/>
  <c r="N118" i="28"/>
  <c r="L118" i="28"/>
  <c r="B118" i="28"/>
  <c r="Z117" i="28"/>
  <c r="X117" i="28"/>
  <c r="L117" i="28"/>
  <c r="N117" i="28" s="1"/>
  <c r="B117" i="28"/>
  <c r="X116" i="28"/>
  <c r="Z116" i="28" s="1"/>
  <c r="T116" i="28"/>
  <c r="P116" i="28"/>
  <c r="N116" i="28"/>
  <c r="H116" i="28"/>
  <c r="L116" i="28" s="1"/>
  <c r="D116" i="28"/>
  <c r="B116" i="28"/>
  <c r="Z115" i="28"/>
  <c r="X115" i="28"/>
  <c r="N115" i="28"/>
  <c r="L115" i="28"/>
  <c r="B115" i="28"/>
  <c r="Z114" i="28"/>
  <c r="T114" i="28"/>
  <c r="X114" i="28" s="1"/>
  <c r="P114" i="28"/>
  <c r="N114" i="28"/>
  <c r="H114" i="28"/>
  <c r="D114" i="28"/>
  <c r="L114" i="28" s="1"/>
  <c r="B114" i="28"/>
  <c r="Z113" i="28"/>
  <c r="X113" i="28"/>
  <c r="N113" i="28"/>
  <c r="L113" i="28"/>
  <c r="B113" i="28"/>
  <c r="Z112" i="28"/>
  <c r="T112" i="28"/>
  <c r="P112" i="28"/>
  <c r="X112" i="28" s="1"/>
  <c r="H112" i="28"/>
  <c r="N112" i="28" s="1"/>
  <c r="D112" i="28"/>
  <c r="L112" i="28" s="1"/>
  <c r="B112" i="28"/>
  <c r="Z111" i="28"/>
  <c r="X111" i="28"/>
  <c r="N111" i="28"/>
  <c r="L111" i="28"/>
  <c r="B111" i="28"/>
  <c r="Z110" i="28"/>
  <c r="X110" i="28"/>
  <c r="N110" i="28"/>
  <c r="L110" i="28"/>
  <c r="B110" i="28"/>
  <c r="T109" i="28"/>
  <c r="P109" i="28"/>
  <c r="N109" i="28"/>
  <c r="H109" i="28"/>
  <c r="D109" i="28"/>
  <c r="L109" i="28" s="1"/>
  <c r="B109" i="28"/>
  <c r="X108" i="28"/>
  <c r="Z108" i="28" s="1"/>
  <c r="L108" i="28"/>
  <c r="N108" i="28" s="1"/>
  <c r="B108" i="28"/>
  <c r="T107" i="28"/>
  <c r="P107" i="28"/>
  <c r="X107" i="28" s="1"/>
  <c r="Z107" i="28" s="1"/>
  <c r="H107" i="28"/>
  <c r="D107" i="28"/>
  <c r="L107" i="28" s="1"/>
  <c r="N107" i="28" s="1"/>
  <c r="B107" i="28"/>
  <c r="Z106" i="28"/>
  <c r="X106" i="28"/>
  <c r="N106" i="28"/>
  <c r="L106" i="28"/>
  <c r="B106" i="28"/>
  <c r="T105" i="28"/>
  <c r="P105" i="28"/>
  <c r="X105" i="28" s="1"/>
  <c r="Z105" i="28" s="1"/>
  <c r="L105" i="28"/>
  <c r="N105" i="28" s="1"/>
  <c r="H105" i="28"/>
  <c r="D105" i="28"/>
  <c r="B105" i="28"/>
  <c r="X104" i="28"/>
  <c r="Z104" i="28" s="1"/>
  <c r="L104" i="28"/>
  <c r="N104" i="28" s="1"/>
  <c r="B104" i="28"/>
  <c r="X103" i="28"/>
  <c r="Z103" i="28" s="1"/>
  <c r="T103" i="28"/>
  <c r="P103" i="28"/>
  <c r="H103" i="28"/>
  <c r="D103" i="28"/>
  <c r="B103" i="28"/>
  <c r="Z102" i="28"/>
  <c r="X102" i="28"/>
  <c r="N102" i="28"/>
  <c r="L102" i="28"/>
  <c r="B102" i="28"/>
  <c r="X101" i="28"/>
  <c r="Z101" i="28" s="1"/>
  <c r="N101" i="28"/>
  <c r="L101" i="28"/>
  <c r="B101" i="28"/>
  <c r="X100" i="28"/>
  <c r="Z100" i="28" s="1"/>
  <c r="L100" i="28"/>
  <c r="N100" i="28" s="1"/>
  <c r="B100" i="28"/>
  <c r="X99" i="28"/>
  <c r="Z99" i="28" s="1"/>
  <c r="N99" i="28"/>
  <c r="L99" i="28"/>
  <c r="B99" i="28"/>
  <c r="Z98" i="28"/>
  <c r="X98" i="28"/>
  <c r="N98" i="28"/>
  <c r="L98" i="28"/>
  <c r="B98" i="28"/>
  <c r="Z97" i="28"/>
  <c r="X97" i="28"/>
  <c r="L97" i="28"/>
  <c r="N97" i="28" s="1"/>
  <c r="B97" i="28"/>
  <c r="X96" i="28"/>
  <c r="T96" i="28"/>
  <c r="Z96" i="28" s="1"/>
  <c r="P96" i="28"/>
  <c r="N96" i="28"/>
  <c r="H96" i="28"/>
  <c r="L96" i="28" s="1"/>
  <c r="D96" i="28"/>
  <c r="B96" i="28"/>
  <c r="X95" i="28"/>
  <c r="Z95" i="28" s="1"/>
  <c r="N95" i="28"/>
  <c r="L95" i="28"/>
  <c r="B95" i="28"/>
  <c r="Z94" i="28"/>
  <c r="X94" i="28"/>
  <c r="N94" i="28"/>
  <c r="L94" i="28"/>
  <c r="B94" i="28"/>
  <c r="Z93" i="28"/>
  <c r="X93" i="28"/>
  <c r="L93" i="28"/>
  <c r="N93" i="28" s="1"/>
  <c r="B93" i="28"/>
  <c r="X92" i="28"/>
  <c r="Z92" i="28" s="1"/>
  <c r="L92" i="28"/>
  <c r="N92" i="28" s="1"/>
  <c r="B92" i="28"/>
  <c r="Z91" i="28"/>
  <c r="X91" i="28"/>
  <c r="L91" i="28"/>
  <c r="N91" i="28" s="1"/>
  <c r="B91" i="28"/>
  <c r="Z90" i="28"/>
  <c r="X90" i="28"/>
  <c r="N90" i="28"/>
  <c r="L90" i="28"/>
  <c r="B90" i="28"/>
  <c r="X89" i="28"/>
  <c r="Z89" i="28" s="1"/>
  <c r="N89" i="28"/>
  <c r="L89" i="28"/>
  <c r="B89" i="28"/>
  <c r="X88" i="28"/>
  <c r="Z88" i="28" s="1"/>
  <c r="L88" i="28"/>
  <c r="N88" i="28" s="1"/>
  <c r="B88" i="28"/>
  <c r="X87" i="28"/>
  <c r="Z87" i="28" s="1"/>
  <c r="T87" i="28"/>
  <c r="P87" i="28"/>
  <c r="H87" i="28"/>
  <c r="D87" i="28"/>
  <c r="B87" i="28"/>
  <c r="T86" i="28" a="1"/>
  <c r="T86" i="28"/>
  <c r="P86" i="28" a="1"/>
  <c r="P86" i="28" s="1"/>
  <c r="H86" i="28" a="1"/>
  <c r="H86" i="28" s="1"/>
  <c r="D86" i="28" a="1"/>
  <c r="D86" i="28" s="1"/>
  <c r="L86" i="28" s="1"/>
  <c r="Z82" i="28"/>
  <c r="X82" i="28"/>
  <c r="N82" i="28"/>
  <c r="L82" i="28"/>
  <c r="B82" i="28"/>
  <c r="Z81" i="28"/>
  <c r="X81" i="28"/>
  <c r="N81" i="28"/>
  <c r="L81" i="28"/>
  <c r="B81" i="28"/>
  <c r="X80" i="28"/>
  <c r="Z80" i="28" s="1"/>
  <c r="N80" i="28"/>
  <c r="L80" i="28"/>
  <c r="B80" i="28"/>
  <c r="Z79" i="28"/>
  <c r="X79" i="28"/>
  <c r="N79" i="28"/>
  <c r="L79" i="28"/>
  <c r="B79" i="28"/>
  <c r="Z78" i="28"/>
  <c r="X78" i="28"/>
  <c r="N78" i="28"/>
  <c r="L78" i="28"/>
  <c r="B78" i="28"/>
  <c r="X77" i="28"/>
  <c r="Z77" i="28" s="1"/>
  <c r="N77" i="28"/>
  <c r="L77" i="28"/>
  <c r="B77" i="28"/>
  <c r="X76" i="28"/>
  <c r="Z76" i="28" s="1"/>
  <c r="L76" i="28"/>
  <c r="N76" i="28" s="1"/>
  <c r="B76" i="28"/>
  <c r="X75" i="28"/>
  <c r="Z75" i="28" s="1"/>
  <c r="N75" i="28"/>
  <c r="L75" i="28"/>
  <c r="B75" i="28"/>
  <c r="Z74" i="28"/>
  <c r="X74" i="28"/>
  <c r="N74" i="28"/>
  <c r="L74" i="28"/>
  <c r="B74" i="28"/>
  <c r="Z73" i="28"/>
  <c r="X73" i="28"/>
  <c r="N73" i="28"/>
  <c r="L73" i="28"/>
  <c r="B73" i="28"/>
  <c r="Z72" i="28"/>
  <c r="X72" i="28"/>
  <c r="N72" i="28"/>
  <c r="L72" i="28"/>
  <c r="B72" i="28"/>
  <c r="Z71" i="28"/>
  <c r="X71" i="28"/>
  <c r="L71" i="28"/>
  <c r="N71" i="28" s="1"/>
  <c r="B71" i="28"/>
  <c r="Z70" i="28"/>
  <c r="X70" i="28"/>
  <c r="N70" i="28"/>
  <c r="L70" i="28"/>
  <c r="B70" i="28"/>
  <c r="X69" i="28"/>
  <c r="Z69" i="28" s="1"/>
  <c r="N69" i="28"/>
  <c r="L69" i="28"/>
  <c r="B69" i="28"/>
  <c r="X68" i="28"/>
  <c r="Z68" i="28" s="1"/>
  <c r="V68" i="28"/>
  <c r="L68" i="28"/>
  <c r="N68" i="28" s="1"/>
  <c r="B68" i="28"/>
  <c r="X67" i="28"/>
  <c r="Z67" i="28" s="1"/>
  <c r="N67" i="28"/>
  <c r="L67" i="28"/>
  <c r="B67" i="28"/>
  <c r="Z66" i="28"/>
  <c r="X66" i="28"/>
  <c r="N66" i="28"/>
  <c r="L66" i="28"/>
  <c r="B66" i="28"/>
  <c r="Z65" i="28"/>
  <c r="X65" i="28"/>
  <c r="N65" i="28"/>
  <c r="L65" i="28"/>
  <c r="B65" i="28"/>
  <c r="X64" i="28"/>
  <c r="Z64" i="28" s="1"/>
  <c r="L64" i="28"/>
  <c r="N64" i="28" s="1"/>
  <c r="B64" i="28"/>
  <c r="Z63" i="28"/>
  <c r="X63" i="28"/>
  <c r="L63" i="28"/>
  <c r="N63" i="28" s="1"/>
  <c r="B63" i="28"/>
  <c r="Z62" i="28"/>
  <c r="X62" i="28"/>
  <c r="N62" i="28"/>
  <c r="L62" i="28"/>
  <c r="B62" i="28"/>
  <c r="X61" i="28"/>
  <c r="Z61" i="28" s="1"/>
  <c r="N61" i="28"/>
  <c r="L61" i="28"/>
  <c r="B61" i="28"/>
  <c r="X60" i="28"/>
  <c r="Z60" i="28" s="1"/>
  <c r="L60" i="28"/>
  <c r="N60" i="28" s="1"/>
  <c r="B60" i="28"/>
  <c r="X59" i="28"/>
  <c r="Z59" i="28" s="1"/>
  <c r="N59" i="28"/>
  <c r="L59" i="28"/>
  <c r="B59" i="28"/>
  <c r="Z58" i="28"/>
  <c r="X58" i="28"/>
  <c r="N58" i="28"/>
  <c r="L58" i="28"/>
  <c r="B58" i="28"/>
  <c r="Z57" i="28"/>
  <c r="X57" i="28"/>
  <c r="N57" i="28"/>
  <c r="L57" i="28"/>
  <c r="B57" i="28"/>
  <c r="X56" i="28"/>
  <c r="Z56" i="28" s="1"/>
  <c r="T56" i="28"/>
  <c r="P56" i="28"/>
  <c r="N56" i="28"/>
  <c r="H56" i="28"/>
  <c r="L56" i="28" s="1"/>
  <c r="D56" i="28"/>
  <c r="T54" i="28"/>
  <c r="P54" i="28"/>
  <c r="N54" i="28"/>
  <c r="L54" i="28"/>
  <c r="H54" i="28"/>
  <c r="D54" i="28"/>
  <c r="B54" i="28"/>
  <c r="X53" i="28"/>
  <c r="Z53" i="28" s="1"/>
  <c r="T53" i="28"/>
  <c r="P53" i="28"/>
  <c r="N53" i="28"/>
  <c r="H53" i="28"/>
  <c r="D53" i="28"/>
  <c r="L53" i="28" s="1"/>
  <c r="B53" i="28"/>
  <c r="Z52" i="28"/>
  <c r="T52" i="28"/>
  <c r="P52" i="28"/>
  <c r="X52" i="28" s="1"/>
  <c r="H52" i="28"/>
  <c r="D52" i="28"/>
  <c r="L52" i="28" s="1"/>
  <c r="B52" i="28"/>
  <c r="T51" i="28"/>
  <c r="P51" i="28"/>
  <c r="H51" i="28"/>
  <c r="N51" i="28" s="1"/>
  <c r="D51" i="28"/>
  <c r="L51" i="28" s="1"/>
  <c r="B51" i="28"/>
  <c r="Z50" i="28"/>
  <c r="X50" i="28"/>
  <c r="T50" i="28"/>
  <c r="P50" i="28"/>
  <c r="H50" i="28"/>
  <c r="D50" i="28"/>
  <c r="B50" i="28"/>
  <c r="Z49" i="28"/>
  <c r="T49" i="28"/>
  <c r="P49" i="28"/>
  <c r="X49" i="28" s="1"/>
  <c r="L49" i="28"/>
  <c r="N49" i="28" s="1"/>
  <c r="H49" i="28"/>
  <c r="D49" i="28"/>
  <c r="B49" i="28"/>
  <c r="T48" i="28"/>
  <c r="P48" i="28"/>
  <c r="X48" i="28" s="1"/>
  <c r="H48" i="28"/>
  <c r="D48" i="28"/>
  <c r="L48" i="28" s="1"/>
  <c r="N48" i="28" s="1"/>
  <c r="B48" i="28"/>
  <c r="T47" i="28"/>
  <c r="Z47" i="28" s="1"/>
  <c r="P47" i="28"/>
  <c r="X47" i="28" s="1"/>
  <c r="H47" i="28"/>
  <c r="D47" i="28"/>
  <c r="B47" i="28"/>
  <c r="T46" i="28"/>
  <c r="P46" i="28"/>
  <c r="L46" i="28"/>
  <c r="N46" i="28" s="1"/>
  <c r="H46" i="28"/>
  <c r="D46" i="28"/>
  <c r="B46" i="28"/>
  <c r="X45" i="28"/>
  <c r="Z45" i="28" s="1"/>
  <c r="T45" i="28"/>
  <c r="P45" i="28"/>
  <c r="H45" i="28"/>
  <c r="D45" i="28"/>
  <c r="L45" i="28" s="1"/>
  <c r="N45" i="28" s="1"/>
  <c r="B45" i="28"/>
  <c r="Z44" i="28"/>
  <c r="T44" i="28"/>
  <c r="P44" i="28"/>
  <c r="X44" i="28" s="1"/>
  <c r="H44" i="28"/>
  <c r="D44" i="28"/>
  <c r="L44" i="28" s="1"/>
  <c r="B44" i="28"/>
  <c r="T43" i="28"/>
  <c r="P43" i="28"/>
  <c r="H43" i="28"/>
  <c r="D43" i="28"/>
  <c r="L43" i="28" s="1"/>
  <c r="B43" i="28"/>
  <c r="X42" i="28"/>
  <c r="Z42" i="28" s="1"/>
  <c r="T42" i="28"/>
  <c r="P42" i="28"/>
  <c r="H42" i="28"/>
  <c r="D42" i="28"/>
  <c r="B42" i="28"/>
  <c r="Z41" i="28"/>
  <c r="T41" i="28"/>
  <c r="P41" i="28"/>
  <c r="X41" i="28" s="1"/>
  <c r="N41" i="28"/>
  <c r="L41" i="28"/>
  <c r="H41" i="28"/>
  <c r="D41" i="28"/>
  <c r="B41" i="28"/>
  <c r="T40" i="28"/>
  <c r="Z40" i="28" s="1"/>
  <c r="P40" i="28"/>
  <c r="X40" i="28" s="1"/>
  <c r="N40" i="28"/>
  <c r="H40" i="28"/>
  <c r="D40" i="28"/>
  <c r="L40" i="28" s="1"/>
  <c r="B40" i="28"/>
  <c r="T39" i="28"/>
  <c r="Z39" i="28" s="1"/>
  <c r="P39" i="28"/>
  <c r="X39" i="28" s="1"/>
  <c r="H39" i="28"/>
  <c r="D39" i="28"/>
  <c r="B39" i="28"/>
  <c r="T38" i="28"/>
  <c r="P38" i="28"/>
  <c r="L38" i="28"/>
  <c r="N38" i="28" s="1"/>
  <c r="H38" i="28"/>
  <c r="D38" i="28"/>
  <c r="B38" i="28"/>
  <c r="X37" i="28"/>
  <c r="Z37" i="28" s="1"/>
  <c r="T37" i="28"/>
  <c r="P37" i="28"/>
  <c r="H37" i="28"/>
  <c r="D37" i="28"/>
  <c r="L37" i="28" s="1"/>
  <c r="N37" i="28" s="1"/>
  <c r="B37" i="28"/>
  <c r="Z36" i="28"/>
  <c r="T36" i="28"/>
  <c r="P36" i="28"/>
  <c r="X36" i="28" s="1"/>
  <c r="H36" i="28"/>
  <c r="N36" i="28" s="1"/>
  <c r="D36" i="28"/>
  <c r="L36" i="28" s="1"/>
  <c r="B36" i="28"/>
  <c r="T35" i="28"/>
  <c r="P35" i="28"/>
  <c r="H35" i="28"/>
  <c r="N35" i="28" s="1"/>
  <c r="D35" i="28"/>
  <c r="L35" i="28" s="1"/>
  <c r="B35" i="28"/>
  <c r="X34" i="28"/>
  <c r="Z34" i="28" s="1"/>
  <c r="T34" i="28"/>
  <c r="P34" i="28"/>
  <c r="H34" i="28"/>
  <c r="D34" i="28"/>
  <c r="B34" i="28"/>
  <c r="T33" i="28"/>
  <c r="P33" i="28"/>
  <c r="X33" i="28" s="1"/>
  <c r="Z33" i="28" s="1"/>
  <c r="N33" i="28"/>
  <c r="L33" i="28"/>
  <c r="H33" i="28"/>
  <c r="D33" i="28"/>
  <c r="B33" i="28"/>
  <c r="T32" i="28"/>
  <c r="P32" i="28"/>
  <c r="X32" i="28" s="1"/>
  <c r="N32" i="28"/>
  <c r="H32" i="28"/>
  <c r="D32" i="28"/>
  <c r="L32" i="28" s="1"/>
  <c r="B32" i="28"/>
  <c r="T31" i="28"/>
  <c r="P31" i="28"/>
  <c r="X31" i="28" s="1"/>
  <c r="H31" i="28"/>
  <c r="D31" i="28"/>
  <c r="B31" i="28"/>
  <c r="T30" i="28"/>
  <c r="P30" i="28"/>
  <c r="N30" i="28"/>
  <c r="L30" i="28"/>
  <c r="H30" i="28"/>
  <c r="D30" i="28"/>
  <c r="B30" i="28"/>
  <c r="X29" i="28"/>
  <c r="Z29" i="28" s="1"/>
  <c r="T29" i="28"/>
  <c r="P29" i="28"/>
  <c r="H29" i="28"/>
  <c r="D29" i="28"/>
  <c r="L29" i="28" s="1"/>
  <c r="N29" i="28" s="1"/>
  <c r="B29" i="28"/>
  <c r="Z28" i="28"/>
  <c r="T28" i="28"/>
  <c r="P28" i="28"/>
  <c r="X28" i="28" s="1"/>
  <c r="H28" i="28"/>
  <c r="N28" i="28" s="1"/>
  <c r="D28" i="28"/>
  <c r="L28" i="28" s="1"/>
  <c r="B28" i="28"/>
  <c r="T27" i="28"/>
  <c r="P27" i="28"/>
  <c r="H27" i="28"/>
  <c r="D27" i="28"/>
  <c r="L27" i="28" s="1"/>
  <c r="B27" i="28"/>
  <c r="X26" i="28"/>
  <c r="Z26" i="28" s="1"/>
  <c r="T26" i="28"/>
  <c r="P26" i="28"/>
  <c r="H26" i="28"/>
  <c r="D26" i="28"/>
  <c r="B26" i="28"/>
  <c r="Z25" i="28"/>
  <c r="T25" i="28"/>
  <c r="P25" i="28"/>
  <c r="X25" i="28" s="1"/>
  <c r="N25" i="28"/>
  <c r="L25" i="28"/>
  <c r="H25" i="28"/>
  <c r="D25" i="28"/>
  <c r="B25" i="28"/>
  <c r="T24" i="28"/>
  <c r="Z24" i="28" s="1"/>
  <c r="P24" i="28"/>
  <c r="X24" i="28" s="1"/>
  <c r="N24" i="28"/>
  <c r="H24" i="28"/>
  <c r="D24" i="28"/>
  <c r="L24" i="28" s="1"/>
  <c r="B24" i="28"/>
  <c r="T23" i="28"/>
  <c r="P23" i="28"/>
  <c r="X23" i="28" s="1"/>
  <c r="H23" i="28"/>
  <c r="D23" i="28"/>
  <c r="B23" i="28"/>
  <c r="T22" i="28"/>
  <c r="P22" i="28"/>
  <c r="L22" i="28"/>
  <c r="N22" i="28" s="1"/>
  <c r="H22" i="28"/>
  <c r="D22" i="28"/>
  <c r="B22" i="28"/>
  <c r="X21" i="28"/>
  <c r="Z21" i="28" s="1"/>
  <c r="T21" i="28"/>
  <c r="P21" i="28"/>
  <c r="N21" i="28"/>
  <c r="H21" i="28"/>
  <c r="D21" i="28"/>
  <c r="L21" i="28" s="1"/>
  <c r="B21" i="28"/>
  <c r="T20" i="28"/>
  <c r="P20" i="28"/>
  <c r="X20" i="28" s="1"/>
  <c r="Z20" i="28" s="1"/>
  <c r="H20" i="28"/>
  <c r="N20" i="28" s="1"/>
  <c r="D20" i="28"/>
  <c r="L20" i="28" s="1"/>
  <c r="B20" i="28"/>
  <c r="T19" i="28"/>
  <c r="P19" i="28"/>
  <c r="H19" i="28"/>
  <c r="N19" i="28" s="1"/>
  <c r="D19" i="28"/>
  <c r="L19" i="28" s="1"/>
  <c r="B19" i="28"/>
  <c r="X18" i="28"/>
  <c r="Z18" i="28" s="1"/>
  <c r="T18" i="28"/>
  <c r="P18" i="28"/>
  <c r="H18" i="28"/>
  <c r="D18" i="28"/>
  <c r="B18" i="28"/>
  <c r="T17" i="28"/>
  <c r="P17" i="28"/>
  <c r="X17" i="28" s="1"/>
  <c r="Z17" i="28" s="1"/>
  <c r="L17" i="28"/>
  <c r="N17" i="28" s="1"/>
  <c r="H17" i="28"/>
  <c r="D17" i="28"/>
  <c r="B17" i="28"/>
  <c r="T16" i="28"/>
  <c r="Z16" i="28" s="1"/>
  <c r="P16" i="28"/>
  <c r="X16" i="28" s="1"/>
  <c r="H16" i="28"/>
  <c r="D16" i="28"/>
  <c r="B16" i="28"/>
  <c r="T15" i="28"/>
  <c r="P15" i="28"/>
  <c r="X15" i="28" s="1"/>
  <c r="H15" i="28"/>
  <c r="D15" i="28"/>
  <c r="B15" i="28"/>
  <c r="T14" i="28"/>
  <c r="P14" i="28"/>
  <c r="L14" i="28"/>
  <c r="N14" i="28" s="1"/>
  <c r="H14" i="28"/>
  <c r="D14" i="28"/>
  <c r="B14" i="28"/>
  <c r="X13" i="28"/>
  <c r="Z13" i="28" s="1"/>
  <c r="T13" i="28"/>
  <c r="T12" i="28" s="1"/>
  <c r="P13" i="28"/>
  <c r="N13" i="28"/>
  <c r="H13" i="28"/>
  <c r="D13" i="28"/>
  <c r="L13" i="28" s="1"/>
  <c r="B13" i="28"/>
  <c r="D4" i="28"/>
  <c r="B39" i="27"/>
  <c r="B38" i="27"/>
  <c r="T34" i="27"/>
  <c r="Z34" i="27" s="1"/>
  <c r="P34" i="27"/>
  <c r="H34" i="27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N21" i="27" s="1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V22" i="27" s="1"/>
  <c r="P12" i="27"/>
  <c r="R22" i="27" s="1"/>
  <c r="H12" i="27"/>
  <c r="J21" i="27" s="1"/>
  <c r="D12" i="27"/>
  <c r="F34" i="27" s="1"/>
  <c r="D5" i="27"/>
  <c r="D4" i="27"/>
  <c r="B39" i="26"/>
  <c r="B38" i="26"/>
  <c r="T34" i="26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P22" i="26"/>
  <c r="H22" i="26"/>
  <c r="N22" i="26" s="1"/>
  <c r="D22" i="26"/>
  <c r="B22" i="26"/>
  <c r="T21" i="26"/>
  <c r="Z21" i="26" s="1"/>
  <c r="P21" i="26"/>
  <c r="H21" i="26"/>
  <c r="D21" i="26"/>
  <c r="B21" i="26"/>
  <c r="T20" i="26"/>
  <c r="Z20" i="26" s="1"/>
  <c r="P20" i="26"/>
  <c r="H20" i="26"/>
  <c r="D20" i="26"/>
  <c r="T16" i="26"/>
  <c r="Z16" i="26" s="1"/>
  <c r="P16" i="26"/>
  <c r="H16" i="26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4" i="26" s="1"/>
  <c r="P12" i="26"/>
  <c r="R25" i="26" s="1"/>
  <c r="H12" i="26"/>
  <c r="J18" i="26" s="1"/>
  <c r="D12" i="26"/>
  <c r="F24" i="26" s="1"/>
  <c r="D5" i="26"/>
  <c r="D4" i="26"/>
  <c r="Z121" i="25"/>
  <c r="X121" i="25"/>
  <c r="L121" i="25"/>
  <c r="N121" i="25" s="1"/>
  <c r="X117" i="25"/>
  <c r="Z117" i="25" s="1"/>
  <c r="T117" i="25"/>
  <c r="P117" i="25"/>
  <c r="H117" i="25"/>
  <c r="D117" i="25"/>
  <c r="B117" i="25"/>
  <c r="T116" i="25"/>
  <c r="T114" i="25" s="1"/>
  <c r="P116" i="25"/>
  <c r="X116" i="25" s="1"/>
  <c r="N116" i="25"/>
  <c r="L116" i="25"/>
  <c r="H116" i="25"/>
  <c r="D116" i="25"/>
  <c r="D114" i="25" s="1"/>
  <c r="B116" i="25"/>
  <c r="T115" i="25"/>
  <c r="P115" i="25"/>
  <c r="X115" i="25" s="1"/>
  <c r="Z115" i="25" s="1"/>
  <c r="N115" i="25"/>
  <c r="L115" i="25"/>
  <c r="H115" i="25"/>
  <c r="D115" i="25"/>
  <c r="B115" i="25"/>
  <c r="P114" i="25"/>
  <c r="X114" i="25" s="1"/>
  <c r="X112" i="25"/>
  <c r="Z112" i="25" s="1"/>
  <c r="N112" i="25"/>
  <c r="L112" i="25"/>
  <c r="B112" i="25"/>
  <c r="Z111" i="25"/>
  <c r="T111" i="25"/>
  <c r="P111" i="25"/>
  <c r="X111" i="25" s="1"/>
  <c r="N111" i="25"/>
  <c r="H111" i="25"/>
  <c r="D111" i="25"/>
  <c r="L111" i="25" s="1"/>
  <c r="B111" i="25"/>
  <c r="Z110" i="25"/>
  <c r="X110" i="25"/>
  <c r="N110" i="25"/>
  <c r="L110" i="25"/>
  <c r="B110" i="25"/>
  <c r="Z109" i="25"/>
  <c r="T109" i="25"/>
  <c r="P109" i="25"/>
  <c r="X109" i="25" s="1"/>
  <c r="N109" i="25"/>
  <c r="L109" i="25"/>
  <c r="H109" i="25"/>
  <c r="D109" i="25"/>
  <c r="B109" i="25"/>
  <c r="X108" i="25"/>
  <c r="Z108" i="25" s="1"/>
  <c r="L108" i="25"/>
  <c r="N108" i="25" s="1"/>
  <c r="B108" i="25"/>
  <c r="X107" i="25"/>
  <c r="Z107" i="25" s="1"/>
  <c r="N107" i="25"/>
  <c r="L107" i="25"/>
  <c r="B107" i="25"/>
  <c r="T106" i="25"/>
  <c r="P106" i="25"/>
  <c r="H106" i="25"/>
  <c r="D106" i="25"/>
  <c r="L106" i="25" s="1"/>
  <c r="N106" i="25" s="1"/>
  <c r="B106" i="25"/>
  <c r="X105" i="25"/>
  <c r="Z105" i="25" s="1"/>
  <c r="L105" i="25"/>
  <c r="N105" i="25" s="1"/>
  <c r="B105" i="25"/>
  <c r="X104" i="25"/>
  <c r="Z104" i="25" s="1"/>
  <c r="L104" i="25"/>
  <c r="N104" i="25" s="1"/>
  <c r="B104" i="25"/>
  <c r="X103" i="25"/>
  <c r="Z103" i="25" s="1"/>
  <c r="T103" i="25"/>
  <c r="P103" i="25"/>
  <c r="H103" i="25"/>
  <c r="D103" i="25"/>
  <c r="B103" i="25"/>
  <c r="X102" i="25"/>
  <c r="Z102" i="25" s="1"/>
  <c r="N102" i="25"/>
  <c r="L102" i="25"/>
  <c r="B102" i="25"/>
  <c r="X101" i="25"/>
  <c r="Z101" i="25" s="1"/>
  <c r="L101" i="25"/>
  <c r="N101" i="25" s="1"/>
  <c r="B101" i="25"/>
  <c r="T100" i="25"/>
  <c r="P100" i="25"/>
  <c r="X100" i="25" s="1"/>
  <c r="Z100" i="25" s="1"/>
  <c r="H100" i="25"/>
  <c r="D100" i="25"/>
  <c r="L100" i="25" s="1"/>
  <c r="B100" i="25"/>
  <c r="Z99" i="25"/>
  <c r="X99" i="25"/>
  <c r="L99" i="25"/>
  <c r="N99" i="25" s="1"/>
  <c r="B99" i="25"/>
  <c r="X98" i="25"/>
  <c r="Z98" i="25" s="1"/>
  <c r="N98" i="25"/>
  <c r="L98" i="25"/>
  <c r="B98" i="25"/>
  <c r="Z97" i="25"/>
  <c r="X97" i="25"/>
  <c r="N97" i="25"/>
  <c r="L97" i="25"/>
  <c r="B97" i="25"/>
  <c r="T96" i="25"/>
  <c r="P96" i="25"/>
  <c r="X96" i="25" s="1"/>
  <c r="Z96" i="25" s="1"/>
  <c r="H96" i="25"/>
  <c r="D96" i="25"/>
  <c r="B96" i="25"/>
  <c r="Z95" i="25"/>
  <c r="X95" i="25"/>
  <c r="L95" i="25"/>
  <c r="N95" i="25" s="1"/>
  <c r="B95" i="25"/>
  <c r="T94" i="25"/>
  <c r="Z94" i="25" s="1"/>
  <c r="P94" i="25"/>
  <c r="X94" i="25" s="1"/>
  <c r="L94" i="25"/>
  <c r="H94" i="25"/>
  <c r="D94" i="25"/>
  <c r="B94" i="25"/>
  <c r="X93" i="25"/>
  <c r="Z93" i="25" s="1"/>
  <c r="L93" i="25"/>
  <c r="N93" i="25" s="1"/>
  <c r="B93" i="25"/>
  <c r="X92" i="25"/>
  <c r="T92" i="25"/>
  <c r="P92" i="25"/>
  <c r="H92" i="25"/>
  <c r="D92" i="25"/>
  <c r="B92" i="25"/>
  <c r="X91" i="25"/>
  <c r="Z91" i="25" s="1"/>
  <c r="N91" i="25"/>
  <c r="L91" i="25"/>
  <c r="B91" i="25"/>
  <c r="Z90" i="25"/>
  <c r="X90" i="25"/>
  <c r="L90" i="25"/>
  <c r="N90" i="25" s="1"/>
  <c r="B90" i="25"/>
  <c r="T89" i="25"/>
  <c r="P89" i="25"/>
  <c r="X89" i="25" s="1"/>
  <c r="L89" i="25"/>
  <c r="N89" i="25" s="1"/>
  <c r="H89" i="25"/>
  <c r="D89" i="25"/>
  <c r="B89" i="25"/>
  <c r="X88" i="25"/>
  <c r="Z88" i="25" s="1"/>
  <c r="L88" i="25"/>
  <c r="N88" i="25" s="1"/>
  <c r="B88" i="25"/>
  <c r="X87" i="25"/>
  <c r="Z87" i="25" s="1"/>
  <c r="T87" i="25"/>
  <c r="P87" i="25"/>
  <c r="H87" i="25"/>
  <c r="D87" i="25"/>
  <c r="B87" i="25"/>
  <c r="X86" i="25"/>
  <c r="Z86" i="25" s="1"/>
  <c r="N86" i="25"/>
  <c r="L86" i="25"/>
  <c r="B86" i="25"/>
  <c r="T85" i="25"/>
  <c r="P85" i="25"/>
  <c r="N85" i="25"/>
  <c r="H85" i="25"/>
  <c r="D85" i="25"/>
  <c r="L85" i="25" s="1"/>
  <c r="B85" i="25"/>
  <c r="Z84" i="25"/>
  <c r="X84" i="25"/>
  <c r="N84" i="25"/>
  <c r="L84" i="25"/>
  <c r="B84" i="25"/>
  <c r="Z83" i="25"/>
  <c r="X83" i="25"/>
  <c r="N83" i="25"/>
  <c r="L83" i="25"/>
  <c r="B83" i="25"/>
  <c r="T82" i="25"/>
  <c r="Z82" i="25" s="1"/>
  <c r="P82" i="25"/>
  <c r="X82" i="25" s="1"/>
  <c r="N82" i="25"/>
  <c r="L82" i="25"/>
  <c r="H82" i="25"/>
  <c r="D82" i="25"/>
  <c r="B82" i="25"/>
  <c r="X81" i="25"/>
  <c r="Z81" i="25" s="1"/>
  <c r="N81" i="25"/>
  <c r="L81" i="25"/>
  <c r="B81" i="25"/>
  <c r="X80" i="25"/>
  <c r="T80" i="25"/>
  <c r="P80" i="25"/>
  <c r="N80" i="25"/>
  <c r="H80" i="25"/>
  <c r="L80" i="25" s="1"/>
  <c r="D80" i="25"/>
  <c r="B80" i="25"/>
  <c r="X79" i="25"/>
  <c r="Z79" i="25" s="1"/>
  <c r="N79" i="25"/>
  <c r="L79" i="25"/>
  <c r="B79" i="25"/>
  <c r="Z78" i="25"/>
  <c r="X78" i="25"/>
  <c r="L78" i="25"/>
  <c r="N78" i="25" s="1"/>
  <c r="B78" i="25"/>
  <c r="Z77" i="25"/>
  <c r="X77" i="25"/>
  <c r="N77" i="25"/>
  <c r="L77" i="25"/>
  <c r="B77" i="25"/>
  <c r="X76" i="25"/>
  <c r="Z76" i="25" s="1"/>
  <c r="L76" i="25"/>
  <c r="N76" i="25" s="1"/>
  <c r="B76" i="25"/>
  <c r="Z75" i="25"/>
  <c r="X75" i="25"/>
  <c r="N75" i="25"/>
  <c r="L75" i="25"/>
  <c r="B75" i="25"/>
  <c r="Z74" i="25"/>
  <c r="X74" i="25"/>
  <c r="N74" i="25"/>
  <c r="L74" i="25"/>
  <c r="B74" i="25"/>
  <c r="X73" i="25"/>
  <c r="Z73" i="25" s="1"/>
  <c r="N73" i="25"/>
  <c r="L73" i="25"/>
  <c r="B73" i="25"/>
  <c r="T72" i="25"/>
  <c r="P72" i="25"/>
  <c r="X72" i="25" s="1"/>
  <c r="H72" i="25"/>
  <c r="D72" i="25"/>
  <c r="B72" i="25"/>
  <c r="Z71" i="25"/>
  <c r="X71" i="25"/>
  <c r="N71" i="25"/>
  <c r="L71" i="25"/>
  <c r="B71" i="25"/>
  <c r="X70" i="25"/>
  <c r="Z70" i="25" s="1"/>
  <c r="N70" i="25"/>
  <c r="L70" i="25"/>
  <c r="B70" i="25"/>
  <c r="Z69" i="25"/>
  <c r="X69" i="25"/>
  <c r="N69" i="25"/>
  <c r="L69" i="25"/>
  <c r="B69" i="25"/>
  <c r="X68" i="25"/>
  <c r="Z68" i="25" s="1"/>
  <c r="L68" i="25"/>
  <c r="N68" i="25" s="1"/>
  <c r="B68" i="25"/>
  <c r="Z67" i="25"/>
  <c r="X67" i="25"/>
  <c r="N67" i="25"/>
  <c r="L67" i="25"/>
  <c r="B67" i="25"/>
  <c r="Z66" i="25"/>
  <c r="X66" i="25"/>
  <c r="L66" i="25"/>
  <c r="N66" i="25" s="1"/>
  <c r="B66" i="25"/>
  <c r="X65" i="25"/>
  <c r="Z65" i="25" s="1"/>
  <c r="N65" i="25"/>
  <c r="L65" i="25"/>
  <c r="B65" i="25"/>
  <c r="X64" i="25"/>
  <c r="Z64" i="25" s="1"/>
  <c r="L64" i="25"/>
  <c r="N64" i="25" s="1"/>
  <c r="B64" i="25"/>
  <c r="Z63" i="25"/>
  <c r="X63" i="25"/>
  <c r="N63" i="25"/>
  <c r="L63" i="25"/>
  <c r="B63" i="25"/>
  <c r="T62" i="25"/>
  <c r="P62" i="25"/>
  <c r="L62" i="25"/>
  <c r="H62" i="25"/>
  <c r="D62" i="25"/>
  <c r="B62" i="25"/>
  <c r="T61" i="25" a="1"/>
  <c r="T61" i="25" s="1"/>
  <c r="P61" i="25" a="1"/>
  <c r="P61" i="25" s="1"/>
  <c r="H61" i="25" a="1"/>
  <c r="H61" i="25" s="1"/>
  <c r="D61" i="25" a="1"/>
  <c r="D61" i="25" s="1"/>
  <c r="L61" i="25" s="1"/>
  <c r="Z57" i="25"/>
  <c r="X57" i="25"/>
  <c r="N57" i="25"/>
  <c r="L57" i="25"/>
  <c r="B57" i="25"/>
  <c r="X56" i="25"/>
  <c r="Z56" i="25" s="1"/>
  <c r="N56" i="25"/>
  <c r="L56" i="25"/>
  <c r="B56" i="25"/>
  <c r="Z55" i="25"/>
  <c r="X55" i="25"/>
  <c r="N55" i="25"/>
  <c r="L55" i="25"/>
  <c r="B55" i="25"/>
  <c r="Z54" i="25"/>
  <c r="X54" i="25"/>
  <c r="N54" i="25"/>
  <c r="L54" i="25"/>
  <c r="B54" i="25"/>
  <c r="X53" i="25"/>
  <c r="Z53" i="25" s="1"/>
  <c r="L53" i="25"/>
  <c r="N53" i="25" s="1"/>
  <c r="B53" i="25"/>
  <c r="Z52" i="25"/>
  <c r="X52" i="25"/>
  <c r="N52" i="25"/>
  <c r="L52" i="25"/>
  <c r="B52" i="25"/>
  <c r="Z51" i="25"/>
  <c r="X51" i="25"/>
  <c r="L51" i="25"/>
  <c r="N51" i="25" s="1"/>
  <c r="B51" i="25"/>
  <c r="Z50" i="25"/>
  <c r="X50" i="25"/>
  <c r="N50" i="25"/>
  <c r="L50" i="25"/>
  <c r="B50" i="25"/>
  <c r="X49" i="25"/>
  <c r="Z49" i="25" s="1"/>
  <c r="N49" i="25"/>
  <c r="L49" i="25"/>
  <c r="B49" i="25"/>
  <c r="X48" i="25"/>
  <c r="Z48" i="25" s="1"/>
  <c r="N48" i="25"/>
  <c r="L48" i="25"/>
  <c r="B48" i="25"/>
  <c r="Z47" i="25"/>
  <c r="X47" i="25"/>
  <c r="N47" i="25"/>
  <c r="L47" i="25"/>
  <c r="B47" i="25"/>
  <c r="Z46" i="25"/>
  <c r="X46" i="25"/>
  <c r="N46" i="25"/>
  <c r="L46" i="25"/>
  <c r="B46" i="25"/>
  <c r="X45" i="25"/>
  <c r="Z45" i="25" s="1"/>
  <c r="N45" i="25"/>
  <c r="L45" i="25"/>
  <c r="B45" i="25"/>
  <c r="X44" i="25"/>
  <c r="Z44" i="25" s="1"/>
  <c r="N44" i="25"/>
  <c r="L44" i="25"/>
  <c r="B44" i="25"/>
  <c r="Z43" i="25"/>
  <c r="X43" i="25"/>
  <c r="L43" i="25"/>
  <c r="N43" i="25" s="1"/>
  <c r="B43" i="25"/>
  <c r="Z42" i="25"/>
  <c r="X42" i="25"/>
  <c r="N42" i="25"/>
  <c r="L42" i="25"/>
  <c r="B42" i="25"/>
  <c r="Z41" i="25"/>
  <c r="X41" i="25"/>
  <c r="N41" i="25"/>
  <c r="L41" i="25"/>
  <c r="B41" i="25"/>
  <c r="X40" i="25"/>
  <c r="T40" i="25"/>
  <c r="Z40" i="25" s="1"/>
  <c r="P40" i="25"/>
  <c r="H40" i="25"/>
  <c r="D40" i="25"/>
  <c r="X38" i="25"/>
  <c r="T38" i="25"/>
  <c r="Z38" i="25" s="1"/>
  <c r="P38" i="25"/>
  <c r="L38" i="25"/>
  <c r="H38" i="25"/>
  <c r="N38" i="25" s="1"/>
  <c r="D38" i="25"/>
  <c r="B38" i="25"/>
  <c r="Z37" i="25"/>
  <c r="X37" i="25"/>
  <c r="T37" i="25"/>
  <c r="P37" i="25"/>
  <c r="N37" i="25"/>
  <c r="L37" i="25"/>
  <c r="H37" i="25"/>
  <c r="D37" i="25"/>
  <c r="B37" i="25"/>
  <c r="T36" i="25"/>
  <c r="P36" i="25"/>
  <c r="X36" i="25" s="1"/>
  <c r="Z36" i="25" s="1"/>
  <c r="N36" i="25"/>
  <c r="H36" i="25"/>
  <c r="D36" i="25"/>
  <c r="L36" i="25" s="1"/>
  <c r="B36" i="25"/>
  <c r="T35" i="25"/>
  <c r="P35" i="25"/>
  <c r="H35" i="25"/>
  <c r="D35" i="25"/>
  <c r="B35" i="25"/>
  <c r="X34" i="25"/>
  <c r="T34" i="25"/>
  <c r="Z34" i="25" s="1"/>
  <c r="P34" i="25"/>
  <c r="L34" i="25"/>
  <c r="H34" i="25"/>
  <c r="N34" i="25" s="1"/>
  <c r="D34" i="25"/>
  <c r="B34" i="25"/>
  <c r="Z33" i="25"/>
  <c r="X33" i="25"/>
  <c r="T33" i="25"/>
  <c r="P33" i="25"/>
  <c r="N33" i="25"/>
  <c r="L33" i="25"/>
  <c r="H33" i="25"/>
  <c r="D33" i="25"/>
  <c r="B33" i="25"/>
  <c r="T32" i="25"/>
  <c r="P32" i="25"/>
  <c r="X32" i="25" s="1"/>
  <c r="Z32" i="25" s="1"/>
  <c r="N32" i="25"/>
  <c r="H32" i="25"/>
  <c r="D32" i="25"/>
  <c r="L32" i="25" s="1"/>
  <c r="B32" i="25"/>
  <c r="T31" i="25"/>
  <c r="P31" i="25"/>
  <c r="H31" i="25"/>
  <c r="N31" i="25" s="1"/>
  <c r="D31" i="25"/>
  <c r="L31" i="25" s="1"/>
  <c r="B31" i="25"/>
  <c r="X30" i="25"/>
  <c r="T30" i="25"/>
  <c r="Z30" i="25" s="1"/>
  <c r="P30" i="25"/>
  <c r="L30" i="25"/>
  <c r="H30" i="25"/>
  <c r="D30" i="25"/>
  <c r="B30" i="25"/>
  <c r="Z29" i="25"/>
  <c r="X29" i="25"/>
  <c r="T29" i="25"/>
  <c r="P29" i="25"/>
  <c r="N29" i="25"/>
  <c r="L29" i="25"/>
  <c r="H29" i="25"/>
  <c r="D29" i="25"/>
  <c r="B29" i="25"/>
  <c r="Z28" i="25"/>
  <c r="T28" i="25"/>
  <c r="P28" i="25"/>
  <c r="X28" i="25" s="1"/>
  <c r="N28" i="25"/>
  <c r="H28" i="25"/>
  <c r="D28" i="25"/>
  <c r="L28" i="25" s="1"/>
  <c r="B28" i="25"/>
  <c r="T27" i="25"/>
  <c r="P27" i="25"/>
  <c r="H27" i="25"/>
  <c r="N27" i="25" s="1"/>
  <c r="D27" i="25"/>
  <c r="B27" i="25"/>
  <c r="X26" i="25"/>
  <c r="T26" i="25"/>
  <c r="P26" i="25"/>
  <c r="L26" i="25"/>
  <c r="H26" i="25"/>
  <c r="D26" i="25"/>
  <c r="B26" i="25"/>
  <c r="Z25" i="25"/>
  <c r="X25" i="25"/>
  <c r="T25" i="25"/>
  <c r="P25" i="25"/>
  <c r="N25" i="25"/>
  <c r="L25" i="25"/>
  <c r="H25" i="25"/>
  <c r="D25" i="25"/>
  <c r="B25" i="25"/>
  <c r="T24" i="25"/>
  <c r="P24" i="25"/>
  <c r="X24" i="25" s="1"/>
  <c r="Z24" i="25" s="1"/>
  <c r="N24" i="25"/>
  <c r="H24" i="25"/>
  <c r="D24" i="25"/>
  <c r="L24" i="25" s="1"/>
  <c r="B24" i="25"/>
  <c r="T23" i="25"/>
  <c r="P23" i="25"/>
  <c r="H23" i="25"/>
  <c r="D23" i="25"/>
  <c r="L23" i="25" s="1"/>
  <c r="B23" i="25"/>
  <c r="X22" i="25"/>
  <c r="T22" i="25"/>
  <c r="Z22" i="25" s="1"/>
  <c r="P22" i="25"/>
  <c r="L22" i="25"/>
  <c r="H22" i="25"/>
  <c r="D22" i="25"/>
  <c r="B22" i="25"/>
  <c r="Z21" i="25"/>
  <c r="X21" i="25"/>
  <c r="T21" i="25"/>
  <c r="P21" i="25"/>
  <c r="N21" i="25"/>
  <c r="L21" i="25"/>
  <c r="H21" i="25"/>
  <c r="D21" i="25"/>
  <c r="B21" i="25"/>
  <c r="T20" i="25"/>
  <c r="P20" i="25"/>
  <c r="X20" i="25" s="1"/>
  <c r="Z20" i="25" s="1"/>
  <c r="H20" i="25"/>
  <c r="D20" i="25"/>
  <c r="L20" i="25" s="1"/>
  <c r="N20" i="25" s="1"/>
  <c r="B20" i="25"/>
  <c r="T19" i="25"/>
  <c r="P19" i="25"/>
  <c r="P12" i="25" s="1"/>
  <c r="H19" i="25"/>
  <c r="D19" i="25"/>
  <c r="B19" i="25"/>
  <c r="X18" i="25"/>
  <c r="T18" i="25"/>
  <c r="P18" i="25"/>
  <c r="L18" i="25"/>
  <c r="N18" i="25" s="1"/>
  <c r="H18" i="25"/>
  <c r="D18" i="25"/>
  <c r="B18" i="25"/>
  <c r="X17" i="25"/>
  <c r="Z17" i="25" s="1"/>
  <c r="T17" i="25"/>
  <c r="P17" i="25"/>
  <c r="N17" i="25"/>
  <c r="H17" i="25"/>
  <c r="D17" i="25"/>
  <c r="L17" i="25" s="1"/>
  <c r="B17" i="25"/>
  <c r="T16" i="25"/>
  <c r="P16" i="25"/>
  <c r="X16" i="25" s="1"/>
  <c r="Z16" i="25" s="1"/>
  <c r="H16" i="25"/>
  <c r="D16" i="25"/>
  <c r="L16" i="25" s="1"/>
  <c r="B16" i="25"/>
  <c r="T15" i="25"/>
  <c r="P15" i="25"/>
  <c r="H15" i="25"/>
  <c r="D15" i="25"/>
  <c r="L15" i="25" s="1"/>
  <c r="B15" i="25"/>
  <c r="X14" i="25"/>
  <c r="Z14" i="25" s="1"/>
  <c r="T14" i="25"/>
  <c r="P14" i="25"/>
  <c r="H14" i="25"/>
  <c r="D14" i="25"/>
  <c r="B14" i="25"/>
  <c r="T13" i="25"/>
  <c r="P13" i="25"/>
  <c r="X13" i="25" s="1"/>
  <c r="Z13" i="25" s="1"/>
  <c r="N13" i="25"/>
  <c r="L13" i="25"/>
  <c r="H13" i="25"/>
  <c r="D13" i="25"/>
  <c r="B13" i="25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18" i="24" s="1"/>
  <c r="P12" i="24"/>
  <c r="R29" i="24" s="1"/>
  <c r="H12" i="24"/>
  <c r="D12" i="24"/>
  <c r="F18" i="24" s="1"/>
  <c r="D5" i="24"/>
  <c r="D4" i="24"/>
  <c r="B39" i="23"/>
  <c r="B38" i="23"/>
  <c r="T34" i="23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P24" i="23"/>
  <c r="H24" i="23"/>
  <c r="N24" i="23" s="1"/>
  <c r="D24" i="23"/>
  <c r="T22" i="23"/>
  <c r="Z22" i="23" s="1"/>
  <c r="P22" i="23"/>
  <c r="H22" i="23"/>
  <c r="D22" i="23"/>
  <c r="B22" i="23"/>
  <c r="T21" i="23"/>
  <c r="Z21" i="23" s="1"/>
  <c r="P21" i="23"/>
  <c r="H21" i="23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2" i="23" s="1"/>
  <c r="P12" i="23"/>
  <c r="R16" i="23" s="1"/>
  <c r="H12" i="23"/>
  <c r="J36" i="23" s="1"/>
  <c r="D12" i="23"/>
  <c r="F18" i="23" s="1"/>
  <c r="D5" i="23"/>
  <c r="D4" i="23"/>
  <c r="B39" i="22"/>
  <c r="B38" i="22"/>
  <c r="T34" i="22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D21" i="22"/>
  <c r="B21" i="22"/>
  <c r="T20" i="22"/>
  <c r="P20" i="22"/>
  <c r="H20" i="22"/>
  <c r="N20" i="22" s="1"/>
  <c r="D20" i="22"/>
  <c r="T16" i="22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36" i="22" s="1"/>
  <c r="P12" i="22"/>
  <c r="H12" i="22"/>
  <c r="J36" i="22" s="1"/>
  <c r="D12" i="22"/>
  <c r="F34" i="22" s="1"/>
  <c r="D5" i="22"/>
  <c r="D4" i="22"/>
  <c r="X97" i="21"/>
  <c r="Z97" i="21" s="1"/>
  <c r="L97" i="21"/>
  <c r="N97" i="21" s="1"/>
  <c r="Z93" i="21"/>
  <c r="T93" i="21"/>
  <c r="X93" i="21" s="1"/>
  <c r="P93" i="21"/>
  <c r="H93" i="21"/>
  <c r="D93" i="21"/>
  <c r="Z91" i="21"/>
  <c r="X91" i="21"/>
  <c r="N91" i="21"/>
  <c r="L91" i="21"/>
  <c r="B91" i="21"/>
  <c r="T90" i="21"/>
  <c r="P90" i="21"/>
  <c r="X90" i="21" s="1"/>
  <c r="Z90" i="21" s="1"/>
  <c r="H90" i="21"/>
  <c r="D90" i="21"/>
  <c r="L90" i="21" s="1"/>
  <c r="N90" i="21" s="1"/>
  <c r="B90" i="21"/>
  <c r="Z89" i="21"/>
  <c r="X89" i="21"/>
  <c r="N89" i="21"/>
  <c r="L89" i="21"/>
  <c r="B89" i="21"/>
  <c r="Z88" i="21"/>
  <c r="T88" i="21"/>
  <c r="P88" i="21"/>
  <c r="X88" i="21" s="1"/>
  <c r="L88" i="21"/>
  <c r="H88" i="21"/>
  <c r="N88" i="21" s="1"/>
  <c r="D88" i="21"/>
  <c r="B88" i="21"/>
  <c r="Z87" i="21"/>
  <c r="X87" i="21"/>
  <c r="L87" i="21"/>
  <c r="N87" i="21" s="1"/>
  <c r="B87" i="21"/>
  <c r="X86" i="21"/>
  <c r="T86" i="21"/>
  <c r="P86" i="21"/>
  <c r="H86" i="21"/>
  <c r="D86" i="21"/>
  <c r="B86" i="21"/>
  <c r="X85" i="21"/>
  <c r="Z85" i="21" s="1"/>
  <c r="N85" i="21"/>
  <c r="L85" i="21"/>
  <c r="B85" i="21"/>
  <c r="Z84" i="21"/>
  <c r="X84" i="21"/>
  <c r="N84" i="21"/>
  <c r="L84" i="21"/>
  <c r="B84" i="21"/>
  <c r="Z83" i="21"/>
  <c r="X83" i="21"/>
  <c r="N83" i="21"/>
  <c r="L83" i="21"/>
  <c r="B83" i="21"/>
  <c r="X82" i="21"/>
  <c r="Z82" i="21" s="1"/>
  <c r="N82" i="21"/>
  <c r="L82" i="21"/>
  <c r="B82" i="21"/>
  <c r="Z81" i="21"/>
  <c r="X81" i="21"/>
  <c r="N81" i="21"/>
  <c r="L81" i="21"/>
  <c r="B81" i="21"/>
  <c r="Z80" i="21"/>
  <c r="X80" i="21"/>
  <c r="N80" i="21"/>
  <c r="L80" i="21"/>
  <c r="B80" i="21"/>
  <c r="X79" i="21"/>
  <c r="T79" i="21"/>
  <c r="Z79" i="21" s="1"/>
  <c r="P79" i="21"/>
  <c r="N79" i="21"/>
  <c r="H79" i="21"/>
  <c r="L79" i="21" s="1"/>
  <c r="D79" i="21"/>
  <c r="B79" i="21"/>
  <c r="Z78" i="21"/>
  <c r="X78" i="21"/>
  <c r="N78" i="21"/>
  <c r="L78" i="21"/>
  <c r="B78" i="21"/>
  <c r="Z77" i="21"/>
  <c r="X77" i="21"/>
  <c r="N77" i="21"/>
  <c r="L77" i="21"/>
  <c r="B77" i="21"/>
  <c r="Z76" i="21"/>
  <c r="X76" i="21"/>
  <c r="N76" i="21"/>
  <c r="L76" i="21"/>
  <c r="B76" i="21"/>
  <c r="X75" i="21"/>
  <c r="Z75" i="21" s="1"/>
  <c r="N75" i="21"/>
  <c r="L75" i="21"/>
  <c r="B75" i="21"/>
  <c r="T74" i="21"/>
  <c r="P74" i="21"/>
  <c r="X74" i="21" s="1"/>
  <c r="Z74" i="21" s="1"/>
  <c r="H74" i="21"/>
  <c r="D74" i="21"/>
  <c r="L74" i="21" s="1"/>
  <c r="N74" i="21" s="1"/>
  <c r="B74" i="21"/>
  <c r="Z73" i="21"/>
  <c r="X73" i="21"/>
  <c r="N73" i="21"/>
  <c r="L73" i="21"/>
  <c r="B73" i="21"/>
  <c r="T72" i="21"/>
  <c r="P72" i="21"/>
  <c r="X72" i="21" s="1"/>
  <c r="Z72" i="21" s="1"/>
  <c r="L72" i="21"/>
  <c r="H72" i="21"/>
  <c r="N72" i="21" s="1"/>
  <c r="D72" i="21"/>
  <c r="B72" i="21"/>
  <c r="Z71" i="21"/>
  <c r="X71" i="21"/>
  <c r="N71" i="21"/>
  <c r="L71" i="21"/>
  <c r="B71" i="21"/>
  <c r="X70" i="21"/>
  <c r="Z70" i="21" s="1"/>
  <c r="N70" i="21"/>
  <c r="L70" i="21"/>
  <c r="B70" i="21"/>
  <c r="T69" i="21"/>
  <c r="X69" i="21" s="1"/>
  <c r="Z69" i="21" s="1"/>
  <c r="P69" i="21"/>
  <c r="H69" i="21"/>
  <c r="N69" i="21" s="1"/>
  <c r="D69" i="21"/>
  <c r="L69" i="21" s="1"/>
  <c r="B69" i="21"/>
  <c r="Z68" i="21"/>
  <c r="X68" i="21"/>
  <c r="N68" i="21"/>
  <c r="L68" i="21"/>
  <c r="B68" i="21"/>
  <c r="T67" i="21"/>
  <c r="P67" i="21"/>
  <c r="X67" i="21" s="1"/>
  <c r="H67" i="21"/>
  <c r="D67" i="21"/>
  <c r="L67" i="21" s="1"/>
  <c r="B67" i="21"/>
  <c r="Z66" i="21"/>
  <c r="X66" i="21"/>
  <c r="L66" i="21"/>
  <c r="N66" i="21" s="1"/>
  <c r="B66" i="21"/>
  <c r="T65" i="21"/>
  <c r="P65" i="21"/>
  <c r="X65" i="21" s="1"/>
  <c r="L65" i="21"/>
  <c r="H65" i="21"/>
  <c r="N65" i="21" s="1"/>
  <c r="D65" i="21"/>
  <c r="B65" i="21"/>
  <c r="Z64" i="21"/>
  <c r="X64" i="21"/>
  <c r="N64" i="21"/>
  <c r="L64" i="21"/>
  <c r="B64" i="21"/>
  <c r="X63" i="21"/>
  <c r="T63" i="21"/>
  <c r="Z63" i="21" s="1"/>
  <c r="P63" i="21"/>
  <c r="H63" i="21"/>
  <c r="L63" i="21" s="1"/>
  <c r="N63" i="21" s="1"/>
  <c r="D63" i="21"/>
  <c r="B63" i="21"/>
  <c r="X62" i="21"/>
  <c r="Z62" i="21" s="1"/>
  <c r="N62" i="21"/>
  <c r="L62" i="21"/>
  <c r="B62" i="21"/>
  <c r="T61" i="21"/>
  <c r="X61" i="21" s="1"/>
  <c r="Z61" i="21" s="1"/>
  <c r="P61" i="21"/>
  <c r="H61" i="21"/>
  <c r="D61" i="21"/>
  <c r="L61" i="21" s="1"/>
  <c r="B61" i="21"/>
  <c r="Z60" i="21"/>
  <c r="X60" i="21"/>
  <c r="N60" i="21"/>
  <c r="L60" i="21"/>
  <c r="B60" i="21"/>
  <c r="T59" i="21"/>
  <c r="P59" i="21"/>
  <c r="X59" i="21" s="1"/>
  <c r="H59" i="21"/>
  <c r="D59" i="21"/>
  <c r="L59" i="21" s="1"/>
  <c r="B59" i="21"/>
  <c r="Z58" i="21"/>
  <c r="X58" i="21"/>
  <c r="L58" i="21"/>
  <c r="N58" i="21" s="1"/>
  <c r="B58" i="21"/>
  <c r="X57" i="21"/>
  <c r="Z57" i="21" s="1"/>
  <c r="N57" i="21"/>
  <c r="L57" i="21"/>
  <c r="B57" i="21"/>
  <c r="T56" i="21"/>
  <c r="P56" i="21"/>
  <c r="H56" i="21"/>
  <c r="D56" i="21"/>
  <c r="L56" i="21" s="1"/>
  <c r="N56" i="21" s="1"/>
  <c r="B56" i="21"/>
  <c r="X55" i="21"/>
  <c r="Z55" i="21" s="1"/>
  <c r="N55" i="21"/>
  <c r="L55" i="21"/>
  <c r="B55" i="21"/>
  <c r="T54" i="21"/>
  <c r="P54" i="21"/>
  <c r="X54" i="21" s="1"/>
  <c r="Z54" i="21" s="1"/>
  <c r="H54" i="21"/>
  <c r="D54" i="21"/>
  <c r="L54" i="21" s="1"/>
  <c r="N54" i="21" s="1"/>
  <c r="B54" i="21"/>
  <c r="Z53" i="21"/>
  <c r="X53" i="21"/>
  <c r="N53" i="21"/>
  <c r="L53" i="21"/>
  <c r="B53" i="21"/>
  <c r="T52" i="21"/>
  <c r="P52" i="21"/>
  <c r="X52" i="21" s="1"/>
  <c r="Z52" i="21" s="1"/>
  <c r="L52" i="21"/>
  <c r="H52" i="21"/>
  <c r="N52" i="21" s="1"/>
  <c r="D52" i="21"/>
  <c r="B52" i="21"/>
  <c r="Z51" i="21"/>
  <c r="X51" i="21"/>
  <c r="N51" i="21"/>
  <c r="L51" i="21"/>
  <c r="B51" i="21"/>
  <c r="X50" i="21"/>
  <c r="T50" i="21"/>
  <c r="Z50" i="21" s="1"/>
  <c r="P50" i="21"/>
  <c r="H50" i="21"/>
  <c r="D50" i="2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N47" i="21"/>
  <c r="L47" i="21"/>
  <c r="B47" i="21"/>
  <c r="X46" i="21"/>
  <c r="Z46" i="21" s="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X43" i="21"/>
  <c r="T43" i="21"/>
  <c r="Z43" i="21" s="1"/>
  <c r="P43" i="21"/>
  <c r="N43" i="21"/>
  <c r="H43" i="21"/>
  <c r="L43" i="21" s="1"/>
  <c r="D43" i="21"/>
  <c r="B43" i="21"/>
  <c r="X42" i="21"/>
  <c r="Z42" i="21" s="1"/>
  <c r="N42" i="21"/>
  <c r="L42" i="21"/>
  <c r="B42" i="21"/>
  <c r="Z41" i="21"/>
  <c r="X41" i="21"/>
  <c r="N41" i="21"/>
  <c r="L41" i="21"/>
  <c r="B41" i="21"/>
  <c r="Z40" i="21"/>
  <c r="X40" i="21"/>
  <c r="N40" i="21"/>
  <c r="L40" i="21"/>
  <c r="B40" i="21"/>
  <c r="Z39" i="21"/>
  <c r="X39" i="21"/>
  <c r="N39" i="21"/>
  <c r="L39" i="21"/>
  <c r="B39" i="21"/>
  <c r="Z38" i="21"/>
  <c r="X38" i="2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Z35" i="21"/>
  <c r="X35" i="21"/>
  <c r="N35" i="21"/>
  <c r="L35" i="21"/>
  <c r="B35" i="21"/>
  <c r="X34" i="21"/>
  <c r="Z34" i="21" s="1"/>
  <c r="N34" i="21"/>
  <c r="L34" i="21"/>
  <c r="B34" i="21"/>
  <c r="Z33" i="21"/>
  <c r="T33" i="21"/>
  <c r="X33" i="21" s="1"/>
  <c r="P33" i="21"/>
  <c r="H33" i="21"/>
  <c r="N33" i="21" s="1"/>
  <c r="D33" i="21"/>
  <c r="L33" i="21" s="1"/>
  <c r="B33" i="21"/>
  <c r="T32" i="21" a="1"/>
  <c r="T32" i="21" s="1"/>
  <c r="P32" i="21" a="1"/>
  <c r="P32" i="21" s="1"/>
  <c r="H32" i="21" a="1"/>
  <c r="H32" i="21" s="1"/>
  <c r="D32" i="21" a="1"/>
  <c r="D32" i="21" s="1"/>
  <c r="Z28" i="21"/>
  <c r="X28" i="21"/>
  <c r="N28" i="21"/>
  <c r="L28" i="21"/>
  <c r="B28" i="21"/>
  <c r="X27" i="21"/>
  <c r="Z27" i="21" s="1"/>
  <c r="N27" i="21"/>
  <c r="L27" i="21"/>
  <c r="B27" i="21"/>
  <c r="Z26" i="21"/>
  <c r="X26" i="21"/>
  <c r="N26" i="21"/>
  <c r="L26" i="21"/>
  <c r="B26" i="21"/>
  <c r="T25" i="21"/>
  <c r="P25" i="21"/>
  <c r="X25" i="21" s="1"/>
  <c r="L25" i="21"/>
  <c r="H25" i="21"/>
  <c r="N25" i="21" s="1"/>
  <c r="D25" i="21"/>
  <c r="Z23" i="21"/>
  <c r="T23" i="21"/>
  <c r="P23" i="21"/>
  <c r="X23" i="21" s="1"/>
  <c r="L23" i="21"/>
  <c r="H23" i="21"/>
  <c r="N23" i="21" s="1"/>
  <c r="D23" i="21"/>
  <c r="B23" i="21"/>
  <c r="T22" i="21"/>
  <c r="Z22" i="21" s="1"/>
  <c r="P22" i="21"/>
  <c r="N22" i="21"/>
  <c r="H22" i="21"/>
  <c r="D22" i="21"/>
  <c r="L22" i="21" s="1"/>
  <c r="B22" i="21"/>
  <c r="Z21" i="21"/>
  <c r="X21" i="21"/>
  <c r="T21" i="21"/>
  <c r="P21" i="21"/>
  <c r="H21" i="21"/>
  <c r="N21" i="21" s="1"/>
  <c r="D21" i="21"/>
  <c r="B21" i="21"/>
  <c r="Z20" i="21"/>
  <c r="T20" i="21"/>
  <c r="P20" i="21"/>
  <c r="X20" i="21" s="1"/>
  <c r="L20" i="21"/>
  <c r="H20" i="21"/>
  <c r="N20" i="21" s="1"/>
  <c r="D20" i="21"/>
  <c r="B20" i="21"/>
  <c r="X19" i="21"/>
  <c r="T19" i="21"/>
  <c r="Z19" i="21" s="1"/>
  <c r="P19" i="21"/>
  <c r="N19" i="21"/>
  <c r="H19" i="21"/>
  <c r="D19" i="21"/>
  <c r="L19" i="21" s="1"/>
  <c r="B19" i="21"/>
  <c r="Z18" i="21"/>
  <c r="T18" i="21"/>
  <c r="P18" i="21"/>
  <c r="X18" i="21" s="1"/>
  <c r="H18" i="21"/>
  <c r="N18" i="21" s="1"/>
  <c r="D18" i="21"/>
  <c r="B18" i="21"/>
  <c r="T17" i="21"/>
  <c r="Z17" i="21" s="1"/>
  <c r="P17" i="21"/>
  <c r="X17" i="21" s="1"/>
  <c r="N17" i="21"/>
  <c r="L17" i="21"/>
  <c r="H17" i="21"/>
  <c r="D17" i="21"/>
  <c r="B17" i="21"/>
  <c r="X16" i="21"/>
  <c r="T16" i="21"/>
  <c r="Z16" i="21" s="1"/>
  <c r="P16" i="21"/>
  <c r="N16" i="21"/>
  <c r="H16" i="21"/>
  <c r="D16" i="21"/>
  <c r="L16" i="21" s="1"/>
  <c r="B16" i="21"/>
  <c r="Z15" i="21"/>
  <c r="T15" i="21"/>
  <c r="P15" i="21"/>
  <c r="X15" i="21" s="1"/>
  <c r="L15" i="21"/>
  <c r="H15" i="21"/>
  <c r="N15" i="21" s="1"/>
  <c r="D15" i="21"/>
  <c r="B15" i="21"/>
  <c r="T14" i="21"/>
  <c r="P14" i="21"/>
  <c r="N14" i="21"/>
  <c r="H14" i="21"/>
  <c r="D14" i="21"/>
  <c r="L14" i="21" s="1"/>
  <c r="B14" i="21"/>
  <c r="Z13" i="21"/>
  <c r="X13" i="21"/>
  <c r="T13" i="21"/>
  <c r="P13" i="21"/>
  <c r="H13" i="21"/>
  <c r="D13" i="21"/>
  <c r="B13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P13" i="20"/>
  <c r="H13" i="20"/>
  <c r="N13" i="20" s="1"/>
  <c r="D13" i="20"/>
  <c r="B13" i="20"/>
  <c r="T12" i="20"/>
  <c r="V34" i="20" s="1"/>
  <c r="P12" i="20"/>
  <c r="H12" i="20"/>
  <c r="J20" i="20" s="1"/>
  <c r="D12" i="20"/>
  <c r="F34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D33" i="19"/>
  <c r="T29" i="19"/>
  <c r="Z29" i="19" s="1"/>
  <c r="P29" i="19"/>
  <c r="H29" i="19"/>
  <c r="D29" i="19"/>
  <c r="T25" i="19"/>
  <c r="Z25" i="19" s="1"/>
  <c r="P25" i="19"/>
  <c r="H25" i="19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P21" i="19"/>
  <c r="H21" i="19"/>
  <c r="N21" i="19" s="1"/>
  <c r="D21" i="19"/>
  <c r="B21" i="19"/>
  <c r="T20" i="19"/>
  <c r="Z20" i="19" s="1"/>
  <c r="P20" i="19"/>
  <c r="H20" i="19"/>
  <c r="D20" i="19"/>
  <c r="T16" i="19"/>
  <c r="Z16" i="19" s="1"/>
  <c r="P16" i="19"/>
  <c r="H16" i="19"/>
  <c r="D16" i="19"/>
  <c r="B16" i="19"/>
  <c r="T15" i="19"/>
  <c r="Z15" i="19" s="1"/>
  <c r="P15" i="19"/>
  <c r="H15" i="19"/>
  <c r="D15" i="19"/>
  <c r="T13" i="19"/>
  <c r="Z13" i="19" s="1"/>
  <c r="P13" i="19"/>
  <c r="H13" i="19"/>
  <c r="N13" i="19" s="1"/>
  <c r="D13" i="19"/>
  <c r="B13" i="19"/>
  <c r="T12" i="19"/>
  <c r="V22" i="19" s="1"/>
  <c r="P12" i="19"/>
  <c r="R22" i="19" s="1"/>
  <c r="H12" i="19"/>
  <c r="J27" i="19" s="1"/>
  <c r="D12" i="19"/>
  <c r="F36" i="19" s="1"/>
  <c r="D5" i="19"/>
  <c r="D4" i="19"/>
  <c r="Z252" i="18"/>
  <c r="X252" i="18"/>
  <c r="L252" i="18"/>
  <c r="N252" i="18" s="1"/>
  <c r="X248" i="18"/>
  <c r="T248" i="18"/>
  <c r="Z248" i="18" s="1"/>
  <c r="P248" i="18"/>
  <c r="N248" i="18"/>
  <c r="H248" i="18"/>
  <c r="L248" i="18" s="1"/>
  <c r="D248" i="18"/>
  <c r="B248" i="18"/>
  <c r="X247" i="18"/>
  <c r="T247" i="18"/>
  <c r="Z247" i="18" s="1"/>
  <c r="P247" i="18"/>
  <c r="H247" i="18"/>
  <c r="D247" i="18"/>
  <c r="B247" i="18"/>
  <c r="T246" i="18"/>
  <c r="P246" i="18"/>
  <c r="X246" i="18" s="1"/>
  <c r="L246" i="18"/>
  <c r="H246" i="18"/>
  <c r="N246" i="18" s="1"/>
  <c r="D246" i="18"/>
  <c r="B246" i="18"/>
  <c r="T245" i="18"/>
  <c r="P245" i="18"/>
  <c r="X245" i="18" s="1"/>
  <c r="Z245" i="18" s="1"/>
  <c r="L245" i="18"/>
  <c r="H245" i="18"/>
  <c r="D245" i="18"/>
  <c r="B245" i="18"/>
  <c r="T244" i="18"/>
  <c r="Z244" i="18" s="1"/>
  <c r="P244" i="18"/>
  <c r="X244" i="18" s="1"/>
  <c r="H244" i="18"/>
  <c r="N244" i="18" s="1"/>
  <c r="D244" i="18"/>
  <c r="L244" i="18" s="1"/>
  <c r="B244" i="18"/>
  <c r="T243" i="18"/>
  <c r="P243" i="18"/>
  <c r="X243" i="18" s="1"/>
  <c r="Z243" i="18" s="1"/>
  <c r="H243" i="18"/>
  <c r="D243" i="18"/>
  <c r="L243" i="18" s="1"/>
  <c r="N243" i="18" s="1"/>
  <c r="B243" i="18"/>
  <c r="Z242" i="18"/>
  <c r="T242" i="18"/>
  <c r="X242" i="18" s="1"/>
  <c r="P242" i="18"/>
  <c r="H242" i="18"/>
  <c r="D242" i="18"/>
  <c r="L242" i="18" s="1"/>
  <c r="B242" i="18"/>
  <c r="T241" i="18"/>
  <c r="D241" i="18"/>
  <c r="Z239" i="18"/>
  <c r="X239" i="18"/>
  <c r="L239" i="18"/>
  <c r="N239" i="18" s="1"/>
  <c r="B239" i="18"/>
  <c r="X238" i="18"/>
  <c r="T238" i="18"/>
  <c r="Z238" i="18" s="1"/>
  <c r="P238" i="18"/>
  <c r="H238" i="18"/>
  <c r="L238" i="18" s="1"/>
  <c r="N238" i="18" s="1"/>
  <c r="D238" i="18"/>
  <c r="B238" i="18"/>
  <c r="X237" i="18"/>
  <c r="Z237" i="18" s="1"/>
  <c r="N237" i="18"/>
  <c r="L237" i="18"/>
  <c r="B237" i="18"/>
  <c r="Z236" i="18"/>
  <c r="X236" i="18"/>
  <c r="L236" i="18"/>
  <c r="N236" i="18" s="1"/>
  <c r="B236" i="18"/>
  <c r="Z235" i="18"/>
  <c r="X235" i="18"/>
  <c r="N235" i="18"/>
  <c r="L235" i="18"/>
  <c r="B235" i="18"/>
  <c r="X234" i="18"/>
  <c r="T234" i="18"/>
  <c r="Z234" i="18" s="1"/>
  <c r="P234" i="18"/>
  <c r="N234" i="18"/>
  <c r="H234" i="18"/>
  <c r="L234" i="18" s="1"/>
  <c r="D234" i="18"/>
  <c r="B234" i="18"/>
  <c r="X233" i="18"/>
  <c r="Z233" i="18" s="1"/>
  <c r="N233" i="18"/>
  <c r="L233" i="18"/>
  <c r="B233" i="18"/>
  <c r="Z232" i="18"/>
  <c r="T232" i="18"/>
  <c r="X232" i="18" s="1"/>
  <c r="P232" i="18"/>
  <c r="H232" i="18"/>
  <c r="N232" i="18" s="1"/>
  <c r="D232" i="18"/>
  <c r="L232" i="18" s="1"/>
  <c r="B232" i="18"/>
  <c r="X231" i="18"/>
  <c r="Z231" i="18" s="1"/>
  <c r="N231" i="18"/>
  <c r="L231" i="18"/>
  <c r="B231" i="18"/>
  <c r="Z230" i="18"/>
  <c r="X230" i="18"/>
  <c r="L230" i="18"/>
  <c r="N230" i="18" s="1"/>
  <c r="B230" i="18"/>
  <c r="X229" i="18"/>
  <c r="T229" i="18"/>
  <c r="Z229" i="18" s="1"/>
  <c r="P229" i="18"/>
  <c r="H229" i="18"/>
  <c r="D229" i="18"/>
  <c r="B229" i="18"/>
  <c r="X228" i="18"/>
  <c r="Z228" i="18" s="1"/>
  <c r="N228" i="18"/>
  <c r="L228" i="18"/>
  <c r="B228" i="18"/>
  <c r="X227" i="18"/>
  <c r="Z227" i="18" s="1"/>
  <c r="N227" i="18"/>
  <c r="L227" i="18"/>
  <c r="B227" i="18"/>
  <c r="Z226" i="18"/>
  <c r="X226" i="18"/>
  <c r="L226" i="18"/>
  <c r="N226" i="18" s="1"/>
  <c r="B226" i="18"/>
  <c r="X225" i="18"/>
  <c r="Z225" i="18" s="1"/>
  <c r="N225" i="18"/>
  <c r="L225" i="18"/>
  <c r="B225" i="18"/>
  <c r="Z224" i="18"/>
  <c r="X224" i="18"/>
  <c r="L224" i="18"/>
  <c r="N224" i="18" s="1"/>
  <c r="B224" i="18"/>
  <c r="Z223" i="18"/>
  <c r="X223" i="18"/>
  <c r="L223" i="18"/>
  <c r="N223" i="18" s="1"/>
  <c r="B223" i="18"/>
  <c r="X222" i="18"/>
  <c r="Z222" i="18" s="1"/>
  <c r="N222" i="18"/>
  <c r="L222" i="18"/>
  <c r="B222" i="18"/>
  <c r="T221" i="18"/>
  <c r="P221" i="18"/>
  <c r="X221" i="18" s="1"/>
  <c r="Z221" i="18" s="1"/>
  <c r="H221" i="18"/>
  <c r="D221" i="18"/>
  <c r="L221" i="18" s="1"/>
  <c r="N221" i="18" s="1"/>
  <c r="B221" i="18"/>
  <c r="Z220" i="18"/>
  <c r="X220" i="18"/>
  <c r="L220" i="18"/>
  <c r="N220" i="18" s="1"/>
  <c r="B220" i="18"/>
  <c r="Z219" i="18"/>
  <c r="X219" i="18"/>
  <c r="L219" i="18"/>
  <c r="N219" i="18" s="1"/>
  <c r="B219" i="18"/>
  <c r="X218" i="18"/>
  <c r="T218" i="18"/>
  <c r="Z218" i="18" s="1"/>
  <c r="P218" i="18"/>
  <c r="N218" i="18"/>
  <c r="H218" i="18"/>
  <c r="L218" i="18" s="1"/>
  <c r="D218" i="18"/>
  <c r="B218" i="18"/>
  <c r="X217" i="18"/>
  <c r="Z217" i="18" s="1"/>
  <c r="N217" i="18"/>
  <c r="L217" i="18"/>
  <c r="B217" i="18"/>
  <c r="Z216" i="18"/>
  <c r="X216" i="18"/>
  <c r="L216" i="18"/>
  <c r="N216" i="18" s="1"/>
  <c r="B216" i="18"/>
  <c r="Z215" i="18"/>
  <c r="X215" i="18"/>
  <c r="N215" i="18"/>
  <c r="L215" i="18"/>
  <c r="B215" i="18"/>
  <c r="X214" i="18"/>
  <c r="Z214" i="18" s="1"/>
  <c r="N214" i="18"/>
  <c r="L214" i="18"/>
  <c r="B214" i="18"/>
  <c r="T213" i="18"/>
  <c r="P213" i="18"/>
  <c r="X213" i="18" s="1"/>
  <c r="Z213" i="18" s="1"/>
  <c r="H213" i="18"/>
  <c r="D213" i="18"/>
  <c r="L213" i="18" s="1"/>
  <c r="N213" i="18" s="1"/>
  <c r="B213" i="18"/>
  <c r="Z212" i="18"/>
  <c r="X212" i="18"/>
  <c r="L212" i="18"/>
  <c r="N212" i="18" s="1"/>
  <c r="B212" i="18"/>
  <c r="Z211" i="18"/>
  <c r="X211" i="18"/>
  <c r="N211" i="18"/>
  <c r="L211" i="18"/>
  <c r="B211" i="18"/>
  <c r="X210" i="18"/>
  <c r="Z210" i="18" s="1"/>
  <c r="N210" i="18"/>
  <c r="L210" i="18"/>
  <c r="B210" i="18"/>
  <c r="T209" i="18"/>
  <c r="P209" i="18"/>
  <c r="X209" i="18" s="1"/>
  <c r="Z209" i="18" s="1"/>
  <c r="H209" i="18"/>
  <c r="D209" i="18"/>
  <c r="L209" i="18" s="1"/>
  <c r="N209" i="18" s="1"/>
  <c r="B209" i="18"/>
  <c r="Z208" i="18"/>
  <c r="X208" i="18"/>
  <c r="L208" i="18"/>
  <c r="N208" i="18" s="1"/>
  <c r="B208" i="18"/>
  <c r="Z207" i="18"/>
  <c r="X207" i="18"/>
  <c r="L207" i="18"/>
  <c r="N207" i="18" s="1"/>
  <c r="B207" i="18"/>
  <c r="X206" i="18"/>
  <c r="Z206" i="18" s="1"/>
  <c r="N206" i="18"/>
  <c r="L206" i="18"/>
  <c r="B206" i="18"/>
  <c r="Z205" i="18"/>
  <c r="X205" i="18"/>
  <c r="N205" i="18"/>
  <c r="L205" i="18"/>
  <c r="B205" i="18"/>
  <c r="T204" i="18"/>
  <c r="P204" i="18"/>
  <c r="X204" i="18" s="1"/>
  <c r="L204" i="18"/>
  <c r="H204" i="18"/>
  <c r="N204" i="18" s="1"/>
  <c r="D204" i="18"/>
  <c r="B204" i="18"/>
  <c r="Z203" i="18"/>
  <c r="X203" i="18"/>
  <c r="L203" i="18"/>
  <c r="N203" i="18" s="1"/>
  <c r="B203" i="18"/>
  <c r="X202" i="18"/>
  <c r="T202" i="18"/>
  <c r="Z202" i="18" s="1"/>
  <c r="P202" i="18"/>
  <c r="N202" i="18"/>
  <c r="H202" i="18"/>
  <c r="L202" i="18" s="1"/>
  <c r="D202" i="18"/>
  <c r="B202" i="18"/>
  <c r="Z201" i="18"/>
  <c r="X201" i="18"/>
  <c r="N201" i="18"/>
  <c r="L201" i="18"/>
  <c r="B201" i="18"/>
  <c r="Z200" i="18"/>
  <c r="T200" i="18"/>
  <c r="X200" i="18" s="1"/>
  <c r="P200" i="18"/>
  <c r="H200" i="18"/>
  <c r="N200" i="18" s="1"/>
  <c r="D200" i="18"/>
  <c r="L200" i="18" s="1"/>
  <c r="B200" i="18"/>
  <c r="Z199" i="18"/>
  <c r="X199" i="18"/>
  <c r="N199" i="18"/>
  <c r="L199" i="18"/>
  <c r="B199" i="18"/>
  <c r="Z198" i="18"/>
  <c r="X198" i="18"/>
  <c r="L198" i="18"/>
  <c r="N198" i="18" s="1"/>
  <c r="B198" i="18"/>
  <c r="X197" i="18"/>
  <c r="T197" i="18"/>
  <c r="Z197" i="18" s="1"/>
  <c r="P197" i="18"/>
  <c r="H197" i="18"/>
  <c r="D197" i="18"/>
  <c r="B197" i="18"/>
  <c r="X196" i="18"/>
  <c r="Z196" i="18" s="1"/>
  <c r="N196" i="18"/>
  <c r="L196" i="18"/>
  <c r="B196" i="18"/>
  <c r="T195" i="18"/>
  <c r="P195" i="18"/>
  <c r="H195" i="18"/>
  <c r="D195" i="18"/>
  <c r="L195" i="18" s="1"/>
  <c r="N195" i="18" s="1"/>
  <c r="B195" i="18"/>
  <c r="X194" i="18"/>
  <c r="Z194" i="18" s="1"/>
  <c r="N194" i="18"/>
  <c r="L194" i="18"/>
  <c r="B194" i="18"/>
  <c r="T193" i="18"/>
  <c r="P193" i="18"/>
  <c r="X193" i="18" s="1"/>
  <c r="Z193" i="18" s="1"/>
  <c r="H193" i="18"/>
  <c r="D193" i="18"/>
  <c r="L193" i="18" s="1"/>
  <c r="N193" i="18" s="1"/>
  <c r="B193" i="18"/>
  <c r="Z192" i="18"/>
  <c r="X192" i="18"/>
  <c r="L192" i="18"/>
  <c r="N192" i="18" s="1"/>
  <c r="B192" i="18"/>
  <c r="Z191" i="18"/>
  <c r="X191" i="18"/>
  <c r="L191" i="18"/>
  <c r="N191" i="18" s="1"/>
  <c r="B191" i="18"/>
  <c r="X190" i="18"/>
  <c r="T190" i="18"/>
  <c r="Z190" i="18" s="1"/>
  <c r="P190" i="18"/>
  <c r="N190" i="18"/>
  <c r="H190" i="18"/>
  <c r="L190" i="18" s="1"/>
  <c r="D190" i="18"/>
  <c r="B190" i="18"/>
  <c r="X189" i="18"/>
  <c r="Z189" i="18" s="1"/>
  <c r="N189" i="18"/>
  <c r="L189" i="18"/>
  <c r="B189" i="18"/>
  <c r="Z188" i="18"/>
  <c r="T188" i="18"/>
  <c r="X188" i="18" s="1"/>
  <c r="P188" i="18"/>
  <c r="H188" i="18"/>
  <c r="D188" i="18"/>
  <c r="L188" i="18" s="1"/>
  <c r="B188" i="18"/>
  <c r="X187" i="18"/>
  <c r="Z187" i="18" s="1"/>
  <c r="N187" i="18"/>
  <c r="L187" i="18"/>
  <c r="B187" i="18"/>
  <c r="T186" i="18"/>
  <c r="Z186" i="18" s="1"/>
  <c r="P186" i="18"/>
  <c r="X186" i="18" s="1"/>
  <c r="H186" i="18"/>
  <c r="N186" i="18" s="1"/>
  <c r="D186" i="18"/>
  <c r="L186" i="18" s="1"/>
  <c r="B186" i="18"/>
  <c r="Z185" i="18"/>
  <c r="X185" i="18"/>
  <c r="L185" i="18"/>
  <c r="N185" i="18" s="1"/>
  <c r="B185" i="18"/>
  <c r="T184" i="18"/>
  <c r="P184" i="18"/>
  <c r="X184" i="18" s="1"/>
  <c r="L184" i="18"/>
  <c r="H184" i="18"/>
  <c r="N184" i="18" s="1"/>
  <c r="D184" i="18"/>
  <c r="B184" i="18"/>
  <c r="Z183" i="18"/>
  <c r="X183" i="18"/>
  <c r="L183" i="18"/>
  <c r="N183" i="18" s="1"/>
  <c r="B183" i="18"/>
  <c r="Z182" i="18"/>
  <c r="X182" i="18"/>
  <c r="N182" i="18"/>
  <c r="L182" i="18"/>
  <c r="B182" i="18"/>
  <c r="T181" i="18"/>
  <c r="P181" i="18"/>
  <c r="X181" i="18" s="1"/>
  <c r="Z181" i="18" s="1"/>
  <c r="H181" i="18"/>
  <c r="D181" i="18"/>
  <c r="L181" i="18" s="1"/>
  <c r="N181" i="18" s="1"/>
  <c r="B181" i="18"/>
  <c r="Z180" i="18"/>
  <c r="X180" i="18"/>
  <c r="L180" i="18"/>
  <c r="N180" i="18" s="1"/>
  <c r="B180" i="18"/>
  <c r="Z179" i="18"/>
  <c r="X179" i="18"/>
  <c r="L179" i="18"/>
  <c r="N179" i="18" s="1"/>
  <c r="B179" i="18"/>
  <c r="X178" i="18"/>
  <c r="T178" i="18"/>
  <c r="Z178" i="18" s="1"/>
  <c r="P178" i="18"/>
  <c r="N178" i="18"/>
  <c r="H178" i="18"/>
  <c r="L178" i="18" s="1"/>
  <c r="D178" i="18"/>
  <c r="B178" i="18"/>
  <c r="X177" i="18"/>
  <c r="Z177" i="18" s="1"/>
  <c r="N177" i="18"/>
  <c r="L177" i="18"/>
  <c r="B177" i="18"/>
  <c r="Z176" i="18"/>
  <c r="T176" i="18"/>
  <c r="X176" i="18" s="1"/>
  <c r="P176" i="18"/>
  <c r="H176" i="18"/>
  <c r="N176" i="18" s="1"/>
  <c r="D176" i="18"/>
  <c r="L176" i="18" s="1"/>
  <c r="B176" i="18"/>
  <c r="X175" i="18"/>
  <c r="Z175" i="18" s="1"/>
  <c r="N175" i="18"/>
  <c r="L175" i="18"/>
  <c r="B175" i="18"/>
  <c r="Z174" i="18"/>
  <c r="X174" i="18"/>
  <c r="L174" i="18"/>
  <c r="N174" i="18" s="1"/>
  <c r="B174" i="18"/>
  <c r="X173" i="18"/>
  <c r="T173" i="18"/>
  <c r="Z173" i="18" s="1"/>
  <c r="P173" i="18"/>
  <c r="H173" i="18"/>
  <c r="D173" i="18"/>
  <c r="B173" i="18"/>
  <c r="X172" i="18"/>
  <c r="Z172" i="18" s="1"/>
  <c r="N172" i="18"/>
  <c r="L172" i="18"/>
  <c r="B172" i="18"/>
  <c r="T171" i="18"/>
  <c r="P171" i="18"/>
  <c r="H171" i="18"/>
  <c r="D171" i="18"/>
  <c r="L171" i="18" s="1"/>
  <c r="N171" i="18" s="1"/>
  <c r="B171" i="18"/>
  <c r="X170" i="18"/>
  <c r="Z170" i="18" s="1"/>
  <c r="N170" i="18"/>
  <c r="L170" i="18"/>
  <c r="B170" i="18"/>
  <c r="Z169" i="18"/>
  <c r="X169" i="18"/>
  <c r="L169" i="18"/>
  <c r="N169" i="18" s="1"/>
  <c r="B169" i="18"/>
  <c r="X168" i="18"/>
  <c r="Z168" i="18" s="1"/>
  <c r="N168" i="18"/>
  <c r="L168" i="18"/>
  <c r="B168" i="18"/>
  <c r="X167" i="18"/>
  <c r="Z167" i="18" s="1"/>
  <c r="N167" i="18"/>
  <c r="L167" i="18"/>
  <c r="B167" i="18"/>
  <c r="Z166" i="18"/>
  <c r="X166" i="18"/>
  <c r="L166" i="18"/>
  <c r="N166" i="18" s="1"/>
  <c r="B166" i="18"/>
  <c r="X165" i="18"/>
  <c r="Z165" i="18" s="1"/>
  <c r="N165" i="18"/>
  <c r="L165" i="18"/>
  <c r="B165" i="18"/>
  <c r="Z164" i="18"/>
  <c r="X164" i="18"/>
  <c r="L164" i="18"/>
  <c r="N164" i="18" s="1"/>
  <c r="B164" i="18"/>
  <c r="T163" i="18"/>
  <c r="P163" i="18"/>
  <c r="X163" i="18" s="1"/>
  <c r="Z163" i="18" s="1"/>
  <c r="L163" i="18"/>
  <c r="H163" i="18"/>
  <c r="N163" i="18" s="1"/>
  <c r="D163" i="18"/>
  <c r="B163" i="18"/>
  <c r="Z162" i="18"/>
  <c r="X162" i="18"/>
  <c r="L162" i="18"/>
  <c r="N162" i="18" s="1"/>
  <c r="B162" i="18"/>
  <c r="X161" i="18"/>
  <c r="Z161" i="18" s="1"/>
  <c r="N161" i="18"/>
  <c r="L161" i="18"/>
  <c r="B161" i="18"/>
  <c r="Z160" i="18"/>
  <c r="X160" i="18"/>
  <c r="L160" i="18"/>
  <c r="N160" i="18" s="1"/>
  <c r="B160" i="18"/>
  <c r="Z159" i="18"/>
  <c r="X159" i="18"/>
  <c r="L159" i="18"/>
  <c r="N159" i="18" s="1"/>
  <c r="B159" i="18"/>
  <c r="Z158" i="18"/>
  <c r="X158" i="18"/>
  <c r="N158" i="18"/>
  <c r="L158" i="18"/>
  <c r="B158" i="18"/>
  <c r="Z157" i="18"/>
  <c r="X157" i="18"/>
  <c r="L157" i="18"/>
  <c r="N157" i="18" s="1"/>
  <c r="B157" i="18"/>
  <c r="X156" i="18"/>
  <c r="Z156" i="18" s="1"/>
  <c r="N156" i="18"/>
  <c r="L156" i="18"/>
  <c r="B156" i="18"/>
  <c r="X155" i="18"/>
  <c r="Z155" i="18" s="1"/>
  <c r="N155" i="18"/>
  <c r="L155" i="18"/>
  <c r="B155" i="18"/>
  <c r="Z154" i="18"/>
  <c r="X154" i="18"/>
  <c r="L154" i="18"/>
  <c r="N154" i="18" s="1"/>
  <c r="B154" i="18"/>
  <c r="X153" i="18"/>
  <c r="Z153" i="18" s="1"/>
  <c r="N153" i="18"/>
  <c r="L153" i="18"/>
  <c r="B153" i="18"/>
  <c r="T152" i="18"/>
  <c r="X152" i="18" s="1"/>
  <c r="P152" i="18"/>
  <c r="H152" i="18"/>
  <c r="D152" i="18"/>
  <c r="L152" i="18" s="1"/>
  <c r="B152" i="18"/>
  <c r="T151" i="18" a="1"/>
  <c r="T151" i="18" s="1"/>
  <c r="P151" i="18" a="1"/>
  <c r="P151" i="18" s="1"/>
  <c r="H151" i="18" a="1"/>
  <c r="H151" i="18" s="1"/>
  <c r="D151" i="18" a="1"/>
  <c r="D151" i="18" s="1"/>
  <c r="Z147" i="18"/>
  <c r="X147" i="18"/>
  <c r="N147" i="18"/>
  <c r="L147" i="18"/>
  <c r="B147" i="18"/>
  <c r="X146" i="18"/>
  <c r="Z146" i="18" s="1"/>
  <c r="N146" i="18"/>
  <c r="L146" i="18"/>
  <c r="B146" i="18"/>
  <c r="Z145" i="18"/>
  <c r="X145" i="18"/>
  <c r="N145" i="18"/>
  <c r="L145" i="18"/>
  <c r="B145" i="18"/>
  <c r="X144" i="18"/>
  <c r="Z144" i="18" s="1"/>
  <c r="N144" i="18"/>
  <c r="L144" i="18"/>
  <c r="B144" i="18"/>
  <c r="X143" i="18"/>
  <c r="Z143" i="18" s="1"/>
  <c r="N143" i="18"/>
  <c r="L143" i="18"/>
  <c r="B143" i="18"/>
  <c r="Z142" i="18"/>
  <c r="X142" i="18"/>
  <c r="N142" i="18"/>
  <c r="L142" i="18"/>
  <c r="B142" i="18"/>
  <c r="X141" i="18"/>
  <c r="Z141" i="18" s="1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X138" i="18"/>
  <c r="Z138" i="18" s="1"/>
  <c r="N138" i="18"/>
  <c r="L138" i="18"/>
  <c r="B138" i="18"/>
  <c r="Z137" i="18"/>
  <c r="X137" i="18"/>
  <c r="L137" i="18"/>
  <c r="N137" i="18" s="1"/>
  <c r="B137" i="18"/>
  <c r="X136" i="18"/>
  <c r="Z136" i="18" s="1"/>
  <c r="N136" i="18"/>
  <c r="L136" i="18"/>
  <c r="B136" i="18"/>
  <c r="X135" i="18"/>
  <c r="Z135" i="18" s="1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X130" i="18"/>
  <c r="Z130" i="18" s="1"/>
  <c r="N130" i="18"/>
  <c r="L130" i="18"/>
  <c r="B130" i="18"/>
  <c r="Z129" i="18"/>
  <c r="X129" i="18"/>
  <c r="N129" i="18"/>
  <c r="L129" i="18"/>
  <c r="B129" i="18"/>
  <c r="X128" i="18"/>
  <c r="Z128" i="18" s="1"/>
  <c r="N128" i="18"/>
  <c r="L128" i="18"/>
  <c r="B128" i="18"/>
  <c r="X127" i="18"/>
  <c r="Z127" i="18" s="1"/>
  <c r="N127" i="18"/>
  <c r="L127" i="18"/>
  <c r="B127" i="18"/>
  <c r="Z126" i="18"/>
  <c r="X126" i="18"/>
  <c r="N126" i="18"/>
  <c r="L126" i="18"/>
  <c r="B126" i="18"/>
  <c r="X125" i="18"/>
  <c r="Z125" i="18" s="1"/>
  <c r="N125" i="18"/>
  <c r="L125" i="18"/>
  <c r="B125" i="18"/>
  <c r="Z124" i="18"/>
  <c r="X124" i="18"/>
  <c r="L124" i="18"/>
  <c r="N124" i="18" s="1"/>
  <c r="B124" i="18"/>
  <c r="Z123" i="18"/>
  <c r="X123" i="18"/>
  <c r="N123" i="18"/>
  <c r="L123" i="18"/>
  <c r="B123" i="18"/>
  <c r="X122" i="18"/>
  <c r="Z122" i="18" s="1"/>
  <c r="N122" i="18"/>
  <c r="L122" i="18"/>
  <c r="B122" i="18"/>
  <c r="Z121" i="18"/>
  <c r="X121" i="18"/>
  <c r="L121" i="18"/>
  <c r="N121" i="18" s="1"/>
  <c r="B121" i="18"/>
  <c r="X120" i="18"/>
  <c r="Z120" i="18" s="1"/>
  <c r="L120" i="18"/>
  <c r="N120" i="18" s="1"/>
  <c r="B120" i="18"/>
  <c r="Z119" i="18"/>
  <c r="X119" i="18"/>
  <c r="N119" i="18"/>
  <c r="L119" i="18"/>
  <c r="B119" i="18"/>
  <c r="Z118" i="18"/>
  <c r="X118" i="18"/>
  <c r="L118" i="18"/>
  <c r="N118" i="18" s="1"/>
  <c r="B118" i="18"/>
  <c r="X117" i="18"/>
  <c r="Z117" i="18" s="1"/>
  <c r="N117" i="18"/>
  <c r="L117" i="18"/>
  <c r="B117" i="18"/>
  <c r="X116" i="18"/>
  <c r="Z116" i="18" s="1"/>
  <c r="L116" i="18"/>
  <c r="N116" i="18" s="1"/>
  <c r="B116" i="18"/>
  <c r="Z115" i="18"/>
  <c r="X115" i="18"/>
  <c r="N115" i="18"/>
  <c r="L115" i="18"/>
  <c r="B115" i="18"/>
  <c r="X114" i="18"/>
  <c r="Z114" i="18" s="1"/>
  <c r="N114" i="18"/>
  <c r="L114" i="18"/>
  <c r="B114" i="18"/>
  <c r="Z113" i="18"/>
  <c r="X113" i="18"/>
  <c r="L113" i="18"/>
  <c r="N113" i="18" s="1"/>
  <c r="B113" i="18"/>
  <c r="X112" i="18"/>
  <c r="Z112" i="18" s="1"/>
  <c r="L112" i="18"/>
  <c r="N112" i="18" s="1"/>
  <c r="B112" i="18"/>
  <c r="Z111" i="18"/>
  <c r="X111" i="18"/>
  <c r="N111" i="18"/>
  <c r="L111" i="18"/>
  <c r="B111" i="18"/>
  <c r="Z110" i="18"/>
  <c r="X110" i="18"/>
  <c r="L110" i="18"/>
  <c r="N110" i="18" s="1"/>
  <c r="B110" i="18"/>
  <c r="X109" i="18"/>
  <c r="Z109" i="18" s="1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X106" i="18"/>
  <c r="Z106" i="18" s="1"/>
  <c r="N106" i="18"/>
  <c r="L106" i="18"/>
  <c r="B106" i="18"/>
  <c r="Z105" i="18"/>
  <c r="X105" i="18"/>
  <c r="N105" i="18"/>
  <c r="L105" i="18"/>
  <c r="B105" i="18"/>
  <c r="X104" i="18"/>
  <c r="Z104" i="18" s="1"/>
  <c r="L104" i="18"/>
  <c r="N104" i="18" s="1"/>
  <c r="B104" i="18"/>
  <c r="Z103" i="18"/>
  <c r="X103" i="18"/>
  <c r="N103" i="18"/>
  <c r="L103" i="18"/>
  <c r="B103" i="18"/>
  <c r="Z102" i="18"/>
  <c r="X102" i="18"/>
  <c r="L102" i="18"/>
  <c r="N102" i="18" s="1"/>
  <c r="B102" i="18"/>
  <c r="X101" i="18"/>
  <c r="Z101" i="18" s="1"/>
  <c r="N101" i="18"/>
  <c r="L101" i="18"/>
  <c r="B101" i="18"/>
  <c r="Z100" i="18"/>
  <c r="X100" i="18"/>
  <c r="L100" i="18"/>
  <c r="N100" i="18" s="1"/>
  <c r="B100" i="18"/>
  <c r="Z99" i="18"/>
  <c r="X99" i="18"/>
  <c r="N99" i="18"/>
  <c r="L99" i="18"/>
  <c r="B99" i="18"/>
  <c r="Z98" i="18"/>
  <c r="X98" i="18"/>
  <c r="N98" i="18"/>
  <c r="L98" i="18"/>
  <c r="B98" i="18"/>
  <c r="T97" i="18"/>
  <c r="P97" i="18"/>
  <c r="X97" i="18" s="1"/>
  <c r="Z97" i="18" s="1"/>
  <c r="H97" i="18"/>
  <c r="D97" i="18"/>
  <c r="L97" i="18" s="1"/>
  <c r="N97" i="18" s="1"/>
  <c r="T95" i="18"/>
  <c r="Z95" i="18" s="1"/>
  <c r="P95" i="18"/>
  <c r="N95" i="18"/>
  <c r="H95" i="18"/>
  <c r="D95" i="18"/>
  <c r="L95" i="18" s="1"/>
  <c r="B95" i="18"/>
  <c r="Z94" i="18"/>
  <c r="X94" i="18"/>
  <c r="T94" i="18"/>
  <c r="P94" i="18"/>
  <c r="H94" i="18"/>
  <c r="D94" i="18"/>
  <c r="B94" i="18"/>
  <c r="T93" i="18"/>
  <c r="X93" i="18" s="1"/>
  <c r="P93" i="18"/>
  <c r="N93" i="18"/>
  <c r="H93" i="18"/>
  <c r="D93" i="18"/>
  <c r="L93" i="18" s="1"/>
  <c r="B93" i="18"/>
  <c r="X92" i="18"/>
  <c r="Z92" i="18" s="1"/>
  <c r="T92" i="18"/>
  <c r="P92" i="18"/>
  <c r="H92" i="18"/>
  <c r="N92" i="18" s="1"/>
  <c r="D92" i="18"/>
  <c r="L92" i="18" s="1"/>
  <c r="B92" i="18"/>
  <c r="T91" i="18"/>
  <c r="P91" i="18"/>
  <c r="X91" i="18" s="1"/>
  <c r="Z91" i="18" s="1"/>
  <c r="L91" i="18"/>
  <c r="H91" i="18"/>
  <c r="D91" i="18"/>
  <c r="B91" i="18"/>
  <c r="T90" i="18"/>
  <c r="P90" i="18"/>
  <c r="H90" i="18"/>
  <c r="D90" i="18"/>
  <c r="L90" i="18" s="1"/>
  <c r="N90" i="18" s="1"/>
  <c r="B90" i="18"/>
  <c r="T89" i="18"/>
  <c r="P89" i="18"/>
  <c r="X89" i="18" s="1"/>
  <c r="Z89" i="18" s="1"/>
  <c r="N89" i="18"/>
  <c r="H89" i="18"/>
  <c r="L89" i="18" s="1"/>
  <c r="D89" i="18"/>
  <c r="B89" i="18"/>
  <c r="T88" i="18"/>
  <c r="P88" i="18"/>
  <c r="L88" i="18"/>
  <c r="N88" i="18" s="1"/>
  <c r="H88" i="18"/>
  <c r="D88" i="18"/>
  <c r="B88" i="18"/>
  <c r="T87" i="18"/>
  <c r="P87" i="18"/>
  <c r="N87" i="18"/>
  <c r="H87" i="18"/>
  <c r="D87" i="18"/>
  <c r="L87" i="18" s="1"/>
  <c r="B87" i="18"/>
  <c r="Z86" i="18"/>
  <c r="T86" i="18"/>
  <c r="P86" i="18"/>
  <c r="X86" i="18" s="1"/>
  <c r="H86" i="18"/>
  <c r="N86" i="18" s="1"/>
  <c r="D86" i="18"/>
  <c r="B86" i="18"/>
  <c r="Z85" i="18"/>
  <c r="T85" i="18"/>
  <c r="X85" i="18" s="1"/>
  <c r="P85" i="18"/>
  <c r="N85" i="18"/>
  <c r="H85" i="18"/>
  <c r="D85" i="18"/>
  <c r="L85" i="18" s="1"/>
  <c r="B85" i="18"/>
  <c r="X84" i="18"/>
  <c r="Z84" i="18" s="1"/>
  <c r="T84" i="18"/>
  <c r="P84" i="18"/>
  <c r="H84" i="18"/>
  <c r="D84" i="18"/>
  <c r="L84" i="18" s="1"/>
  <c r="B84" i="18"/>
  <c r="Z83" i="18"/>
  <c r="T83" i="18"/>
  <c r="P83" i="18"/>
  <c r="X83" i="18" s="1"/>
  <c r="L83" i="18"/>
  <c r="H83" i="18"/>
  <c r="D83" i="18"/>
  <c r="B83" i="18"/>
  <c r="T82" i="18"/>
  <c r="P82" i="18"/>
  <c r="H82" i="18"/>
  <c r="D82" i="18"/>
  <c r="L82" i="18" s="1"/>
  <c r="N82" i="18" s="1"/>
  <c r="B82" i="18"/>
  <c r="T81" i="18"/>
  <c r="P81" i="18"/>
  <c r="X81" i="18" s="1"/>
  <c r="Z81" i="18" s="1"/>
  <c r="H81" i="18"/>
  <c r="L81" i="18" s="1"/>
  <c r="D81" i="18"/>
  <c r="B81" i="18"/>
  <c r="T80" i="18"/>
  <c r="P80" i="18"/>
  <c r="X80" i="18" s="1"/>
  <c r="L80" i="18"/>
  <c r="N80" i="18" s="1"/>
  <c r="H80" i="18"/>
  <c r="D80" i="18"/>
  <c r="B80" i="18"/>
  <c r="T79" i="18"/>
  <c r="P79" i="18"/>
  <c r="H79" i="18"/>
  <c r="D79" i="18"/>
  <c r="L79" i="18" s="1"/>
  <c r="N79" i="18" s="1"/>
  <c r="B79" i="18"/>
  <c r="T78" i="18"/>
  <c r="P78" i="18"/>
  <c r="X78" i="18" s="1"/>
  <c r="Z78" i="18" s="1"/>
  <c r="H78" i="18"/>
  <c r="D78" i="18"/>
  <c r="B78" i="18"/>
  <c r="T77" i="18"/>
  <c r="X77" i="18" s="1"/>
  <c r="P77" i="18"/>
  <c r="H77" i="18"/>
  <c r="D77" i="18"/>
  <c r="L77" i="18" s="1"/>
  <c r="N77" i="18" s="1"/>
  <c r="B77" i="18"/>
  <c r="X76" i="18"/>
  <c r="Z76" i="18" s="1"/>
  <c r="T76" i="18"/>
  <c r="P76" i="18"/>
  <c r="H76" i="18"/>
  <c r="D76" i="18"/>
  <c r="B76" i="18"/>
  <c r="T75" i="18"/>
  <c r="P75" i="18"/>
  <c r="X75" i="18" s="1"/>
  <c r="Z75" i="18" s="1"/>
  <c r="L75" i="18"/>
  <c r="H75" i="18"/>
  <c r="D75" i="18"/>
  <c r="B75" i="18"/>
  <c r="X74" i="18"/>
  <c r="T74" i="18"/>
  <c r="Z74" i="18" s="1"/>
  <c r="P74" i="18"/>
  <c r="N74" i="18"/>
  <c r="L74" i="18"/>
  <c r="H74" i="18"/>
  <c r="D74" i="18"/>
  <c r="B74" i="18"/>
  <c r="T73" i="18"/>
  <c r="P73" i="18"/>
  <c r="X73" i="18" s="1"/>
  <c r="Z73" i="18" s="1"/>
  <c r="H73" i="18"/>
  <c r="D73" i="18"/>
  <c r="B73" i="18"/>
  <c r="T72" i="18"/>
  <c r="P72" i="18"/>
  <c r="N72" i="18"/>
  <c r="L72" i="18"/>
  <c r="H72" i="18"/>
  <c r="D72" i="18"/>
  <c r="B72" i="18"/>
  <c r="T71" i="18"/>
  <c r="P71" i="18"/>
  <c r="N71" i="18"/>
  <c r="H71" i="18"/>
  <c r="D71" i="18"/>
  <c r="L71" i="18" s="1"/>
  <c r="B71" i="18"/>
  <c r="Z70" i="18"/>
  <c r="X70" i="18"/>
  <c r="T70" i="18"/>
  <c r="P70" i="18"/>
  <c r="L70" i="18"/>
  <c r="H70" i="18"/>
  <c r="N70" i="18" s="1"/>
  <c r="D70" i="18"/>
  <c r="B70" i="18"/>
  <c r="Z69" i="18"/>
  <c r="T69" i="18"/>
  <c r="X69" i="18" s="1"/>
  <c r="P69" i="18"/>
  <c r="N69" i="18"/>
  <c r="H69" i="18"/>
  <c r="D69" i="18"/>
  <c r="L69" i="18" s="1"/>
  <c r="B69" i="18"/>
  <c r="X68" i="18"/>
  <c r="Z68" i="18" s="1"/>
  <c r="T68" i="18"/>
  <c r="P68" i="18"/>
  <c r="H68" i="18"/>
  <c r="D68" i="18"/>
  <c r="B68" i="18"/>
  <c r="T67" i="18"/>
  <c r="P67" i="18"/>
  <c r="X67" i="18" s="1"/>
  <c r="Z67" i="18" s="1"/>
  <c r="L67" i="18"/>
  <c r="H67" i="18"/>
  <c r="D67" i="18"/>
  <c r="B67" i="18"/>
  <c r="X66" i="18"/>
  <c r="T66" i="18"/>
  <c r="Z66" i="18" s="1"/>
  <c r="P66" i="18"/>
  <c r="N66" i="18"/>
  <c r="L66" i="18"/>
  <c r="H66" i="18"/>
  <c r="D66" i="18"/>
  <c r="B66" i="18"/>
  <c r="T65" i="18"/>
  <c r="P65" i="18"/>
  <c r="X65" i="18" s="1"/>
  <c r="Z65" i="18" s="1"/>
  <c r="H65" i="18"/>
  <c r="D65" i="18"/>
  <c r="B65" i="18"/>
  <c r="T64" i="18"/>
  <c r="P64" i="18"/>
  <c r="L64" i="18"/>
  <c r="N64" i="18" s="1"/>
  <c r="H64" i="18"/>
  <c r="D64" i="18"/>
  <c r="B64" i="18"/>
  <c r="X63" i="18"/>
  <c r="T63" i="18"/>
  <c r="P63" i="18"/>
  <c r="H63" i="18"/>
  <c r="D63" i="18"/>
  <c r="L63" i="18" s="1"/>
  <c r="N63" i="18" s="1"/>
  <c r="B63" i="18"/>
  <c r="Z62" i="18"/>
  <c r="X62" i="18"/>
  <c r="T62" i="18"/>
  <c r="P62" i="18"/>
  <c r="L62" i="18"/>
  <c r="H62" i="18"/>
  <c r="N62" i="18" s="1"/>
  <c r="D62" i="18"/>
  <c r="B62" i="18"/>
  <c r="Z61" i="18"/>
  <c r="T61" i="18"/>
  <c r="X61" i="18" s="1"/>
  <c r="P61" i="18"/>
  <c r="H61" i="18"/>
  <c r="D61" i="18"/>
  <c r="L61" i="18" s="1"/>
  <c r="N61" i="18" s="1"/>
  <c r="B61" i="18"/>
  <c r="X60" i="18"/>
  <c r="Z60" i="18" s="1"/>
  <c r="T60" i="18"/>
  <c r="P60" i="18"/>
  <c r="H60" i="18"/>
  <c r="D60" i="18"/>
  <c r="B60" i="18"/>
  <c r="T59" i="18"/>
  <c r="P59" i="18"/>
  <c r="X59" i="18" s="1"/>
  <c r="Z59" i="18" s="1"/>
  <c r="H59" i="18"/>
  <c r="D59" i="18"/>
  <c r="B59" i="18"/>
  <c r="X58" i="18"/>
  <c r="T58" i="18"/>
  <c r="Z58" i="18" s="1"/>
  <c r="P58" i="18"/>
  <c r="H58" i="18"/>
  <c r="D58" i="18"/>
  <c r="L58" i="18" s="1"/>
  <c r="N58" i="18" s="1"/>
  <c r="B58" i="18"/>
  <c r="T57" i="18"/>
  <c r="P57" i="18"/>
  <c r="X57" i="18" s="1"/>
  <c r="Z57" i="18" s="1"/>
  <c r="N57" i="18"/>
  <c r="H57" i="18"/>
  <c r="L57" i="18" s="1"/>
  <c r="D57" i="18"/>
  <c r="B57" i="18"/>
  <c r="T56" i="18"/>
  <c r="P56" i="18"/>
  <c r="L56" i="18"/>
  <c r="N56" i="18" s="1"/>
  <c r="H56" i="18"/>
  <c r="D56" i="18"/>
  <c r="B56" i="18"/>
  <c r="T55" i="18"/>
  <c r="P55" i="18"/>
  <c r="N55" i="18"/>
  <c r="H55" i="18"/>
  <c r="D55" i="18"/>
  <c r="L55" i="18" s="1"/>
  <c r="B55" i="18"/>
  <c r="T54" i="18"/>
  <c r="P54" i="18"/>
  <c r="X54" i="18" s="1"/>
  <c r="Z54" i="18" s="1"/>
  <c r="L54" i="18"/>
  <c r="H54" i="18"/>
  <c r="N54" i="18" s="1"/>
  <c r="D54" i="18"/>
  <c r="B54" i="18"/>
  <c r="T53" i="18"/>
  <c r="X53" i="18" s="1"/>
  <c r="P53" i="18"/>
  <c r="H53" i="18"/>
  <c r="D53" i="18"/>
  <c r="L53" i="18" s="1"/>
  <c r="N53" i="18" s="1"/>
  <c r="B53" i="18"/>
  <c r="X52" i="18"/>
  <c r="Z52" i="18" s="1"/>
  <c r="T52" i="18"/>
  <c r="P52" i="18"/>
  <c r="H52" i="18"/>
  <c r="N52" i="18" s="1"/>
  <c r="D52" i="18"/>
  <c r="L52" i="18" s="1"/>
  <c r="B52" i="18"/>
  <c r="Z51" i="18"/>
  <c r="T51" i="18"/>
  <c r="P51" i="18"/>
  <c r="X51" i="18" s="1"/>
  <c r="L51" i="18"/>
  <c r="H51" i="18"/>
  <c r="N51" i="18" s="1"/>
  <c r="D51" i="18"/>
  <c r="B51" i="18"/>
  <c r="X50" i="18"/>
  <c r="T50" i="18"/>
  <c r="Z50" i="18" s="1"/>
  <c r="P50" i="18"/>
  <c r="N50" i="18"/>
  <c r="H50" i="18"/>
  <c r="D50" i="18"/>
  <c r="L50" i="18" s="1"/>
  <c r="B50" i="18"/>
  <c r="T49" i="18"/>
  <c r="P49" i="18"/>
  <c r="X49" i="18" s="1"/>
  <c r="Z49" i="18" s="1"/>
  <c r="N49" i="18"/>
  <c r="H49" i="18"/>
  <c r="L49" i="18" s="1"/>
  <c r="D49" i="18"/>
  <c r="B49" i="18"/>
  <c r="T48" i="18"/>
  <c r="P48" i="18"/>
  <c r="X48" i="18" s="1"/>
  <c r="L48" i="18"/>
  <c r="N48" i="18" s="1"/>
  <c r="H48" i="18"/>
  <c r="D48" i="18"/>
  <c r="B48" i="18"/>
  <c r="X47" i="18"/>
  <c r="T47" i="18"/>
  <c r="P47" i="18"/>
  <c r="N47" i="18"/>
  <c r="H47" i="18"/>
  <c r="D47" i="18"/>
  <c r="L47" i="18" s="1"/>
  <c r="B47" i="18"/>
  <c r="T46" i="18"/>
  <c r="P46" i="18"/>
  <c r="X46" i="18" s="1"/>
  <c r="Z46" i="18" s="1"/>
  <c r="L46" i="18"/>
  <c r="H46" i="18"/>
  <c r="N46" i="18" s="1"/>
  <c r="D46" i="18"/>
  <c r="B46" i="18"/>
  <c r="T45" i="18"/>
  <c r="X45" i="18" s="1"/>
  <c r="P45" i="18"/>
  <c r="N45" i="18"/>
  <c r="H45" i="18"/>
  <c r="D45" i="18"/>
  <c r="L45" i="18" s="1"/>
  <c r="B45" i="18"/>
  <c r="X44" i="18"/>
  <c r="Z44" i="18" s="1"/>
  <c r="T44" i="18"/>
  <c r="P44" i="18"/>
  <c r="H44" i="18"/>
  <c r="N44" i="18" s="1"/>
  <c r="D44" i="18"/>
  <c r="L44" i="18" s="1"/>
  <c r="B44" i="18"/>
  <c r="Z43" i="18"/>
  <c r="T43" i="18"/>
  <c r="P43" i="18"/>
  <c r="X43" i="18" s="1"/>
  <c r="H43" i="18"/>
  <c r="D43" i="18"/>
  <c r="B43" i="18"/>
  <c r="X42" i="18"/>
  <c r="T42" i="18"/>
  <c r="Z42" i="18" s="1"/>
  <c r="P42" i="18"/>
  <c r="H42" i="18"/>
  <c r="D42" i="18"/>
  <c r="L42" i="18" s="1"/>
  <c r="N42" i="18" s="1"/>
  <c r="B42" i="18"/>
  <c r="Z41" i="18"/>
  <c r="T41" i="18"/>
  <c r="P41" i="18"/>
  <c r="X41" i="18" s="1"/>
  <c r="N41" i="18"/>
  <c r="H41" i="18"/>
  <c r="L41" i="18" s="1"/>
  <c r="D41" i="18"/>
  <c r="B41" i="18"/>
  <c r="T40" i="18"/>
  <c r="P40" i="18"/>
  <c r="X40" i="18" s="1"/>
  <c r="L40" i="18"/>
  <c r="N40" i="18" s="1"/>
  <c r="H40" i="18"/>
  <c r="D40" i="18"/>
  <c r="B40" i="18"/>
  <c r="X39" i="18"/>
  <c r="T39" i="18"/>
  <c r="P39" i="18"/>
  <c r="H39" i="18"/>
  <c r="D39" i="18"/>
  <c r="B39" i="18"/>
  <c r="T38" i="18"/>
  <c r="P38" i="18"/>
  <c r="X38" i="18" s="1"/>
  <c r="Z38" i="18" s="1"/>
  <c r="L38" i="18"/>
  <c r="H38" i="18"/>
  <c r="D38" i="18"/>
  <c r="B38" i="18"/>
  <c r="T37" i="18"/>
  <c r="X37" i="18" s="1"/>
  <c r="P37" i="18"/>
  <c r="L37" i="18"/>
  <c r="N37" i="18" s="1"/>
  <c r="H37" i="18"/>
  <c r="D37" i="18"/>
  <c r="B37" i="18"/>
  <c r="T36" i="18"/>
  <c r="P36" i="18"/>
  <c r="X36" i="18" s="1"/>
  <c r="Z36" i="18" s="1"/>
  <c r="H36" i="18"/>
  <c r="D36" i="18"/>
  <c r="L36" i="18" s="1"/>
  <c r="B36" i="18"/>
  <c r="Z35" i="18"/>
  <c r="T35" i="18"/>
  <c r="P35" i="18"/>
  <c r="X35" i="18" s="1"/>
  <c r="H35" i="18"/>
  <c r="D35" i="18"/>
  <c r="B35" i="18"/>
  <c r="T34" i="18"/>
  <c r="P34" i="18"/>
  <c r="H34" i="18"/>
  <c r="D34" i="18"/>
  <c r="L34" i="18" s="1"/>
  <c r="N34" i="18" s="1"/>
  <c r="B34" i="18"/>
  <c r="X33" i="18"/>
  <c r="Z33" i="18" s="1"/>
  <c r="T33" i="18"/>
  <c r="P33" i="18"/>
  <c r="H33" i="18"/>
  <c r="L33" i="18" s="1"/>
  <c r="D33" i="18"/>
  <c r="B33" i="18"/>
  <c r="T32" i="18"/>
  <c r="P32" i="18"/>
  <c r="H32" i="18"/>
  <c r="D32" i="18"/>
  <c r="L32" i="18" s="1"/>
  <c r="N32" i="18" s="1"/>
  <c r="B32" i="18"/>
  <c r="X31" i="18"/>
  <c r="T31" i="18"/>
  <c r="P31" i="18"/>
  <c r="H31" i="18"/>
  <c r="D31" i="18"/>
  <c r="B31" i="18"/>
  <c r="Z30" i="18"/>
  <c r="X30" i="18"/>
  <c r="T30" i="18"/>
  <c r="P30" i="18"/>
  <c r="H30" i="18"/>
  <c r="D30" i="18"/>
  <c r="B30" i="18"/>
  <c r="T29" i="18"/>
  <c r="P29" i="18"/>
  <c r="H29" i="18"/>
  <c r="D29" i="18"/>
  <c r="L29" i="18" s="1"/>
  <c r="N29" i="18" s="1"/>
  <c r="B29" i="18"/>
  <c r="X28" i="18"/>
  <c r="Z28" i="18" s="1"/>
  <c r="T28" i="18"/>
  <c r="P28" i="18"/>
  <c r="N28" i="18"/>
  <c r="H28" i="18"/>
  <c r="D28" i="18"/>
  <c r="L28" i="18" s="1"/>
  <c r="B28" i="18"/>
  <c r="T27" i="18"/>
  <c r="P27" i="18"/>
  <c r="X27" i="18" s="1"/>
  <c r="H27" i="18"/>
  <c r="D27" i="18"/>
  <c r="B27" i="18"/>
  <c r="T26" i="18"/>
  <c r="P26" i="18"/>
  <c r="N26" i="18"/>
  <c r="H26" i="18"/>
  <c r="D26" i="18"/>
  <c r="L26" i="18" s="1"/>
  <c r="B26" i="18"/>
  <c r="T25" i="18"/>
  <c r="P25" i="18"/>
  <c r="X25" i="18" s="1"/>
  <c r="Z25" i="18" s="1"/>
  <c r="H25" i="18"/>
  <c r="L25" i="18" s="1"/>
  <c r="D25" i="18"/>
  <c r="B25" i="18"/>
  <c r="T24" i="18"/>
  <c r="P24" i="18"/>
  <c r="X24" i="18" s="1"/>
  <c r="L24" i="18"/>
  <c r="N24" i="18" s="1"/>
  <c r="H24" i="18"/>
  <c r="D24" i="18"/>
  <c r="B24" i="18"/>
  <c r="X23" i="18"/>
  <c r="T23" i="18"/>
  <c r="P23" i="18"/>
  <c r="H23" i="18"/>
  <c r="D23" i="18"/>
  <c r="B23" i="18"/>
  <c r="T22" i="18"/>
  <c r="P22" i="18"/>
  <c r="L22" i="18"/>
  <c r="H22" i="18"/>
  <c r="D22" i="18"/>
  <c r="B22" i="18"/>
  <c r="T21" i="18"/>
  <c r="X21" i="18" s="1"/>
  <c r="P21" i="18"/>
  <c r="L21" i="18"/>
  <c r="N21" i="18" s="1"/>
  <c r="H21" i="18"/>
  <c r="D21" i="18"/>
  <c r="B21" i="18"/>
  <c r="T20" i="18"/>
  <c r="P20" i="18"/>
  <c r="X20" i="18" s="1"/>
  <c r="Z20" i="18" s="1"/>
  <c r="H20" i="18"/>
  <c r="D20" i="18"/>
  <c r="L20" i="18" s="1"/>
  <c r="B20" i="18"/>
  <c r="Z19" i="18"/>
  <c r="T19" i="18"/>
  <c r="P19" i="18"/>
  <c r="X19" i="18" s="1"/>
  <c r="H19" i="18"/>
  <c r="D19" i="18"/>
  <c r="B19" i="18"/>
  <c r="T18" i="18"/>
  <c r="P18" i="18"/>
  <c r="H18" i="18"/>
  <c r="D18" i="18"/>
  <c r="L18" i="18" s="1"/>
  <c r="N18" i="18" s="1"/>
  <c r="B18" i="18"/>
  <c r="X17" i="18"/>
  <c r="Z17" i="18" s="1"/>
  <c r="T17" i="18"/>
  <c r="P17" i="18"/>
  <c r="H17" i="18"/>
  <c r="L17" i="18" s="1"/>
  <c r="D17" i="18"/>
  <c r="B17" i="18"/>
  <c r="T16" i="18"/>
  <c r="P16" i="18"/>
  <c r="H16" i="18"/>
  <c r="D16" i="18"/>
  <c r="L16" i="18" s="1"/>
  <c r="N16" i="18" s="1"/>
  <c r="B16" i="18"/>
  <c r="X15" i="18"/>
  <c r="T15" i="18"/>
  <c r="P15" i="18"/>
  <c r="H15" i="18"/>
  <c r="D15" i="18"/>
  <c r="B15" i="18"/>
  <c r="Z14" i="18"/>
  <c r="X14" i="18"/>
  <c r="T14" i="18"/>
  <c r="P14" i="18"/>
  <c r="H14" i="18"/>
  <c r="D14" i="18"/>
  <c r="B14" i="18"/>
  <c r="Z13" i="18"/>
  <c r="X13" i="18"/>
  <c r="T13" i="18"/>
  <c r="P13" i="18"/>
  <c r="H13" i="18"/>
  <c r="D13" i="18"/>
  <c r="L13" i="18" s="1"/>
  <c r="N13" i="18" s="1"/>
  <c r="B13" i="18"/>
  <c r="D4" i="18"/>
  <c r="B39" i="17"/>
  <c r="B38" i="17"/>
  <c r="T34" i="17"/>
  <c r="Z34" i="17" s="1"/>
  <c r="P34" i="17"/>
  <c r="H34" i="17"/>
  <c r="N34" i="17" s="1"/>
  <c r="D34" i="17"/>
  <c r="T33" i="17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D21" i="17"/>
  <c r="B21" i="17"/>
  <c r="T20" i="17"/>
  <c r="Z20" i="17" s="1"/>
  <c r="P20" i="17"/>
  <c r="H20" i="17"/>
  <c r="N20" i="17" s="1"/>
  <c r="D20" i="17"/>
  <c r="T16" i="17"/>
  <c r="P16" i="17"/>
  <c r="H16" i="17"/>
  <c r="N16" i="17" s="1"/>
  <c r="D16" i="17"/>
  <c r="B16" i="17"/>
  <c r="T15" i="17"/>
  <c r="P15" i="17"/>
  <c r="H15" i="17"/>
  <c r="N15" i="17" s="1"/>
  <c r="D15" i="17"/>
  <c r="T13" i="17"/>
  <c r="Z13" i="17" s="1"/>
  <c r="P13" i="17"/>
  <c r="H13" i="17"/>
  <c r="D13" i="17"/>
  <c r="B13" i="17"/>
  <c r="T12" i="17"/>
  <c r="V24" i="17" s="1"/>
  <c r="P12" i="17"/>
  <c r="H12" i="17"/>
  <c r="D12" i="17"/>
  <c r="F34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D20" i="16"/>
  <c r="T16" i="16"/>
  <c r="Z16" i="16" s="1"/>
  <c r="P16" i="16"/>
  <c r="H16" i="16"/>
  <c r="D16" i="16"/>
  <c r="B16" i="16"/>
  <c r="T15" i="16"/>
  <c r="P15" i="16"/>
  <c r="H15" i="16"/>
  <c r="N15" i="16" s="1"/>
  <c r="D15" i="16"/>
  <c r="T13" i="16"/>
  <c r="P13" i="16"/>
  <c r="H13" i="16"/>
  <c r="N13" i="16" s="1"/>
  <c r="D13" i="16"/>
  <c r="B13" i="16"/>
  <c r="T12" i="16"/>
  <c r="V33" i="16" s="1"/>
  <c r="P12" i="16"/>
  <c r="R21" i="16" s="1"/>
  <c r="H12" i="16"/>
  <c r="D12" i="16"/>
  <c r="D5" i="16"/>
  <c r="D4" i="16"/>
  <c r="X226" i="15"/>
  <c r="Z226" i="15" s="1"/>
  <c r="N226" i="15"/>
  <c r="L226" i="15"/>
  <c r="Z222" i="15"/>
  <c r="X222" i="15"/>
  <c r="T222" i="15"/>
  <c r="P222" i="15"/>
  <c r="H222" i="15"/>
  <c r="D222" i="15"/>
  <c r="B222" i="15"/>
  <c r="T221" i="15"/>
  <c r="P221" i="15"/>
  <c r="H221" i="15"/>
  <c r="D221" i="15"/>
  <c r="L221" i="15" s="1"/>
  <c r="N221" i="15" s="1"/>
  <c r="B221" i="15"/>
  <c r="T220" i="15"/>
  <c r="Z220" i="15" s="1"/>
  <c r="P220" i="15"/>
  <c r="X220" i="15" s="1"/>
  <c r="N220" i="15"/>
  <c r="L220" i="15"/>
  <c r="H220" i="15"/>
  <c r="D220" i="15"/>
  <c r="B220" i="15"/>
  <c r="X219" i="15"/>
  <c r="Z219" i="15" s="1"/>
  <c r="T219" i="15"/>
  <c r="P219" i="15"/>
  <c r="H219" i="15"/>
  <c r="D219" i="15"/>
  <c r="B219" i="15"/>
  <c r="T218" i="15"/>
  <c r="P218" i="15"/>
  <c r="H218" i="15"/>
  <c r="N218" i="15" s="1"/>
  <c r="D218" i="15"/>
  <c r="L218" i="15" s="1"/>
  <c r="B218" i="15"/>
  <c r="Z215" i="15"/>
  <c r="X215" i="15"/>
  <c r="N215" i="15"/>
  <c r="L215" i="15"/>
  <c r="B215" i="15"/>
  <c r="T214" i="15"/>
  <c r="P214" i="15"/>
  <c r="H214" i="15"/>
  <c r="D214" i="15"/>
  <c r="L214" i="15" s="1"/>
  <c r="B214" i="15"/>
  <c r="Z213" i="15"/>
  <c r="X213" i="15"/>
  <c r="N213" i="15"/>
  <c r="L213" i="15"/>
  <c r="B213" i="15"/>
  <c r="X212" i="15"/>
  <c r="Z212" i="15" s="1"/>
  <c r="L212" i="15"/>
  <c r="N212" i="15" s="1"/>
  <c r="B212" i="15"/>
  <c r="Z211" i="15"/>
  <c r="X211" i="15"/>
  <c r="N211" i="15"/>
  <c r="L211" i="15"/>
  <c r="B211" i="15"/>
  <c r="T210" i="15"/>
  <c r="P210" i="15"/>
  <c r="H210" i="15"/>
  <c r="N210" i="15" s="1"/>
  <c r="D210" i="15"/>
  <c r="L210" i="15" s="1"/>
  <c r="B210" i="15"/>
  <c r="Z209" i="15"/>
  <c r="X209" i="15"/>
  <c r="N209" i="15"/>
  <c r="L209" i="15"/>
  <c r="J209" i="15"/>
  <c r="B209" i="15"/>
  <c r="T208" i="15"/>
  <c r="Z208" i="15" s="1"/>
  <c r="P208" i="15"/>
  <c r="X208" i="15" s="1"/>
  <c r="H208" i="15"/>
  <c r="N208" i="15" s="1"/>
  <c r="D208" i="15"/>
  <c r="L208" i="15" s="1"/>
  <c r="B208" i="15"/>
  <c r="Z207" i="15"/>
  <c r="X207" i="15"/>
  <c r="N207" i="15"/>
  <c r="L207" i="15"/>
  <c r="B207" i="15"/>
  <c r="X206" i="15"/>
  <c r="Z206" i="15" s="1"/>
  <c r="L206" i="15"/>
  <c r="N206" i="15" s="1"/>
  <c r="J206" i="15"/>
  <c r="B206" i="15"/>
  <c r="T205" i="15"/>
  <c r="P205" i="15"/>
  <c r="X205" i="15" s="1"/>
  <c r="Z205" i="15" s="1"/>
  <c r="N205" i="15"/>
  <c r="H205" i="15"/>
  <c r="D205" i="15"/>
  <c r="L205" i="15" s="1"/>
  <c r="B205" i="15"/>
  <c r="X204" i="15"/>
  <c r="Z204" i="15" s="1"/>
  <c r="L204" i="15"/>
  <c r="N204" i="15" s="1"/>
  <c r="B204" i="15"/>
  <c r="Z203" i="15"/>
  <c r="X203" i="15"/>
  <c r="N203" i="15"/>
  <c r="L203" i="15"/>
  <c r="B203" i="15"/>
  <c r="X202" i="15"/>
  <c r="Z202" i="15" s="1"/>
  <c r="L202" i="15"/>
  <c r="N202" i="15" s="1"/>
  <c r="B202" i="15"/>
  <c r="Z201" i="15"/>
  <c r="X201" i="15"/>
  <c r="L201" i="15"/>
  <c r="N201" i="15" s="1"/>
  <c r="B201" i="15"/>
  <c r="X200" i="15"/>
  <c r="Z200" i="15" s="1"/>
  <c r="N200" i="15"/>
  <c r="L200" i="15"/>
  <c r="B200" i="15"/>
  <c r="Z199" i="15"/>
  <c r="X199" i="15"/>
  <c r="N199" i="15"/>
  <c r="L199" i="15"/>
  <c r="B199" i="15"/>
  <c r="X198" i="15"/>
  <c r="Z198" i="15" s="1"/>
  <c r="L198" i="15"/>
  <c r="N198" i="15" s="1"/>
  <c r="B198" i="15"/>
  <c r="X197" i="15"/>
  <c r="Z197" i="15" s="1"/>
  <c r="T197" i="15"/>
  <c r="P197" i="15"/>
  <c r="H197" i="15"/>
  <c r="D197" i="15"/>
  <c r="B197" i="15"/>
  <c r="X196" i="15"/>
  <c r="Z196" i="15" s="1"/>
  <c r="L196" i="15"/>
  <c r="N196" i="15" s="1"/>
  <c r="B196" i="15"/>
  <c r="Z195" i="15"/>
  <c r="X195" i="15"/>
  <c r="N195" i="15"/>
  <c r="L195" i="15"/>
  <c r="B195" i="15"/>
  <c r="T194" i="15"/>
  <c r="P194" i="15"/>
  <c r="H194" i="15"/>
  <c r="D194" i="15"/>
  <c r="L194" i="15" s="1"/>
  <c r="B194" i="15"/>
  <c r="Z193" i="15"/>
  <c r="X193" i="15"/>
  <c r="L193" i="15"/>
  <c r="N193" i="15" s="1"/>
  <c r="J193" i="15"/>
  <c r="B193" i="15"/>
  <c r="X192" i="15"/>
  <c r="Z192" i="15" s="1"/>
  <c r="N192" i="15"/>
  <c r="L192" i="15"/>
  <c r="B192" i="15"/>
  <c r="Z191" i="15"/>
  <c r="X191" i="15"/>
  <c r="N191" i="15"/>
  <c r="L191" i="15"/>
  <c r="B191" i="15"/>
  <c r="X190" i="15"/>
  <c r="Z190" i="15" s="1"/>
  <c r="N190" i="15"/>
  <c r="L190" i="15"/>
  <c r="B190" i="15"/>
  <c r="X189" i="15"/>
  <c r="Z189" i="15" s="1"/>
  <c r="T189" i="15"/>
  <c r="P189" i="15"/>
  <c r="H189" i="15"/>
  <c r="D189" i="15"/>
  <c r="B189" i="15"/>
  <c r="X188" i="15"/>
  <c r="Z188" i="15" s="1"/>
  <c r="N188" i="15"/>
  <c r="L188" i="15"/>
  <c r="B188" i="15"/>
  <c r="Z187" i="15"/>
  <c r="X187" i="15"/>
  <c r="N187" i="15"/>
  <c r="L187" i="15"/>
  <c r="B187" i="15"/>
  <c r="X186" i="15"/>
  <c r="Z186" i="15" s="1"/>
  <c r="L186" i="15"/>
  <c r="N186" i="15" s="1"/>
  <c r="B186" i="15"/>
  <c r="X185" i="15"/>
  <c r="Z185" i="15" s="1"/>
  <c r="T185" i="15"/>
  <c r="P185" i="15"/>
  <c r="H185" i="15"/>
  <c r="D185" i="15"/>
  <c r="B185" i="15"/>
  <c r="X184" i="15"/>
  <c r="Z184" i="15" s="1"/>
  <c r="N184" i="15"/>
  <c r="L184" i="15"/>
  <c r="B184" i="15"/>
  <c r="Z183" i="15"/>
  <c r="X183" i="15"/>
  <c r="N183" i="15"/>
  <c r="L183" i="15"/>
  <c r="B183" i="15"/>
  <c r="X182" i="15"/>
  <c r="Z182" i="15" s="1"/>
  <c r="N182" i="15"/>
  <c r="L182" i="15"/>
  <c r="B182" i="15"/>
  <c r="X181" i="15"/>
  <c r="Z181" i="15" s="1"/>
  <c r="N181" i="15"/>
  <c r="L181" i="15"/>
  <c r="B181" i="15"/>
  <c r="Z180" i="15"/>
  <c r="X180" i="15"/>
  <c r="T180" i="15"/>
  <c r="P180" i="15"/>
  <c r="H180" i="15"/>
  <c r="D180" i="15"/>
  <c r="B180" i="15"/>
  <c r="Z179" i="15"/>
  <c r="X179" i="15"/>
  <c r="N179" i="15"/>
  <c r="L179" i="15"/>
  <c r="B179" i="15"/>
  <c r="T178" i="15"/>
  <c r="P178" i="15"/>
  <c r="H178" i="15"/>
  <c r="D178" i="15"/>
  <c r="L178" i="15" s="1"/>
  <c r="B178" i="15"/>
  <c r="Z177" i="15"/>
  <c r="X177" i="15"/>
  <c r="N177" i="15"/>
  <c r="L177" i="15"/>
  <c r="B177" i="15"/>
  <c r="T176" i="15"/>
  <c r="Z176" i="15" s="1"/>
  <c r="P176" i="15"/>
  <c r="X176" i="15" s="1"/>
  <c r="H176" i="15"/>
  <c r="N176" i="15" s="1"/>
  <c r="D176" i="15"/>
  <c r="L176" i="15" s="1"/>
  <c r="B176" i="15"/>
  <c r="Z175" i="15"/>
  <c r="X175" i="15"/>
  <c r="N175" i="15"/>
  <c r="L175" i="15"/>
  <c r="B175" i="15"/>
  <c r="X174" i="15"/>
  <c r="Z174" i="15" s="1"/>
  <c r="L174" i="15"/>
  <c r="N174" i="15" s="1"/>
  <c r="B174" i="15"/>
  <c r="T173" i="15"/>
  <c r="P173" i="15"/>
  <c r="X173" i="15" s="1"/>
  <c r="Z173" i="15" s="1"/>
  <c r="H173" i="15"/>
  <c r="D173" i="15"/>
  <c r="L173" i="15" s="1"/>
  <c r="N173" i="15" s="1"/>
  <c r="B173" i="15"/>
  <c r="Z172" i="15"/>
  <c r="X172" i="15"/>
  <c r="L172" i="15"/>
  <c r="N172" i="15" s="1"/>
  <c r="B172" i="15"/>
  <c r="T171" i="15"/>
  <c r="P171" i="15"/>
  <c r="X171" i="15" s="1"/>
  <c r="Z171" i="15" s="1"/>
  <c r="L171" i="15"/>
  <c r="N171" i="15" s="1"/>
  <c r="J171" i="15"/>
  <c r="H171" i="15"/>
  <c r="D171" i="15"/>
  <c r="B171" i="15"/>
  <c r="X170" i="15"/>
  <c r="Z170" i="15" s="1"/>
  <c r="L170" i="15"/>
  <c r="N170" i="15" s="1"/>
  <c r="B170" i="15"/>
  <c r="X169" i="15"/>
  <c r="Z169" i="15" s="1"/>
  <c r="T169" i="15"/>
  <c r="P169" i="15"/>
  <c r="H169" i="15"/>
  <c r="D169" i="15"/>
  <c r="B169" i="15"/>
  <c r="X168" i="15"/>
  <c r="Z168" i="15" s="1"/>
  <c r="N168" i="15"/>
  <c r="L168" i="15"/>
  <c r="B168" i="15"/>
  <c r="Z167" i="15"/>
  <c r="X167" i="15"/>
  <c r="N167" i="15"/>
  <c r="L167" i="15"/>
  <c r="B167" i="15"/>
  <c r="T166" i="15"/>
  <c r="P166" i="15"/>
  <c r="H166" i="15"/>
  <c r="D166" i="15"/>
  <c r="L166" i="15" s="1"/>
  <c r="B166" i="15"/>
  <c r="Z165" i="15"/>
  <c r="X165" i="15"/>
  <c r="L165" i="15"/>
  <c r="N165" i="15" s="1"/>
  <c r="B165" i="15"/>
  <c r="T164" i="15"/>
  <c r="P164" i="15"/>
  <c r="X164" i="15" s="1"/>
  <c r="H164" i="15"/>
  <c r="N164" i="15" s="1"/>
  <c r="D164" i="15"/>
  <c r="L164" i="15" s="1"/>
  <c r="B164" i="15"/>
  <c r="Z163" i="15"/>
  <c r="X163" i="15"/>
  <c r="N163" i="15"/>
  <c r="L163" i="15"/>
  <c r="B163" i="15"/>
  <c r="T162" i="15"/>
  <c r="Z162" i="15" s="1"/>
  <c r="P162" i="15"/>
  <c r="X162" i="15" s="1"/>
  <c r="N162" i="15"/>
  <c r="L162" i="15"/>
  <c r="H162" i="15"/>
  <c r="D162" i="15"/>
  <c r="B162" i="15"/>
  <c r="X161" i="15"/>
  <c r="Z161" i="15" s="1"/>
  <c r="N161" i="15"/>
  <c r="L161" i="15"/>
  <c r="B161" i="15"/>
  <c r="X160" i="15"/>
  <c r="Z160" i="15" s="1"/>
  <c r="T160" i="15"/>
  <c r="P160" i="15"/>
  <c r="H160" i="15"/>
  <c r="D160" i="15"/>
  <c r="B160" i="15"/>
  <c r="Z159" i="15"/>
  <c r="X159" i="15"/>
  <c r="N159" i="15"/>
  <c r="L159" i="15"/>
  <c r="B159" i="15"/>
  <c r="Z158" i="15"/>
  <c r="X158" i="15"/>
  <c r="N158" i="15"/>
  <c r="L158" i="15"/>
  <c r="B158" i="15"/>
  <c r="X157" i="15"/>
  <c r="Z157" i="15" s="1"/>
  <c r="T157" i="15"/>
  <c r="P157" i="15"/>
  <c r="H157" i="15"/>
  <c r="D157" i="15"/>
  <c r="B157" i="15"/>
  <c r="X156" i="15"/>
  <c r="Z156" i="15" s="1"/>
  <c r="L156" i="15"/>
  <c r="N156" i="15" s="1"/>
  <c r="B156" i="15"/>
  <c r="Z155" i="15"/>
  <c r="X155" i="15"/>
  <c r="N155" i="15"/>
  <c r="L155" i="15"/>
  <c r="B155" i="15"/>
  <c r="T154" i="15"/>
  <c r="P154" i="15"/>
  <c r="H154" i="15"/>
  <c r="D154" i="15"/>
  <c r="L154" i="15" s="1"/>
  <c r="B154" i="15"/>
  <c r="Z153" i="15"/>
  <c r="X153" i="15"/>
  <c r="L153" i="15"/>
  <c r="N153" i="15" s="1"/>
  <c r="J153" i="15"/>
  <c r="B153" i="15"/>
  <c r="T152" i="15"/>
  <c r="Z152" i="15" s="1"/>
  <c r="P152" i="15"/>
  <c r="X152" i="15" s="1"/>
  <c r="H152" i="15"/>
  <c r="D152" i="15"/>
  <c r="L152" i="15" s="1"/>
  <c r="B152" i="15"/>
  <c r="Z151" i="15"/>
  <c r="X151" i="15"/>
  <c r="N151" i="15"/>
  <c r="L151" i="15"/>
  <c r="B151" i="15"/>
  <c r="X150" i="15"/>
  <c r="Z150" i="15" s="1"/>
  <c r="L150" i="15"/>
  <c r="N150" i="15" s="1"/>
  <c r="J150" i="15"/>
  <c r="B150" i="15"/>
  <c r="T149" i="15"/>
  <c r="P149" i="15"/>
  <c r="X149" i="15" s="1"/>
  <c r="Z149" i="15" s="1"/>
  <c r="N149" i="15"/>
  <c r="H149" i="15"/>
  <c r="D149" i="15"/>
  <c r="L149" i="15" s="1"/>
  <c r="B149" i="15"/>
  <c r="X148" i="15"/>
  <c r="Z148" i="15" s="1"/>
  <c r="L148" i="15"/>
  <c r="N148" i="15" s="1"/>
  <c r="B148" i="15"/>
  <c r="Z147" i="15"/>
  <c r="T147" i="15"/>
  <c r="P147" i="15"/>
  <c r="X147" i="15" s="1"/>
  <c r="L147" i="15"/>
  <c r="N147" i="15" s="1"/>
  <c r="H147" i="15"/>
  <c r="D147" i="15"/>
  <c r="B147" i="15"/>
  <c r="X146" i="15"/>
  <c r="Z146" i="15" s="1"/>
  <c r="L146" i="15"/>
  <c r="N146" i="15" s="1"/>
  <c r="B146" i="15"/>
  <c r="X145" i="15"/>
  <c r="Z145" i="15" s="1"/>
  <c r="N145" i="15"/>
  <c r="L145" i="15"/>
  <c r="B145" i="15"/>
  <c r="X144" i="15"/>
  <c r="Z144" i="15" s="1"/>
  <c r="L144" i="15"/>
  <c r="N144" i="15" s="1"/>
  <c r="B144" i="15"/>
  <c r="Z143" i="15"/>
  <c r="X143" i="15"/>
  <c r="N143" i="15"/>
  <c r="L143" i="15"/>
  <c r="B143" i="15"/>
  <c r="X142" i="15"/>
  <c r="Z142" i="15" s="1"/>
  <c r="L142" i="15"/>
  <c r="N142" i="15" s="1"/>
  <c r="B142" i="15"/>
  <c r="Z141" i="15"/>
  <c r="X141" i="15"/>
  <c r="L141" i="15"/>
  <c r="N141" i="15" s="1"/>
  <c r="B141" i="15"/>
  <c r="X140" i="15"/>
  <c r="Z140" i="15" s="1"/>
  <c r="L140" i="15"/>
  <c r="N140" i="15" s="1"/>
  <c r="B140" i="15"/>
  <c r="T139" i="15"/>
  <c r="P139" i="15"/>
  <c r="H139" i="15"/>
  <c r="D139" i="15"/>
  <c r="L139" i="15" s="1"/>
  <c r="N139" i="15" s="1"/>
  <c r="B139" i="15"/>
  <c r="X138" i="15"/>
  <c r="Z138" i="15" s="1"/>
  <c r="L138" i="15"/>
  <c r="N138" i="15" s="1"/>
  <c r="B138" i="15"/>
  <c r="Z137" i="15"/>
  <c r="X137" i="15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X133" i="15"/>
  <c r="Z133" i="15" s="1"/>
  <c r="N133" i="15"/>
  <c r="L133" i="15"/>
  <c r="B133" i="15"/>
  <c r="X132" i="15"/>
  <c r="Z132" i="15" s="1"/>
  <c r="L132" i="15"/>
  <c r="N132" i="15" s="1"/>
  <c r="B132" i="15"/>
  <c r="Z131" i="15"/>
  <c r="X131" i="15"/>
  <c r="N131" i="15"/>
  <c r="L131" i="15"/>
  <c r="B131" i="15"/>
  <c r="X130" i="15"/>
  <c r="Z130" i="15" s="1"/>
  <c r="L130" i="15"/>
  <c r="N130" i="15" s="1"/>
  <c r="B130" i="15"/>
  <c r="Z129" i="15"/>
  <c r="X129" i="15"/>
  <c r="L129" i="15"/>
  <c r="N129" i="15" s="1"/>
  <c r="B129" i="15"/>
  <c r="T128" i="15"/>
  <c r="P128" i="15"/>
  <c r="X128" i="15" s="1"/>
  <c r="H128" i="15"/>
  <c r="D128" i="15"/>
  <c r="L128" i="15" s="1"/>
  <c r="B128" i="15"/>
  <c r="T127" i="15" a="1"/>
  <c r="T127" i="15"/>
  <c r="P127" i="15" a="1"/>
  <c r="P127" i="15" s="1"/>
  <c r="H127" i="15" a="1"/>
  <c r="H127" i="15"/>
  <c r="D127" i="15" a="1"/>
  <c r="D127" i="15" s="1"/>
  <c r="Z123" i="15"/>
  <c r="X123" i="15"/>
  <c r="N123" i="15"/>
  <c r="L123" i="15"/>
  <c r="B123" i="15"/>
  <c r="X122" i="15"/>
  <c r="Z122" i="15" s="1"/>
  <c r="L122" i="15"/>
  <c r="N122" i="15" s="1"/>
  <c r="B122" i="15"/>
  <c r="Z121" i="15"/>
  <c r="X121" i="15"/>
  <c r="N121" i="15"/>
  <c r="L121" i="15"/>
  <c r="B121" i="15"/>
  <c r="X120" i="15"/>
  <c r="Z120" i="15" s="1"/>
  <c r="N120" i="15"/>
  <c r="L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Z117" i="15"/>
  <c r="X117" i="15"/>
  <c r="L117" i="15"/>
  <c r="N117" i="15" s="1"/>
  <c r="J117" i="15"/>
  <c r="B117" i="15"/>
  <c r="X116" i="15"/>
  <c r="Z116" i="15" s="1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X113" i="15"/>
  <c r="Z113" i="15" s="1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X110" i="15"/>
  <c r="Z110" i="15" s="1"/>
  <c r="N110" i="15"/>
  <c r="L110" i="15"/>
  <c r="B110" i="15"/>
  <c r="Z109" i="15"/>
  <c r="X109" i="15"/>
  <c r="L109" i="15"/>
  <c r="N109" i="15" s="1"/>
  <c r="B109" i="15"/>
  <c r="X108" i="15"/>
  <c r="Z108" i="15" s="1"/>
  <c r="L108" i="15"/>
  <c r="N108" i="15" s="1"/>
  <c r="B108" i="15"/>
  <c r="Z107" i="15"/>
  <c r="X107" i="15"/>
  <c r="N107" i="15"/>
  <c r="L107" i="15"/>
  <c r="B107" i="15"/>
  <c r="X106" i="15"/>
  <c r="Z106" i="15" s="1"/>
  <c r="L106" i="15"/>
  <c r="N106" i="15" s="1"/>
  <c r="B106" i="15"/>
  <c r="X105" i="15"/>
  <c r="Z105" i="15" s="1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B103" i="15"/>
  <c r="X102" i="15"/>
  <c r="Z102" i="15" s="1"/>
  <c r="L102" i="15"/>
  <c r="N102" i="15" s="1"/>
  <c r="B102" i="15"/>
  <c r="Z101" i="15"/>
  <c r="X101" i="15"/>
  <c r="L101" i="15"/>
  <c r="N101" i="15" s="1"/>
  <c r="B101" i="15"/>
  <c r="X100" i="15"/>
  <c r="Z100" i="15" s="1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X97" i="15"/>
  <c r="Z97" i="15" s="1"/>
  <c r="N97" i="15"/>
  <c r="L97" i="15"/>
  <c r="B97" i="15"/>
  <c r="Z96" i="15"/>
  <c r="X96" i="15"/>
  <c r="N96" i="15"/>
  <c r="L96" i="15"/>
  <c r="B96" i="15"/>
  <c r="Z95" i="15"/>
  <c r="X95" i="15"/>
  <c r="N95" i="15"/>
  <c r="L95" i="15"/>
  <c r="B95" i="15"/>
  <c r="X94" i="15"/>
  <c r="Z94" i="15" s="1"/>
  <c r="L94" i="15"/>
  <c r="N94" i="15" s="1"/>
  <c r="J94" i="15"/>
  <c r="B94" i="15"/>
  <c r="Z93" i="15"/>
  <c r="X93" i="15"/>
  <c r="N93" i="15"/>
  <c r="L93" i="15"/>
  <c r="B93" i="15"/>
  <c r="X92" i="15"/>
  <c r="Z92" i="15" s="1"/>
  <c r="N92" i="15"/>
  <c r="L92" i="15"/>
  <c r="B92" i="15"/>
  <c r="Z91" i="15"/>
  <c r="X91" i="15"/>
  <c r="N91" i="15"/>
  <c r="L91" i="15"/>
  <c r="B91" i="15"/>
  <c r="X90" i="15"/>
  <c r="Z90" i="15" s="1"/>
  <c r="N90" i="15"/>
  <c r="L90" i="15"/>
  <c r="B90" i="15"/>
  <c r="X89" i="15"/>
  <c r="Z89" i="15" s="1"/>
  <c r="N89" i="15"/>
  <c r="L89" i="15"/>
  <c r="B89" i="15"/>
  <c r="Z88" i="15"/>
  <c r="X88" i="15"/>
  <c r="N88" i="15"/>
  <c r="L88" i="15"/>
  <c r="B88" i="15"/>
  <c r="Z87" i="15"/>
  <c r="X87" i="15"/>
  <c r="N87" i="15"/>
  <c r="L87" i="15"/>
  <c r="B87" i="15"/>
  <c r="X86" i="15"/>
  <c r="Z86" i="15" s="1"/>
  <c r="N86" i="15"/>
  <c r="L86" i="15"/>
  <c r="B86" i="15"/>
  <c r="Z85" i="15"/>
  <c r="X85" i="15"/>
  <c r="L85" i="15"/>
  <c r="N85" i="15" s="1"/>
  <c r="B85" i="15"/>
  <c r="X84" i="15"/>
  <c r="Z84" i="15" s="1"/>
  <c r="L84" i="15"/>
  <c r="N84" i="15" s="1"/>
  <c r="B84" i="15"/>
  <c r="Z83" i="15"/>
  <c r="X83" i="15"/>
  <c r="N83" i="15"/>
  <c r="L83" i="15"/>
  <c r="B83" i="15"/>
  <c r="T82" i="15"/>
  <c r="P82" i="15"/>
  <c r="H82" i="15"/>
  <c r="D82" i="15"/>
  <c r="L82" i="15" s="1"/>
  <c r="X80" i="15"/>
  <c r="T80" i="15"/>
  <c r="Z80" i="15" s="1"/>
  <c r="P80" i="15"/>
  <c r="H80" i="15"/>
  <c r="N80" i="15" s="1"/>
  <c r="D80" i="15"/>
  <c r="L80" i="15" s="1"/>
  <c r="B80" i="15"/>
  <c r="T79" i="15"/>
  <c r="P79" i="15"/>
  <c r="X79" i="15" s="1"/>
  <c r="Z79" i="15" s="1"/>
  <c r="H79" i="15"/>
  <c r="N79" i="15" s="1"/>
  <c r="D79" i="15"/>
  <c r="B79" i="15"/>
  <c r="T78" i="15"/>
  <c r="Z78" i="15" s="1"/>
  <c r="P78" i="15"/>
  <c r="X78" i="15" s="1"/>
  <c r="N78" i="15"/>
  <c r="L78" i="15"/>
  <c r="H78" i="15"/>
  <c r="D78" i="15"/>
  <c r="B78" i="15"/>
  <c r="T77" i="15"/>
  <c r="P77" i="15"/>
  <c r="X77" i="15" s="1"/>
  <c r="H77" i="15"/>
  <c r="D77" i="15"/>
  <c r="L77" i="15" s="1"/>
  <c r="N77" i="15" s="1"/>
  <c r="B77" i="15"/>
  <c r="T76" i="15"/>
  <c r="P76" i="15"/>
  <c r="X76" i="15" s="1"/>
  <c r="L76" i="15"/>
  <c r="H76" i="15"/>
  <c r="N76" i="15" s="1"/>
  <c r="D76" i="15"/>
  <c r="B76" i="15"/>
  <c r="X75" i="15"/>
  <c r="T75" i="15"/>
  <c r="P75" i="15"/>
  <c r="H75" i="15"/>
  <c r="D75" i="15"/>
  <c r="L75" i="15" s="1"/>
  <c r="N75" i="15" s="1"/>
  <c r="B75" i="15"/>
  <c r="X74" i="15"/>
  <c r="Z74" i="15" s="1"/>
  <c r="T74" i="15"/>
  <c r="P74" i="15"/>
  <c r="H74" i="15"/>
  <c r="D74" i="15"/>
  <c r="L74" i="15" s="1"/>
  <c r="B74" i="15"/>
  <c r="Z73" i="15"/>
  <c r="T73" i="15"/>
  <c r="P73" i="15"/>
  <c r="X73" i="15" s="1"/>
  <c r="H73" i="15"/>
  <c r="N73" i="15" s="1"/>
  <c r="D73" i="15"/>
  <c r="L73" i="15" s="1"/>
  <c r="B73" i="15"/>
  <c r="X72" i="15"/>
  <c r="T72" i="15"/>
  <c r="Z72" i="15" s="1"/>
  <c r="P72" i="15"/>
  <c r="H72" i="15"/>
  <c r="D72" i="15"/>
  <c r="L72" i="15" s="1"/>
  <c r="B72" i="15"/>
  <c r="T71" i="15"/>
  <c r="P71" i="15"/>
  <c r="X71" i="15" s="1"/>
  <c r="Z71" i="15" s="1"/>
  <c r="L71" i="15"/>
  <c r="H71" i="15"/>
  <c r="D71" i="15"/>
  <c r="B71" i="15"/>
  <c r="T70" i="15"/>
  <c r="Z70" i="15" s="1"/>
  <c r="P70" i="15"/>
  <c r="X70" i="15" s="1"/>
  <c r="L70" i="15"/>
  <c r="N70" i="15" s="1"/>
  <c r="H70" i="15"/>
  <c r="D70" i="15"/>
  <c r="B70" i="15"/>
  <c r="T69" i="15"/>
  <c r="P69" i="15"/>
  <c r="X69" i="15" s="1"/>
  <c r="N69" i="15"/>
  <c r="H69" i="15"/>
  <c r="D69" i="15"/>
  <c r="L69" i="15" s="1"/>
  <c r="B69" i="15"/>
  <c r="T68" i="15"/>
  <c r="P68" i="15"/>
  <c r="X68" i="15" s="1"/>
  <c r="L68" i="15"/>
  <c r="H68" i="15"/>
  <c r="N68" i="15" s="1"/>
  <c r="D68" i="15"/>
  <c r="B68" i="15"/>
  <c r="T67" i="15"/>
  <c r="P67" i="15"/>
  <c r="H67" i="15"/>
  <c r="D67" i="15"/>
  <c r="L67" i="15" s="1"/>
  <c r="N67" i="15" s="1"/>
  <c r="B67" i="15"/>
  <c r="Z66" i="15"/>
  <c r="X66" i="15"/>
  <c r="T66" i="15"/>
  <c r="P66" i="15"/>
  <c r="H66" i="15"/>
  <c r="D66" i="15"/>
  <c r="L66" i="15" s="1"/>
  <c r="B66" i="15"/>
  <c r="Z65" i="15"/>
  <c r="T65" i="15"/>
  <c r="P65" i="15"/>
  <c r="X65" i="15" s="1"/>
  <c r="H65" i="15"/>
  <c r="D65" i="15"/>
  <c r="L65" i="15" s="1"/>
  <c r="B65" i="15"/>
  <c r="X64" i="15"/>
  <c r="T64" i="15"/>
  <c r="Z64" i="15" s="1"/>
  <c r="P64" i="15"/>
  <c r="H64" i="15"/>
  <c r="N64" i="15" s="1"/>
  <c r="D64" i="15"/>
  <c r="B64" i="15"/>
  <c r="T63" i="15"/>
  <c r="P63" i="15"/>
  <c r="X63" i="15" s="1"/>
  <c r="Z63" i="15" s="1"/>
  <c r="L63" i="15"/>
  <c r="H63" i="15"/>
  <c r="N63" i="15" s="1"/>
  <c r="D63" i="15"/>
  <c r="B63" i="15"/>
  <c r="T62" i="15"/>
  <c r="P62" i="15"/>
  <c r="X62" i="15" s="1"/>
  <c r="N62" i="15"/>
  <c r="L62" i="15"/>
  <c r="H62" i="15"/>
  <c r="D62" i="15"/>
  <c r="B62" i="15"/>
  <c r="T61" i="15"/>
  <c r="Z61" i="15" s="1"/>
  <c r="P61" i="15"/>
  <c r="X61" i="15" s="1"/>
  <c r="N61" i="15"/>
  <c r="H61" i="15"/>
  <c r="D61" i="15"/>
  <c r="L61" i="15" s="1"/>
  <c r="B61" i="15"/>
  <c r="T60" i="15"/>
  <c r="P60" i="15"/>
  <c r="X60" i="15" s="1"/>
  <c r="L60" i="15"/>
  <c r="H60" i="15"/>
  <c r="N60" i="15" s="1"/>
  <c r="D60" i="15"/>
  <c r="B60" i="15"/>
  <c r="T59" i="15"/>
  <c r="P59" i="15"/>
  <c r="H59" i="15"/>
  <c r="D59" i="15"/>
  <c r="L59" i="15" s="1"/>
  <c r="N59" i="15" s="1"/>
  <c r="B59" i="15"/>
  <c r="Z58" i="15"/>
  <c r="X58" i="15"/>
  <c r="T58" i="15"/>
  <c r="P58" i="15"/>
  <c r="H58" i="15"/>
  <c r="N58" i="15" s="1"/>
  <c r="D58" i="15"/>
  <c r="L58" i="15" s="1"/>
  <c r="B58" i="15"/>
  <c r="T57" i="15"/>
  <c r="P57" i="15"/>
  <c r="X57" i="15" s="1"/>
  <c r="Z57" i="15" s="1"/>
  <c r="H57" i="15"/>
  <c r="D57" i="15"/>
  <c r="L57" i="15" s="1"/>
  <c r="B57" i="15"/>
  <c r="X56" i="15"/>
  <c r="T56" i="15"/>
  <c r="Z56" i="15" s="1"/>
  <c r="P56" i="15"/>
  <c r="H56" i="15"/>
  <c r="D56" i="15"/>
  <c r="L56" i="15" s="1"/>
  <c r="B56" i="15"/>
  <c r="T55" i="15"/>
  <c r="P55" i="15"/>
  <c r="X55" i="15" s="1"/>
  <c r="Z55" i="15" s="1"/>
  <c r="L55" i="15"/>
  <c r="H55" i="15"/>
  <c r="D55" i="15"/>
  <c r="B55" i="15"/>
  <c r="T54" i="15"/>
  <c r="Z54" i="15" s="1"/>
  <c r="P54" i="15"/>
  <c r="X54" i="15" s="1"/>
  <c r="N54" i="15"/>
  <c r="L54" i="15"/>
  <c r="H54" i="15"/>
  <c r="D54" i="15"/>
  <c r="B54" i="15"/>
  <c r="T53" i="15"/>
  <c r="P53" i="15"/>
  <c r="X53" i="15" s="1"/>
  <c r="H53" i="15"/>
  <c r="D53" i="15"/>
  <c r="L53" i="15" s="1"/>
  <c r="N53" i="15" s="1"/>
  <c r="B53" i="15"/>
  <c r="T52" i="15"/>
  <c r="P52" i="15"/>
  <c r="L52" i="15"/>
  <c r="H52" i="15"/>
  <c r="N52" i="15" s="1"/>
  <c r="D52" i="15"/>
  <c r="B52" i="15"/>
  <c r="T51" i="15"/>
  <c r="P51" i="15"/>
  <c r="H51" i="15"/>
  <c r="D51" i="15"/>
  <c r="L51" i="15" s="1"/>
  <c r="N51" i="15" s="1"/>
  <c r="B51" i="15"/>
  <c r="X50" i="15"/>
  <c r="Z50" i="15" s="1"/>
  <c r="T50" i="15"/>
  <c r="P50" i="15"/>
  <c r="H50" i="15"/>
  <c r="N50" i="15" s="1"/>
  <c r="D50" i="15"/>
  <c r="L50" i="15" s="1"/>
  <c r="B50" i="15"/>
  <c r="T49" i="15"/>
  <c r="P49" i="15"/>
  <c r="X49" i="15" s="1"/>
  <c r="Z49" i="15" s="1"/>
  <c r="H49" i="15"/>
  <c r="N49" i="15" s="1"/>
  <c r="D49" i="15"/>
  <c r="L49" i="15" s="1"/>
  <c r="B49" i="15"/>
  <c r="X48" i="15"/>
  <c r="T48" i="15"/>
  <c r="Z48" i="15" s="1"/>
  <c r="P48" i="15"/>
  <c r="H48" i="15"/>
  <c r="N48" i="15" s="1"/>
  <c r="D48" i="15"/>
  <c r="L48" i="15" s="1"/>
  <c r="B48" i="15"/>
  <c r="T47" i="15"/>
  <c r="P47" i="15"/>
  <c r="X47" i="15" s="1"/>
  <c r="Z47" i="15" s="1"/>
  <c r="H47" i="15"/>
  <c r="N47" i="15" s="1"/>
  <c r="D47" i="15"/>
  <c r="B47" i="15"/>
  <c r="T46" i="15"/>
  <c r="Z46" i="15" s="1"/>
  <c r="P46" i="15"/>
  <c r="X46" i="15" s="1"/>
  <c r="N46" i="15"/>
  <c r="L46" i="15"/>
  <c r="H46" i="15"/>
  <c r="D46" i="15"/>
  <c r="B46" i="15"/>
  <c r="T45" i="15"/>
  <c r="P45" i="15"/>
  <c r="X45" i="15" s="1"/>
  <c r="H45" i="15"/>
  <c r="D45" i="15"/>
  <c r="L45" i="15" s="1"/>
  <c r="N45" i="15" s="1"/>
  <c r="B45" i="15"/>
  <c r="T44" i="15"/>
  <c r="P44" i="15"/>
  <c r="X44" i="15" s="1"/>
  <c r="L44" i="15"/>
  <c r="H44" i="15"/>
  <c r="N44" i="15" s="1"/>
  <c r="D44" i="15"/>
  <c r="B44" i="15"/>
  <c r="X43" i="15"/>
  <c r="T43" i="15"/>
  <c r="P43" i="15"/>
  <c r="H43" i="15"/>
  <c r="D43" i="15"/>
  <c r="L43" i="15" s="1"/>
  <c r="N43" i="15" s="1"/>
  <c r="B43" i="15"/>
  <c r="X42" i="15"/>
  <c r="Z42" i="15" s="1"/>
  <c r="T42" i="15"/>
  <c r="P42" i="15"/>
  <c r="H42" i="15"/>
  <c r="N42" i="15" s="1"/>
  <c r="D42" i="15"/>
  <c r="L42" i="15" s="1"/>
  <c r="B42" i="15"/>
  <c r="Z41" i="15"/>
  <c r="T41" i="15"/>
  <c r="P41" i="15"/>
  <c r="X41" i="15" s="1"/>
  <c r="H41" i="15"/>
  <c r="N41" i="15" s="1"/>
  <c r="D41" i="15"/>
  <c r="L41" i="15" s="1"/>
  <c r="B41" i="15"/>
  <c r="X40" i="15"/>
  <c r="T40" i="15"/>
  <c r="Z40" i="15" s="1"/>
  <c r="P40" i="15"/>
  <c r="H40" i="15"/>
  <c r="D40" i="15"/>
  <c r="L40" i="15" s="1"/>
  <c r="B40" i="15"/>
  <c r="T39" i="15"/>
  <c r="P39" i="15"/>
  <c r="X39" i="15" s="1"/>
  <c r="Z39" i="15" s="1"/>
  <c r="L39" i="15"/>
  <c r="H39" i="15"/>
  <c r="D39" i="15"/>
  <c r="B39" i="15"/>
  <c r="T38" i="15"/>
  <c r="Z38" i="15" s="1"/>
  <c r="P38" i="15"/>
  <c r="X38" i="15" s="1"/>
  <c r="N38" i="15"/>
  <c r="L38" i="15"/>
  <c r="H38" i="15"/>
  <c r="D38" i="15"/>
  <c r="B38" i="15"/>
  <c r="T37" i="15"/>
  <c r="P37" i="15"/>
  <c r="X37" i="15" s="1"/>
  <c r="N37" i="15"/>
  <c r="H37" i="15"/>
  <c r="D37" i="15"/>
  <c r="L37" i="15" s="1"/>
  <c r="B37" i="15"/>
  <c r="T36" i="15"/>
  <c r="P36" i="15"/>
  <c r="X36" i="15" s="1"/>
  <c r="L36" i="15"/>
  <c r="H36" i="15"/>
  <c r="N36" i="15" s="1"/>
  <c r="D36" i="15"/>
  <c r="B36" i="15"/>
  <c r="X35" i="15"/>
  <c r="T35" i="15"/>
  <c r="P35" i="15"/>
  <c r="H35" i="15"/>
  <c r="D35" i="15"/>
  <c r="L35" i="15" s="1"/>
  <c r="N35" i="15" s="1"/>
  <c r="B35" i="15"/>
  <c r="Z34" i="15"/>
  <c r="X34" i="15"/>
  <c r="T34" i="15"/>
  <c r="P34" i="15"/>
  <c r="H34" i="15"/>
  <c r="D34" i="15"/>
  <c r="L34" i="15" s="1"/>
  <c r="B34" i="15"/>
  <c r="Z33" i="15"/>
  <c r="T33" i="15"/>
  <c r="P33" i="15"/>
  <c r="X33" i="15" s="1"/>
  <c r="H33" i="15"/>
  <c r="N33" i="15" s="1"/>
  <c r="D33" i="15"/>
  <c r="L33" i="15" s="1"/>
  <c r="B33" i="15"/>
  <c r="X32" i="15"/>
  <c r="T32" i="15"/>
  <c r="Z32" i="15" s="1"/>
  <c r="P32" i="15"/>
  <c r="H32" i="15"/>
  <c r="N32" i="15" s="1"/>
  <c r="D32" i="15"/>
  <c r="B32" i="15"/>
  <c r="T31" i="15"/>
  <c r="P31" i="15"/>
  <c r="X31" i="15" s="1"/>
  <c r="Z31" i="15" s="1"/>
  <c r="L31" i="15"/>
  <c r="H31" i="15"/>
  <c r="D31" i="15"/>
  <c r="B31" i="15"/>
  <c r="T30" i="15"/>
  <c r="P30" i="15"/>
  <c r="X30" i="15" s="1"/>
  <c r="N30" i="15"/>
  <c r="L30" i="15"/>
  <c r="H30" i="15"/>
  <c r="D30" i="15"/>
  <c r="B30" i="15"/>
  <c r="T29" i="15"/>
  <c r="Z29" i="15" s="1"/>
  <c r="P29" i="15"/>
  <c r="X29" i="15" s="1"/>
  <c r="N29" i="15"/>
  <c r="H29" i="15"/>
  <c r="D29" i="15"/>
  <c r="L29" i="15" s="1"/>
  <c r="B29" i="15"/>
  <c r="T28" i="15"/>
  <c r="P28" i="15"/>
  <c r="X28" i="15" s="1"/>
  <c r="L28" i="15"/>
  <c r="H28" i="15"/>
  <c r="N28" i="15" s="1"/>
  <c r="D28" i="15"/>
  <c r="B28" i="15"/>
  <c r="T27" i="15"/>
  <c r="P27" i="15"/>
  <c r="H27" i="15"/>
  <c r="D27" i="15"/>
  <c r="L27" i="15" s="1"/>
  <c r="N27" i="15" s="1"/>
  <c r="B27" i="15"/>
  <c r="X26" i="15"/>
  <c r="Z26" i="15" s="1"/>
  <c r="T26" i="15"/>
  <c r="P26" i="15"/>
  <c r="H26" i="15"/>
  <c r="D26" i="15"/>
  <c r="L26" i="15" s="1"/>
  <c r="B26" i="15"/>
  <c r="T25" i="15"/>
  <c r="P25" i="15"/>
  <c r="X25" i="15" s="1"/>
  <c r="Z25" i="15" s="1"/>
  <c r="H25" i="15"/>
  <c r="N25" i="15" s="1"/>
  <c r="D25" i="15"/>
  <c r="L25" i="15" s="1"/>
  <c r="B25" i="15"/>
  <c r="X24" i="15"/>
  <c r="T24" i="15"/>
  <c r="Z24" i="15" s="1"/>
  <c r="P24" i="15"/>
  <c r="H24" i="15"/>
  <c r="D24" i="15"/>
  <c r="L24" i="15" s="1"/>
  <c r="B24" i="15"/>
  <c r="T23" i="15"/>
  <c r="P23" i="15"/>
  <c r="X23" i="15" s="1"/>
  <c r="Z23" i="15" s="1"/>
  <c r="L23" i="15"/>
  <c r="H23" i="15"/>
  <c r="D23" i="15"/>
  <c r="B23" i="15"/>
  <c r="T22" i="15"/>
  <c r="Z22" i="15" s="1"/>
  <c r="P22" i="15"/>
  <c r="X22" i="15" s="1"/>
  <c r="N22" i="15"/>
  <c r="L22" i="15"/>
  <c r="H22" i="15"/>
  <c r="D22" i="15"/>
  <c r="B22" i="15"/>
  <c r="T21" i="15"/>
  <c r="P21" i="15"/>
  <c r="X21" i="15" s="1"/>
  <c r="H21" i="15"/>
  <c r="D21" i="15"/>
  <c r="L21" i="15" s="1"/>
  <c r="N21" i="15" s="1"/>
  <c r="B21" i="15"/>
  <c r="T20" i="15"/>
  <c r="P20" i="15"/>
  <c r="L20" i="15"/>
  <c r="H20" i="15"/>
  <c r="N20" i="15" s="1"/>
  <c r="D20" i="15"/>
  <c r="B20" i="15"/>
  <c r="T19" i="15"/>
  <c r="P19" i="15"/>
  <c r="H19" i="15"/>
  <c r="D19" i="15"/>
  <c r="L19" i="15" s="1"/>
  <c r="N19" i="15" s="1"/>
  <c r="B19" i="15"/>
  <c r="X18" i="15"/>
  <c r="Z18" i="15" s="1"/>
  <c r="T18" i="15"/>
  <c r="P18" i="15"/>
  <c r="H18" i="15"/>
  <c r="N18" i="15" s="1"/>
  <c r="D18" i="15"/>
  <c r="L18" i="15" s="1"/>
  <c r="B18" i="15"/>
  <c r="T17" i="15"/>
  <c r="P17" i="15"/>
  <c r="X17" i="15" s="1"/>
  <c r="Z17" i="15" s="1"/>
  <c r="H17" i="15"/>
  <c r="N17" i="15" s="1"/>
  <c r="D17" i="15"/>
  <c r="L17" i="15" s="1"/>
  <c r="B17" i="15"/>
  <c r="X16" i="15"/>
  <c r="T16" i="15"/>
  <c r="Z16" i="15" s="1"/>
  <c r="P16" i="15"/>
  <c r="H16" i="15"/>
  <c r="D16" i="15"/>
  <c r="L16" i="15" s="1"/>
  <c r="B16" i="15"/>
  <c r="T15" i="15"/>
  <c r="P15" i="15"/>
  <c r="X15" i="15" s="1"/>
  <c r="Z15" i="15" s="1"/>
  <c r="H15" i="15"/>
  <c r="D15" i="15"/>
  <c r="B15" i="15"/>
  <c r="T14" i="15"/>
  <c r="Z14" i="15" s="1"/>
  <c r="P14" i="15"/>
  <c r="X14" i="15" s="1"/>
  <c r="N14" i="15"/>
  <c r="L14" i="15"/>
  <c r="H14" i="15"/>
  <c r="D14" i="15"/>
  <c r="B14" i="15"/>
  <c r="T13" i="15"/>
  <c r="P13" i="15"/>
  <c r="H13" i="15"/>
  <c r="H12" i="15" s="1"/>
  <c r="D13" i="15"/>
  <c r="L13" i="15" s="1"/>
  <c r="N13" i="15" s="1"/>
  <c r="B13" i="15"/>
  <c r="D4" i="15"/>
  <c r="B39" i="14"/>
  <c r="B38" i="14"/>
  <c r="T34" i="14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1" i="14" s="1"/>
  <c r="P12" i="14"/>
  <c r="R16" i="14" s="1"/>
  <c r="H12" i="14"/>
  <c r="J22" i="14" s="1"/>
  <c r="D12" i="14"/>
  <c r="D5" i="14"/>
  <c r="D4" i="14"/>
  <c r="B39" i="13"/>
  <c r="B38" i="13"/>
  <c r="T34" i="13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D29" i="13"/>
  <c r="T25" i="13"/>
  <c r="Z25" i="13" s="1"/>
  <c r="P25" i="13"/>
  <c r="H25" i="13"/>
  <c r="D25" i="13"/>
  <c r="B25" i="13"/>
  <c r="T24" i="13"/>
  <c r="Z24" i="13" s="1"/>
  <c r="P24" i="13"/>
  <c r="H24" i="13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D21" i="13"/>
  <c r="B21" i="13"/>
  <c r="T20" i="13"/>
  <c r="P20" i="13"/>
  <c r="H20" i="13"/>
  <c r="N20" i="13" s="1"/>
  <c r="D20" i="13"/>
  <c r="T16" i="13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P12" i="13"/>
  <c r="R34" i="13" s="1"/>
  <c r="H12" i="13"/>
  <c r="J36" i="13" s="1"/>
  <c r="D12" i="13"/>
  <c r="F31" i="13" s="1"/>
  <c r="D5" i="13"/>
  <c r="D4" i="13"/>
  <c r="Z236" i="12"/>
  <c r="X236" i="12"/>
  <c r="N236" i="12"/>
  <c r="L236" i="12"/>
  <c r="T232" i="12"/>
  <c r="P232" i="12"/>
  <c r="H232" i="12"/>
  <c r="D232" i="12"/>
  <c r="L232" i="12" s="1"/>
  <c r="N232" i="12" s="1"/>
  <c r="B232" i="12"/>
  <c r="T231" i="12"/>
  <c r="Z231" i="12" s="1"/>
  <c r="P231" i="12"/>
  <c r="X231" i="12" s="1"/>
  <c r="L231" i="12"/>
  <c r="N231" i="12" s="1"/>
  <c r="H231" i="12"/>
  <c r="D231" i="12"/>
  <c r="B231" i="12"/>
  <c r="X230" i="12"/>
  <c r="Z230" i="12" s="1"/>
  <c r="T230" i="12"/>
  <c r="P230" i="12"/>
  <c r="H230" i="12"/>
  <c r="D230" i="12"/>
  <c r="B230" i="12"/>
  <c r="T229" i="12"/>
  <c r="P229" i="12"/>
  <c r="H229" i="12"/>
  <c r="D229" i="12"/>
  <c r="L229" i="12" s="1"/>
  <c r="B229" i="12"/>
  <c r="Z228" i="12"/>
  <c r="T228" i="12"/>
  <c r="P228" i="12"/>
  <c r="X228" i="12" s="1"/>
  <c r="L228" i="12"/>
  <c r="N228" i="12" s="1"/>
  <c r="H228" i="12"/>
  <c r="D228" i="12"/>
  <c r="B228" i="12"/>
  <c r="T227" i="12"/>
  <c r="D227" i="12"/>
  <c r="X225" i="12"/>
  <c r="Z225" i="12" s="1"/>
  <c r="L225" i="12"/>
  <c r="N225" i="12" s="1"/>
  <c r="B225" i="12"/>
  <c r="T224" i="12"/>
  <c r="P224" i="12"/>
  <c r="X224" i="12" s="1"/>
  <c r="Z224" i="12" s="1"/>
  <c r="N224" i="12"/>
  <c r="H224" i="12"/>
  <c r="D224" i="12"/>
  <c r="L224" i="12" s="1"/>
  <c r="B224" i="12"/>
  <c r="X223" i="12"/>
  <c r="Z223" i="12" s="1"/>
  <c r="N223" i="12"/>
  <c r="L223" i="12"/>
  <c r="B223" i="12"/>
  <c r="Z222" i="12"/>
  <c r="X222" i="12"/>
  <c r="N222" i="12"/>
  <c r="L222" i="12"/>
  <c r="F222" i="12"/>
  <c r="B222" i="12"/>
  <c r="X221" i="12"/>
  <c r="Z221" i="12" s="1"/>
  <c r="N221" i="12"/>
  <c r="L221" i="12"/>
  <c r="B221" i="12"/>
  <c r="T220" i="12"/>
  <c r="P220" i="12"/>
  <c r="X220" i="12" s="1"/>
  <c r="Z220" i="12" s="1"/>
  <c r="N220" i="12"/>
  <c r="H220" i="12"/>
  <c r="D220" i="12"/>
  <c r="L220" i="12" s="1"/>
  <c r="B220" i="12"/>
  <c r="Z219" i="12"/>
  <c r="X219" i="12"/>
  <c r="N219" i="12"/>
  <c r="L219" i="12"/>
  <c r="B219" i="12"/>
  <c r="Z218" i="12"/>
  <c r="T218" i="12"/>
  <c r="P218" i="12"/>
  <c r="X218" i="12" s="1"/>
  <c r="N218" i="12"/>
  <c r="L218" i="12"/>
  <c r="H218" i="12"/>
  <c r="D218" i="12"/>
  <c r="B218" i="12"/>
  <c r="X217" i="12"/>
  <c r="Z217" i="12" s="1"/>
  <c r="L217" i="12"/>
  <c r="N217" i="12" s="1"/>
  <c r="B217" i="12"/>
  <c r="X216" i="12"/>
  <c r="Z216" i="12" s="1"/>
  <c r="N216" i="12"/>
  <c r="L216" i="12"/>
  <c r="B216" i="12"/>
  <c r="Z215" i="12"/>
  <c r="X215" i="12"/>
  <c r="T215" i="12"/>
  <c r="P215" i="12"/>
  <c r="H215" i="12"/>
  <c r="D215" i="12"/>
  <c r="B215" i="12"/>
  <c r="Z214" i="12"/>
  <c r="X214" i="12"/>
  <c r="N214" i="12"/>
  <c r="L214" i="12"/>
  <c r="B214" i="12"/>
  <c r="X213" i="12"/>
  <c r="Z213" i="12" s="1"/>
  <c r="L213" i="12"/>
  <c r="N213" i="12" s="1"/>
  <c r="B213" i="12"/>
  <c r="X212" i="12"/>
  <c r="Z212" i="12" s="1"/>
  <c r="N212" i="12"/>
  <c r="L212" i="12"/>
  <c r="B212" i="12"/>
  <c r="Z211" i="12"/>
  <c r="X211" i="12"/>
  <c r="L211" i="12"/>
  <c r="N211" i="12" s="1"/>
  <c r="B211" i="12"/>
  <c r="Z210" i="12"/>
  <c r="X210" i="12"/>
  <c r="N210" i="12"/>
  <c r="L210" i="12"/>
  <c r="B210" i="12"/>
  <c r="X209" i="12"/>
  <c r="Z209" i="12" s="1"/>
  <c r="L209" i="12"/>
  <c r="N209" i="12" s="1"/>
  <c r="B209" i="12"/>
  <c r="Z208" i="12"/>
  <c r="X208" i="12"/>
  <c r="L208" i="12"/>
  <c r="N208" i="12" s="1"/>
  <c r="B208" i="12"/>
  <c r="T207" i="12"/>
  <c r="Z207" i="12" s="1"/>
  <c r="P207" i="12"/>
  <c r="X207" i="12" s="1"/>
  <c r="H207" i="12"/>
  <c r="D207" i="12"/>
  <c r="L207" i="12" s="1"/>
  <c r="B207" i="12"/>
  <c r="Z206" i="12"/>
  <c r="X206" i="12"/>
  <c r="N206" i="12"/>
  <c r="L206" i="12"/>
  <c r="B206" i="12"/>
  <c r="X205" i="12"/>
  <c r="Z205" i="12" s="1"/>
  <c r="L205" i="12"/>
  <c r="N205" i="12" s="1"/>
  <c r="B205" i="12"/>
  <c r="T204" i="12"/>
  <c r="P204" i="12"/>
  <c r="X204" i="12" s="1"/>
  <c r="Z204" i="12" s="1"/>
  <c r="N204" i="12"/>
  <c r="H204" i="12"/>
  <c r="D204" i="12"/>
  <c r="L204" i="12" s="1"/>
  <c r="B204" i="12"/>
  <c r="Z203" i="12"/>
  <c r="X203" i="12"/>
  <c r="N203" i="12"/>
  <c r="L203" i="12"/>
  <c r="B203" i="12"/>
  <c r="Z202" i="12"/>
  <c r="X202" i="12"/>
  <c r="N202" i="12"/>
  <c r="L202" i="12"/>
  <c r="B202" i="12"/>
  <c r="X201" i="12"/>
  <c r="Z201" i="12" s="1"/>
  <c r="L201" i="12"/>
  <c r="N201" i="12" s="1"/>
  <c r="B201" i="12"/>
  <c r="Z200" i="12"/>
  <c r="X200" i="12"/>
  <c r="N200" i="12"/>
  <c r="L200" i="12"/>
  <c r="B200" i="12"/>
  <c r="X199" i="12"/>
  <c r="Z199" i="12" s="1"/>
  <c r="N199" i="12"/>
  <c r="L199" i="12"/>
  <c r="B199" i="12"/>
  <c r="T198" i="12"/>
  <c r="P198" i="12"/>
  <c r="H198" i="12"/>
  <c r="D198" i="12"/>
  <c r="L198" i="12" s="1"/>
  <c r="N198" i="12" s="1"/>
  <c r="B198" i="12"/>
  <c r="X197" i="12"/>
  <c r="Z197" i="12" s="1"/>
  <c r="L197" i="12"/>
  <c r="N197" i="12" s="1"/>
  <c r="B197" i="12"/>
  <c r="Z196" i="12"/>
  <c r="X196" i="12"/>
  <c r="N196" i="12"/>
  <c r="L196" i="12"/>
  <c r="B196" i="12"/>
  <c r="X195" i="12"/>
  <c r="Z195" i="12" s="1"/>
  <c r="L195" i="12"/>
  <c r="N195" i="12" s="1"/>
  <c r="B195" i="12"/>
  <c r="T194" i="12"/>
  <c r="P194" i="12"/>
  <c r="H194" i="12"/>
  <c r="D194" i="12"/>
  <c r="L194" i="12" s="1"/>
  <c r="N194" i="12" s="1"/>
  <c r="B194" i="12"/>
  <c r="X193" i="12"/>
  <c r="Z193" i="12" s="1"/>
  <c r="L193" i="12"/>
  <c r="N193" i="12" s="1"/>
  <c r="B193" i="12"/>
  <c r="Z192" i="12"/>
  <c r="X192" i="12"/>
  <c r="L192" i="12"/>
  <c r="N192" i="12" s="1"/>
  <c r="B192" i="12"/>
  <c r="X191" i="12"/>
  <c r="Z191" i="12" s="1"/>
  <c r="N191" i="12"/>
  <c r="L191" i="12"/>
  <c r="B191" i="12"/>
  <c r="Z190" i="12"/>
  <c r="X190" i="12"/>
  <c r="N190" i="12"/>
  <c r="L190" i="12"/>
  <c r="B190" i="12"/>
  <c r="T189" i="12"/>
  <c r="P189" i="12"/>
  <c r="H189" i="12"/>
  <c r="N189" i="12" s="1"/>
  <c r="D189" i="12"/>
  <c r="L189" i="12" s="1"/>
  <c r="B189" i="12"/>
  <c r="Z188" i="12"/>
  <c r="X188" i="12"/>
  <c r="L188" i="12"/>
  <c r="N188" i="12" s="1"/>
  <c r="B188" i="12"/>
  <c r="T187" i="12"/>
  <c r="P187" i="12"/>
  <c r="X187" i="12" s="1"/>
  <c r="H187" i="12"/>
  <c r="D187" i="12"/>
  <c r="L187" i="12" s="1"/>
  <c r="B187" i="12"/>
  <c r="Z186" i="12"/>
  <c r="X186" i="12"/>
  <c r="N186" i="12"/>
  <c r="L186" i="12"/>
  <c r="F186" i="12"/>
  <c r="B186" i="12"/>
  <c r="T185" i="12"/>
  <c r="Z185" i="12" s="1"/>
  <c r="P185" i="12"/>
  <c r="X185" i="12" s="1"/>
  <c r="N185" i="12"/>
  <c r="L185" i="12"/>
  <c r="H185" i="12"/>
  <c r="D185" i="12"/>
  <c r="B185" i="12"/>
  <c r="Z184" i="12"/>
  <c r="X184" i="12"/>
  <c r="N184" i="12"/>
  <c r="L184" i="12"/>
  <c r="B184" i="12"/>
  <c r="X183" i="12"/>
  <c r="Z183" i="12" s="1"/>
  <c r="L183" i="12"/>
  <c r="N183" i="12" s="1"/>
  <c r="B183" i="12"/>
  <c r="Z182" i="12"/>
  <c r="T182" i="12"/>
  <c r="P182" i="12"/>
  <c r="X182" i="12" s="1"/>
  <c r="L182" i="12"/>
  <c r="N182" i="12" s="1"/>
  <c r="H182" i="12"/>
  <c r="D182" i="12"/>
  <c r="B182" i="12"/>
  <c r="X181" i="12"/>
  <c r="Z181" i="12" s="1"/>
  <c r="L181" i="12"/>
  <c r="N181" i="12" s="1"/>
  <c r="B181" i="12"/>
  <c r="X180" i="12"/>
  <c r="Z180" i="12" s="1"/>
  <c r="T180" i="12"/>
  <c r="P180" i="12"/>
  <c r="H180" i="12"/>
  <c r="D180" i="12"/>
  <c r="B180" i="12"/>
  <c r="X179" i="12"/>
  <c r="Z179" i="12" s="1"/>
  <c r="L179" i="12"/>
  <c r="N179" i="12" s="1"/>
  <c r="B179" i="12"/>
  <c r="T178" i="12"/>
  <c r="P178" i="12"/>
  <c r="H178" i="12"/>
  <c r="D178" i="12"/>
  <c r="L178" i="12" s="1"/>
  <c r="N178" i="12" s="1"/>
  <c r="B178" i="12"/>
  <c r="X177" i="12"/>
  <c r="Z177" i="12" s="1"/>
  <c r="L177" i="12"/>
  <c r="N177" i="12" s="1"/>
  <c r="B177" i="12"/>
  <c r="T176" i="12"/>
  <c r="P176" i="12"/>
  <c r="X176" i="12" s="1"/>
  <c r="Z176" i="12" s="1"/>
  <c r="H176" i="12"/>
  <c r="D176" i="12"/>
  <c r="L176" i="12" s="1"/>
  <c r="N176" i="12" s="1"/>
  <c r="B176" i="12"/>
  <c r="X175" i="12"/>
  <c r="Z175" i="12" s="1"/>
  <c r="L175" i="12"/>
  <c r="N175" i="12" s="1"/>
  <c r="B175" i="12"/>
  <c r="Z174" i="12"/>
  <c r="X174" i="12"/>
  <c r="N174" i="12"/>
  <c r="L174" i="12"/>
  <c r="B174" i="12"/>
  <c r="T173" i="12"/>
  <c r="P173" i="12"/>
  <c r="X173" i="12" s="1"/>
  <c r="L173" i="12"/>
  <c r="N173" i="12" s="1"/>
  <c r="H173" i="12"/>
  <c r="D173" i="12"/>
  <c r="B173" i="12"/>
  <c r="X172" i="12"/>
  <c r="Z172" i="12" s="1"/>
  <c r="N172" i="12"/>
  <c r="L172" i="12"/>
  <c r="B172" i="12"/>
  <c r="Z171" i="12"/>
  <c r="X171" i="12"/>
  <c r="T171" i="12"/>
  <c r="P171" i="12"/>
  <c r="H171" i="12"/>
  <c r="D171" i="12"/>
  <c r="B171" i="12"/>
  <c r="Z170" i="12"/>
  <c r="X170" i="12"/>
  <c r="N170" i="12"/>
  <c r="L170" i="12"/>
  <c r="B170" i="12"/>
  <c r="T169" i="12"/>
  <c r="P169" i="12"/>
  <c r="H169" i="12"/>
  <c r="N169" i="12" s="1"/>
  <c r="D169" i="12"/>
  <c r="L169" i="12" s="1"/>
  <c r="B169" i="12"/>
  <c r="Z168" i="12"/>
  <c r="X168" i="12"/>
  <c r="L168" i="12"/>
  <c r="N168" i="12" s="1"/>
  <c r="B168" i="12"/>
  <c r="T167" i="12"/>
  <c r="Z167" i="12" s="1"/>
  <c r="P167" i="12"/>
  <c r="X167" i="12" s="1"/>
  <c r="H167" i="12"/>
  <c r="N167" i="12" s="1"/>
  <c r="D167" i="12"/>
  <c r="L167" i="12" s="1"/>
  <c r="B167" i="12"/>
  <c r="Z166" i="12"/>
  <c r="X166" i="12"/>
  <c r="N166" i="12"/>
  <c r="L166" i="12"/>
  <c r="B166" i="12"/>
  <c r="Z165" i="12"/>
  <c r="X165" i="12"/>
  <c r="N165" i="12"/>
  <c r="L165" i="12"/>
  <c r="B165" i="12"/>
  <c r="T164" i="12"/>
  <c r="P164" i="12"/>
  <c r="X164" i="12" s="1"/>
  <c r="Z164" i="12" s="1"/>
  <c r="N164" i="12"/>
  <c r="H164" i="12"/>
  <c r="D164" i="12"/>
  <c r="L164" i="12" s="1"/>
  <c r="B164" i="12"/>
  <c r="Z163" i="12"/>
  <c r="X163" i="12"/>
  <c r="L163" i="12"/>
  <c r="N163" i="12" s="1"/>
  <c r="B163" i="12"/>
  <c r="Z162" i="12"/>
  <c r="X162" i="12"/>
  <c r="N162" i="12"/>
  <c r="L162" i="12"/>
  <c r="B162" i="12"/>
  <c r="T161" i="12"/>
  <c r="Z161" i="12" s="1"/>
  <c r="P161" i="12"/>
  <c r="X161" i="12" s="1"/>
  <c r="N161" i="12"/>
  <c r="L161" i="12"/>
  <c r="H161" i="12"/>
  <c r="D161" i="12"/>
  <c r="B161" i="12"/>
  <c r="X160" i="12"/>
  <c r="Z160" i="12" s="1"/>
  <c r="N160" i="12"/>
  <c r="L160" i="12"/>
  <c r="B160" i="12"/>
  <c r="X159" i="12"/>
  <c r="Z159" i="12" s="1"/>
  <c r="T159" i="12"/>
  <c r="P159" i="12"/>
  <c r="H159" i="12"/>
  <c r="D159" i="12"/>
  <c r="B159" i="12"/>
  <c r="Z158" i="12"/>
  <c r="X158" i="12"/>
  <c r="N158" i="12"/>
  <c r="L158" i="12"/>
  <c r="B158" i="12"/>
  <c r="X157" i="12"/>
  <c r="Z157" i="12" s="1"/>
  <c r="L157" i="12"/>
  <c r="N157" i="12" s="1"/>
  <c r="B157" i="12"/>
  <c r="X156" i="12"/>
  <c r="Z156" i="12" s="1"/>
  <c r="T156" i="12"/>
  <c r="P156" i="12"/>
  <c r="H156" i="12"/>
  <c r="D156" i="12"/>
  <c r="B156" i="12"/>
  <c r="X155" i="12"/>
  <c r="Z155" i="12" s="1"/>
  <c r="N155" i="12"/>
  <c r="L155" i="12"/>
  <c r="B155" i="12"/>
  <c r="T154" i="12"/>
  <c r="P154" i="12"/>
  <c r="H154" i="12"/>
  <c r="D154" i="12"/>
  <c r="L154" i="12" s="1"/>
  <c r="N154" i="12" s="1"/>
  <c r="B154" i="12"/>
  <c r="X153" i="12"/>
  <c r="Z153" i="12" s="1"/>
  <c r="L153" i="12"/>
  <c r="N153" i="12" s="1"/>
  <c r="B153" i="12"/>
  <c r="Z152" i="12"/>
  <c r="X152" i="12"/>
  <c r="L152" i="12"/>
  <c r="N152" i="12" s="1"/>
  <c r="B152" i="12"/>
  <c r="X151" i="12"/>
  <c r="Z151" i="12" s="1"/>
  <c r="L151" i="12"/>
  <c r="N151" i="12" s="1"/>
  <c r="B151" i="12"/>
  <c r="Z150" i="12"/>
  <c r="X150" i="12"/>
  <c r="N150" i="12"/>
  <c r="L150" i="12"/>
  <c r="B150" i="12"/>
  <c r="X149" i="12"/>
  <c r="Z149" i="12" s="1"/>
  <c r="L149" i="12"/>
  <c r="N149" i="12" s="1"/>
  <c r="B149" i="12"/>
  <c r="X148" i="12"/>
  <c r="Z148" i="12" s="1"/>
  <c r="N148" i="12"/>
  <c r="L148" i="12"/>
  <c r="B148" i="12"/>
  <c r="X147" i="12"/>
  <c r="Z147" i="12" s="1"/>
  <c r="L147" i="12"/>
  <c r="N147" i="12" s="1"/>
  <c r="B147" i="12"/>
  <c r="Z146" i="12"/>
  <c r="T146" i="12"/>
  <c r="P146" i="12"/>
  <c r="X146" i="12" s="1"/>
  <c r="L146" i="12"/>
  <c r="N146" i="12" s="1"/>
  <c r="H146" i="12"/>
  <c r="D146" i="12"/>
  <c r="B146" i="12"/>
  <c r="X145" i="12"/>
  <c r="Z145" i="12" s="1"/>
  <c r="L145" i="12"/>
  <c r="N145" i="12" s="1"/>
  <c r="B145" i="12"/>
  <c r="X144" i="12"/>
  <c r="Z144" i="12" s="1"/>
  <c r="N144" i="12"/>
  <c r="L144" i="12"/>
  <c r="B144" i="12"/>
  <c r="X143" i="12"/>
  <c r="Z143" i="12" s="1"/>
  <c r="L143" i="12"/>
  <c r="N143" i="12" s="1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L140" i="12"/>
  <c r="N140" i="12" s="1"/>
  <c r="B140" i="12"/>
  <c r="X139" i="12"/>
  <c r="Z139" i="12" s="1"/>
  <c r="L139" i="12"/>
  <c r="N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X136" i="12"/>
  <c r="Z136" i="12" s="1"/>
  <c r="N136" i="12"/>
  <c r="L136" i="12"/>
  <c r="B136" i="12"/>
  <c r="X135" i="12"/>
  <c r="Z135" i="12" s="1"/>
  <c r="T135" i="12"/>
  <c r="P135" i="12"/>
  <c r="H135" i="12"/>
  <c r="D135" i="12"/>
  <c r="B135" i="12"/>
  <c r="T134" i="12" a="1"/>
  <c r="T134" i="12" s="1"/>
  <c r="P134" i="12" a="1"/>
  <c r="P134" i="12" s="1"/>
  <c r="H134" i="12" a="1"/>
  <c r="H134" i="12" s="1"/>
  <c r="D134" i="12" a="1"/>
  <c r="D134" i="12" s="1"/>
  <c r="Z130" i="12"/>
  <c r="X130" i="12"/>
  <c r="N130" i="12"/>
  <c r="L130" i="12"/>
  <c r="B130" i="12"/>
  <c r="X129" i="12"/>
  <c r="Z129" i="12" s="1"/>
  <c r="L129" i="12"/>
  <c r="N129" i="12" s="1"/>
  <c r="B129" i="12"/>
  <c r="Z128" i="12"/>
  <c r="X128" i="12"/>
  <c r="N128" i="12"/>
  <c r="L128" i="12"/>
  <c r="B128" i="12"/>
  <c r="X127" i="12"/>
  <c r="Z127" i="12" s="1"/>
  <c r="N127" i="12"/>
  <c r="L127" i="12"/>
  <c r="B127" i="12"/>
  <c r="Z126" i="12"/>
  <c r="X126" i="12"/>
  <c r="N126" i="12"/>
  <c r="L126" i="12"/>
  <c r="B126" i="12"/>
  <c r="X125" i="12"/>
  <c r="Z125" i="12" s="1"/>
  <c r="L125" i="12"/>
  <c r="N125" i="12" s="1"/>
  <c r="B125" i="12"/>
  <c r="X124" i="12"/>
  <c r="Z124" i="12" s="1"/>
  <c r="N124" i="12"/>
  <c r="L124" i="12"/>
  <c r="B124" i="12"/>
  <c r="X123" i="12"/>
  <c r="Z123" i="12" s="1"/>
  <c r="L123" i="12"/>
  <c r="N123" i="12" s="1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X117" i="12"/>
  <c r="Z117" i="12" s="1"/>
  <c r="N117" i="12"/>
  <c r="L117" i="12"/>
  <c r="B117" i="12"/>
  <c r="X116" i="12"/>
  <c r="Z116" i="12" s="1"/>
  <c r="N116" i="12"/>
  <c r="L116" i="12"/>
  <c r="B116" i="12"/>
  <c r="Z115" i="12"/>
  <c r="X115" i="12"/>
  <c r="L115" i="12"/>
  <c r="N115" i="12" s="1"/>
  <c r="B115" i="12"/>
  <c r="Z114" i="12"/>
  <c r="X114" i="12"/>
  <c r="N114" i="12"/>
  <c r="L114" i="12"/>
  <c r="B114" i="12"/>
  <c r="X113" i="12"/>
  <c r="Z113" i="12" s="1"/>
  <c r="L113" i="12"/>
  <c r="N113" i="12" s="1"/>
  <c r="B113" i="12"/>
  <c r="Z112" i="12"/>
  <c r="X112" i="12"/>
  <c r="L112" i="12"/>
  <c r="N112" i="12" s="1"/>
  <c r="B112" i="12"/>
  <c r="Z111" i="12"/>
  <c r="X111" i="12"/>
  <c r="N111" i="12"/>
  <c r="L111" i="12"/>
  <c r="B111" i="12"/>
  <c r="Z110" i="12"/>
  <c r="X110" i="12"/>
  <c r="N110" i="12"/>
  <c r="L110" i="12"/>
  <c r="B110" i="12"/>
  <c r="X109" i="12"/>
  <c r="Z109" i="12" s="1"/>
  <c r="L109" i="12"/>
  <c r="N109" i="12" s="1"/>
  <c r="B109" i="12"/>
  <c r="Z108" i="12"/>
  <c r="X108" i="12"/>
  <c r="N108" i="12"/>
  <c r="L108" i="12"/>
  <c r="B108" i="12"/>
  <c r="Z107" i="12"/>
  <c r="X107" i="12"/>
  <c r="L107" i="12"/>
  <c r="N107" i="12" s="1"/>
  <c r="B107" i="12"/>
  <c r="Z106" i="12"/>
  <c r="X106" i="12"/>
  <c r="N106" i="12"/>
  <c r="L106" i="12"/>
  <c r="B106" i="12"/>
  <c r="X105" i="12"/>
  <c r="Z105" i="12" s="1"/>
  <c r="L105" i="12"/>
  <c r="N105" i="12" s="1"/>
  <c r="B105" i="12"/>
  <c r="Z104" i="12"/>
  <c r="X104" i="12"/>
  <c r="N104" i="12"/>
  <c r="L104" i="12"/>
  <c r="B104" i="12"/>
  <c r="X103" i="12"/>
  <c r="Z103" i="12" s="1"/>
  <c r="L103" i="12"/>
  <c r="N103" i="12" s="1"/>
  <c r="B103" i="12"/>
  <c r="Z102" i="12"/>
  <c r="X102" i="12"/>
  <c r="N102" i="12"/>
  <c r="L102" i="12"/>
  <c r="B102" i="12"/>
  <c r="X101" i="12"/>
  <c r="Z101" i="12" s="1"/>
  <c r="N101" i="12"/>
  <c r="L101" i="12"/>
  <c r="B101" i="12"/>
  <c r="X100" i="12"/>
  <c r="Z100" i="12" s="1"/>
  <c r="N100" i="12"/>
  <c r="L100" i="12"/>
  <c r="B100" i="12"/>
  <c r="X99" i="12"/>
  <c r="Z99" i="12" s="1"/>
  <c r="L99" i="12"/>
  <c r="N99" i="12" s="1"/>
  <c r="B99" i="12"/>
  <c r="Z98" i="12"/>
  <c r="X98" i="12"/>
  <c r="N98" i="12"/>
  <c r="L98" i="12"/>
  <c r="B98" i="12"/>
  <c r="X97" i="12"/>
  <c r="Z97" i="12" s="1"/>
  <c r="N97" i="12"/>
  <c r="L97" i="12"/>
  <c r="B97" i="12"/>
  <c r="Z96" i="12"/>
  <c r="X96" i="12"/>
  <c r="N96" i="12"/>
  <c r="L96" i="12"/>
  <c r="B96" i="12"/>
  <c r="X95" i="12"/>
  <c r="Z95" i="12" s="1"/>
  <c r="N95" i="12"/>
  <c r="L95" i="12"/>
  <c r="B95" i="12"/>
  <c r="Z94" i="12"/>
  <c r="X94" i="12"/>
  <c r="N94" i="12"/>
  <c r="L94" i="12"/>
  <c r="B94" i="12"/>
  <c r="X93" i="12"/>
  <c r="Z93" i="12" s="1"/>
  <c r="N93" i="12"/>
  <c r="L93" i="12"/>
  <c r="B93" i="12"/>
  <c r="X92" i="12"/>
  <c r="Z92" i="12" s="1"/>
  <c r="N92" i="12"/>
  <c r="L92" i="12"/>
  <c r="B92" i="12"/>
  <c r="Z91" i="12"/>
  <c r="X91" i="12"/>
  <c r="N91" i="12"/>
  <c r="L91" i="12"/>
  <c r="B91" i="12"/>
  <c r="Z90" i="12"/>
  <c r="X90" i="12"/>
  <c r="N90" i="12"/>
  <c r="L90" i="12"/>
  <c r="B90" i="12"/>
  <c r="X89" i="12"/>
  <c r="Z89" i="12" s="1"/>
  <c r="L89" i="12"/>
  <c r="N89" i="12" s="1"/>
  <c r="B89" i="12"/>
  <c r="Z88" i="12"/>
  <c r="X88" i="12"/>
  <c r="N88" i="12"/>
  <c r="L88" i="12"/>
  <c r="B88" i="12"/>
  <c r="T87" i="12"/>
  <c r="P87" i="12"/>
  <c r="L87" i="12"/>
  <c r="H87" i="12"/>
  <c r="D87" i="12"/>
  <c r="Z85" i="12"/>
  <c r="T85" i="12"/>
  <c r="P85" i="12"/>
  <c r="X85" i="12" s="1"/>
  <c r="H85" i="12"/>
  <c r="N85" i="12" s="1"/>
  <c r="D85" i="12"/>
  <c r="L85" i="12" s="1"/>
  <c r="B85" i="12"/>
  <c r="Z84" i="12"/>
  <c r="T84" i="12"/>
  <c r="X84" i="12" s="1"/>
  <c r="P84" i="12"/>
  <c r="H84" i="12"/>
  <c r="N84" i="12" s="1"/>
  <c r="D84" i="12"/>
  <c r="L84" i="12" s="1"/>
  <c r="B84" i="12"/>
  <c r="X83" i="12"/>
  <c r="Z83" i="12" s="1"/>
  <c r="T83" i="12"/>
  <c r="P83" i="12"/>
  <c r="L83" i="12"/>
  <c r="H83" i="12"/>
  <c r="D83" i="12"/>
  <c r="B83" i="12"/>
  <c r="T82" i="12"/>
  <c r="P82" i="12"/>
  <c r="X82" i="12" s="1"/>
  <c r="Z82" i="12" s="1"/>
  <c r="N82" i="12"/>
  <c r="L82" i="12"/>
  <c r="H82" i="12"/>
  <c r="D82" i="12"/>
  <c r="B82" i="12"/>
  <c r="T81" i="12"/>
  <c r="P81" i="12"/>
  <c r="X81" i="12" s="1"/>
  <c r="N81" i="12"/>
  <c r="L81" i="12"/>
  <c r="H81" i="12"/>
  <c r="D81" i="12"/>
  <c r="B81" i="12"/>
  <c r="T80" i="12"/>
  <c r="P80" i="12"/>
  <c r="N80" i="12"/>
  <c r="H80" i="12"/>
  <c r="D80" i="12"/>
  <c r="L80" i="12" s="1"/>
  <c r="B80" i="12"/>
  <c r="T79" i="12"/>
  <c r="P79" i="12"/>
  <c r="X79" i="12" s="1"/>
  <c r="L79" i="12"/>
  <c r="H79" i="12"/>
  <c r="N79" i="12" s="1"/>
  <c r="D79" i="12"/>
  <c r="B79" i="12"/>
  <c r="Z78" i="12"/>
  <c r="T78" i="12"/>
  <c r="X78" i="12" s="1"/>
  <c r="P78" i="12"/>
  <c r="N78" i="12"/>
  <c r="H78" i="12"/>
  <c r="D78" i="12"/>
  <c r="L78" i="12" s="1"/>
  <c r="B78" i="12"/>
  <c r="T77" i="12"/>
  <c r="P77" i="12"/>
  <c r="X77" i="12" s="1"/>
  <c r="Z77" i="12" s="1"/>
  <c r="H77" i="12"/>
  <c r="D77" i="12"/>
  <c r="L77" i="12" s="1"/>
  <c r="B77" i="12"/>
  <c r="T76" i="12"/>
  <c r="P76" i="12"/>
  <c r="H76" i="12"/>
  <c r="D76" i="12"/>
  <c r="L76" i="12" s="1"/>
  <c r="B76" i="12"/>
  <c r="X75" i="12"/>
  <c r="T75" i="12"/>
  <c r="P75" i="12"/>
  <c r="L75" i="12"/>
  <c r="H75" i="12"/>
  <c r="D75" i="12"/>
  <c r="B75" i="12"/>
  <c r="T74" i="12"/>
  <c r="P74" i="12"/>
  <c r="X74" i="12" s="1"/>
  <c r="Z74" i="12" s="1"/>
  <c r="N74" i="12"/>
  <c r="L74" i="12"/>
  <c r="H74" i="12"/>
  <c r="D74" i="12"/>
  <c r="B74" i="12"/>
  <c r="T73" i="12"/>
  <c r="P73" i="12"/>
  <c r="X73" i="12" s="1"/>
  <c r="L73" i="12"/>
  <c r="N73" i="12" s="1"/>
  <c r="H73" i="12"/>
  <c r="D73" i="12"/>
  <c r="B73" i="12"/>
  <c r="T72" i="12"/>
  <c r="P72" i="12"/>
  <c r="N72" i="12"/>
  <c r="H72" i="12"/>
  <c r="D72" i="12"/>
  <c r="L72" i="12" s="1"/>
  <c r="B72" i="12"/>
  <c r="T71" i="12"/>
  <c r="P71" i="12"/>
  <c r="X71" i="12" s="1"/>
  <c r="L71" i="12"/>
  <c r="H71" i="12"/>
  <c r="N71" i="12" s="1"/>
  <c r="D71" i="12"/>
  <c r="B71" i="12"/>
  <c r="T70" i="12"/>
  <c r="X70" i="12" s="1"/>
  <c r="Z70" i="12" s="1"/>
  <c r="P70" i="12"/>
  <c r="H70" i="12"/>
  <c r="D70" i="12"/>
  <c r="L70" i="12" s="1"/>
  <c r="N70" i="12" s="1"/>
  <c r="B70" i="12"/>
  <c r="T69" i="12"/>
  <c r="P69" i="12"/>
  <c r="X69" i="12" s="1"/>
  <c r="Z69" i="12" s="1"/>
  <c r="H69" i="12"/>
  <c r="N69" i="12" s="1"/>
  <c r="D69" i="12"/>
  <c r="L69" i="12" s="1"/>
  <c r="B69" i="12"/>
  <c r="T68" i="12"/>
  <c r="P68" i="12"/>
  <c r="H68" i="12"/>
  <c r="N68" i="12" s="1"/>
  <c r="D68" i="12"/>
  <c r="L68" i="12" s="1"/>
  <c r="B68" i="12"/>
  <c r="X67" i="12"/>
  <c r="T67" i="12"/>
  <c r="P67" i="12"/>
  <c r="L67" i="12"/>
  <c r="H67" i="12"/>
  <c r="N67" i="12" s="1"/>
  <c r="D67" i="12"/>
  <c r="B67" i="12"/>
  <c r="T66" i="12"/>
  <c r="P66" i="12"/>
  <c r="X66" i="12" s="1"/>
  <c r="Z66" i="12" s="1"/>
  <c r="N66" i="12"/>
  <c r="L66" i="12"/>
  <c r="H66" i="12"/>
  <c r="D66" i="12"/>
  <c r="B66" i="12"/>
  <c r="T65" i="12"/>
  <c r="P65" i="12"/>
  <c r="X65" i="12" s="1"/>
  <c r="L65" i="12"/>
  <c r="N65" i="12" s="1"/>
  <c r="H65" i="12"/>
  <c r="D65" i="12"/>
  <c r="B65" i="12"/>
  <c r="T64" i="12"/>
  <c r="P64" i="12"/>
  <c r="N64" i="12"/>
  <c r="H64" i="12"/>
  <c r="D64" i="12"/>
  <c r="L64" i="12" s="1"/>
  <c r="B64" i="12"/>
  <c r="T63" i="12"/>
  <c r="Z63" i="12" s="1"/>
  <c r="P63" i="12"/>
  <c r="X63" i="12" s="1"/>
  <c r="L63" i="12"/>
  <c r="H63" i="12"/>
  <c r="N63" i="12" s="1"/>
  <c r="D63" i="12"/>
  <c r="B63" i="12"/>
  <c r="T62" i="12"/>
  <c r="X62" i="12" s="1"/>
  <c r="Z62" i="12" s="1"/>
  <c r="P62" i="12"/>
  <c r="H62" i="12"/>
  <c r="D62" i="12"/>
  <c r="L62" i="12" s="1"/>
  <c r="N62" i="12" s="1"/>
  <c r="B62" i="12"/>
  <c r="Z61" i="12"/>
  <c r="T61" i="12"/>
  <c r="P61" i="12"/>
  <c r="X61" i="12" s="1"/>
  <c r="H61" i="12"/>
  <c r="N61" i="12" s="1"/>
  <c r="D61" i="12"/>
  <c r="L61" i="12" s="1"/>
  <c r="B61" i="12"/>
  <c r="T60" i="12"/>
  <c r="P60" i="12"/>
  <c r="H60" i="12"/>
  <c r="D60" i="12"/>
  <c r="L60" i="12" s="1"/>
  <c r="B60" i="12"/>
  <c r="X59" i="12"/>
  <c r="T59" i="12"/>
  <c r="P59" i="12"/>
  <c r="L59" i="12"/>
  <c r="H59" i="12"/>
  <c r="D59" i="12"/>
  <c r="B59" i="12"/>
  <c r="T58" i="12"/>
  <c r="P58" i="12"/>
  <c r="X58" i="12" s="1"/>
  <c r="Z58" i="12" s="1"/>
  <c r="N58" i="12"/>
  <c r="L58" i="12"/>
  <c r="H58" i="12"/>
  <c r="D58" i="12"/>
  <c r="B58" i="12"/>
  <c r="T57" i="12"/>
  <c r="P57" i="12"/>
  <c r="X57" i="12" s="1"/>
  <c r="L57" i="12"/>
  <c r="N57" i="12" s="1"/>
  <c r="H57" i="12"/>
  <c r="D57" i="12"/>
  <c r="B57" i="12"/>
  <c r="T56" i="12"/>
  <c r="P56" i="12"/>
  <c r="N56" i="12"/>
  <c r="H56" i="12"/>
  <c r="D56" i="12"/>
  <c r="L56" i="12" s="1"/>
  <c r="B56" i="12"/>
  <c r="T55" i="12"/>
  <c r="P55" i="12"/>
  <c r="X55" i="12" s="1"/>
  <c r="L55" i="12"/>
  <c r="H55" i="12"/>
  <c r="N55" i="12" s="1"/>
  <c r="D55" i="12"/>
  <c r="B55" i="12"/>
  <c r="T54" i="12"/>
  <c r="X54" i="12" s="1"/>
  <c r="Z54" i="12" s="1"/>
  <c r="P54" i="12"/>
  <c r="H54" i="12"/>
  <c r="D54" i="12"/>
  <c r="L54" i="12" s="1"/>
  <c r="N54" i="12" s="1"/>
  <c r="B54" i="12"/>
  <c r="T53" i="12"/>
  <c r="P53" i="12"/>
  <c r="X53" i="12" s="1"/>
  <c r="Z53" i="12" s="1"/>
  <c r="H53" i="12"/>
  <c r="D53" i="12"/>
  <c r="L53" i="12" s="1"/>
  <c r="B53" i="12"/>
  <c r="Z52" i="12"/>
  <c r="T52" i="12"/>
  <c r="X52" i="12" s="1"/>
  <c r="P52" i="12"/>
  <c r="H52" i="12"/>
  <c r="N52" i="12" s="1"/>
  <c r="D52" i="12"/>
  <c r="L52" i="12" s="1"/>
  <c r="B52" i="12"/>
  <c r="X51" i="12"/>
  <c r="Z51" i="12" s="1"/>
  <c r="T51" i="12"/>
  <c r="P51" i="12"/>
  <c r="L51" i="12"/>
  <c r="H51" i="12"/>
  <c r="N51" i="12" s="1"/>
  <c r="D51" i="12"/>
  <c r="B51" i="12"/>
  <c r="T50" i="12"/>
  <c r="P50" i="12"/>
  <c r="X50" i="12" s="1"/>
  <c r="Z50" i="12" s="1"/>
  <c r="N50" i="12"/>
  <c r="L50" i="12"/>
  <c r="H50" i="12"/>
  <c r="D50" i="12"/>
  <c r="B50" i="12"/>
  <c r="T49" i="12"/>
  <c r="P49" i="12"/>
  <c r="X49" i="12" s="1"/>
  <c r="N49" i="12"/>
  <c r="L49" i="12"/>
  <c r="H49" i="12"/>
  <c r="D49" i="12"/>
  <c r="B49" i="12"/>
  <c r="T48" i="12"/>
  <c r="P48" i="12"/>
  <c r="N48" i="12"/>
  <c r="H48" i="12"/>
  <c r="L48" i="12" s="1"/>
  <c r="D48" i="12"/>
  <c r="B48" i="12"/>
  <c r="T47" i="12"/>
  <c r="P47" i="12"/>
  <c r="X47" i="12" s="1"/>
  <c r="L47" i="12"/>
  <c r="N47" i="12" s="1"/>
  <c r="H47" i="12"/>
  <c r="D47" i="12"/>
  <c r="B47" i="12"/>
  <c r="T46" i="12"/>
  <c r="X46" i="12" s="1"/>
  <c r="Z46" i="12" s="1"/>
  <c r="P46" i="12"/>
  <c r="H46" i="12"/>
  <c r="D46" i="12"/>
  <c r="L46" i="12" s="1"/>
  <c r="N46" i="12" s="1"/>
  <c r="B46" i="12"/>
  <c r="T45" i="12"/>
  <c r="P45" i="12"/>
  <c r="X45" i="12" s="1"/>
  <c r="Z45" i="12" s="1"/>
  <c r="H45" i="12"/>
  <c r="N45" i="12" s="1"/>
  <c r="D45" i="12"/>
  <c r="L45" i="12" s="1"/>
  <c r="B45" i="12"/>
  <c r="Z44" i="12"/>
  <c r="T44" i="12"/>
  <c r="X44" i="12" s="1"/>
  <c r="P44" i="12"/>
  <c r="H44" i="12"/>
  <c r="N44" i="12" s="1"/>
  <c r="D44" i="12"/>
  <c r="L44" i="12" s="1"/>
  <c r="B44" i="12"/>
  <c r="X43" i="12"/>
  <c r="Z43" i="12" s="1"/>
  <c r="T43" i="12"/>
  <c r="P43" i="12"/>
  <c r="L43" i="12"/>
  <c r="H43" i="12"/>
  <c r="D43" i="12"/>
  <c r="B43" i="12"/>
  <c r="T42" i="12"/>
  <c r="P42" i="12"/>
  <c r="N42" i="12"/>
  <c r="L42" i="12"/>
  <c r="H42" i="12"/>
  <c r="D42" i="12"/>
  <c r="B42" i="12"/>
  <c r="T41" i="12"/>
  <c r="Z41" i="12" s="1"/>
  <c r="P41" i="12"/>
  <c r="X41" i="12" s="1"/>
  <c r="N41" i="12"/>
  <c r="L41" i="12"/>
  <c r="H41" i="12"/>
  <c r="D41" i="12"/>
  <c r="B41" i="12"/>
  <c r="T40" i="12"/>
  <c r="P40" i="12"/>
  <c r="N40" i="12"/>
  <c r="H40" i="12"/>
  <c r="L40" i="12" s="1"/>
  <c r="D40" i="12"/>
  <c r="B40" i="12"/>
  <c r="T39" i="12"/>
  <c r="P39" i="12"/>
  <c r="X39" i="12" s="1"/>
  <c r="L39" i="12"/>
  <c r="N39" i="12" s="1"/>
  <c r="H39" i="12"/>
  <c r="D39" i="12"/>
  <c r="B39" i="12"/>
  <c r="X38" i="12"/>
  <c r="T38" i="12"/>
  <c r="Z38" i="12" s="1"/>
  <c r="P38" i="12"/>
  <c r="H38" i="12"/>
  <c r="D38" i="12"/>
  <c r="B38" i="12"/>
  <c r="T37" i="12"/>
  <c r="P37" i="12"/>
  <c r="X37" i="12" s="1"/>
  <c r="Z37" i="12" s="1"/>
  <c r="L37" i="12"/>
  <c r="H37" i="12"/>
  <c r="N37" i="12" s="1"/>
  <c r="D37" i="12"/>
  <c r="B37" i="12"/>
  <c r="T36" i="12"/>
  <c r="X36" i="12" s="1"/>
  <c r="P36" i="12"/>
  <c r="N36" i="12"/>
  <c r="H36" i="12"/>
  <c r="D36" i="12"/>
  <c r="L36" i="12" s="1"/>
  <c r="B36" i="12"/>
  <c r="T35" i="12"/>
  <c r="P35" i="12"/>
  <c r="X35" i="12" s="1"/>
  <c r="Z35" i="12" s="1"/>
  <c r="H35" i="12"/>
  <c r="N35" i="12" s="1"/>
  <c r="D35" i="12"/>
  <c r="L35" i="12" s="1"/>
  <c r="B35" i="12"/>
  <c r="Z34" i="12"/>
  <c r="T34" i="12"/>
  <c r="P34" i="12"/>
  <c r="X34" i="12" s="1"/>
  <c r="H34" i="12"/>
  <c r="D34" i="12"/>
  <c r="B34" i="12"/>
  <c r="X33" i="12"/>
  <c r="T33" i="12"/>
  <c r="Z33" i="12" s="1"/>
  <c r="P33" i="12"/>
  <c r="N33" i="12"/>
  <c r="H33" i="12"/>
  <c r="D33" i="12"/>
  <c r="L33" i="12" s="1"/>
  <c r="B33" i="12"/>
  <c r="Z32" i="12"/>
  <c r="T32" i="12"/>
  <c r="P32" i="12"/>
  <c r="X32" i="12" s="1"/>
  <c r="N32" i="12"/>
  <c r="H32" i="12"/>
  <c r="L32" i="12" s="1"/>
  <c r="D32" i="12"/>
  <c r="B32" i="12"/>
  <c r="X31" i="12"/>
  <c r="T31" i="12"/>
  <c r="P31" i="12"/>
  <c r="H31" i="12"/>
  <c r="D31" i="12"/>
  <c r="L31" i="12" s="1"/>
  <c r="N31" i="12" s="1"/>
  <c r="B31" i="12"/>
  <c r="X30" i="12"/>
  <c r="Z30" i="12" s="1"/>
  <c r="T30" i="12"/>
  <c r="P30" i="12"/>
  <c r="H30" i="12"/>
  <c r="D30" i="12"/>
  <c r="B30" i="12"/>
  <c r="X29" i="12"/>
  <c r="Z29" i="12" s="1"/>
  <c r="T29" i="12"/>
  <c r="P29" i="12"/>
  <c r="H29" i="12"/>
  <c r="D29" i="12"/>
  <c r="L29" i="12" s="1"/>
  <c r="B29" i="12"/>
  <c r="T28" i="12"/>
  <c r="X28" i="12" s="1"/>
  <c r="P28" i="12"/>
  <c r="H28" i="12"/>
  <c r="N28" i="12" s="1"/>
  <c r="D28" i="12"/>
  <c r="L28" i="12" s="1"/>
  <c r="B28" i="12"/>
  <c r="X27" i="12"/>
  <c r="Z27" i="12" s="1"/>
  <c r="T27" i="12"/>
  <c r="P27" i="12"/>
  <c r="L27" i="12"/>
  <c r="H27" i="12"/>
  <c r="D27" i="12"/>
  <c r="B27" i="12"/>
  <c r="T26" i="12"/>
  <c r="P26" i="12"/>
  <c r="N26" i="12"/>
  <c r="L26" i="12"/>
  <c r="H26" i="12"/>
  <c r="D26" i="12"/>
  <c r="B26" i="12"/>
  <c r="T25" i="12"/>
  <c r="P25" i="12"/>
  <c r="X25" i="12" s="1"/>
  <c r="N25" i="12"/>
  <c r="L25" i="12"/>
  <c r="H25" i="12"/>
  <c r="D25" i="12"/>
  <c r="B25" i="12"/>
  <c r="T24" i="12"/>
  <c r="P24" i="12"/>
  <c r="N24" i="12"/>
  <c r="H24" i="12"/>
  <c r="L24" i="12" s="1"/>
  <c r="D24" i="12"/>
  <c r="B24" i="12"/>
  <c r="T23" i="12"/>
  <c r="P23" i="12"/>
  <c r="X23" i="12" s="1"/>
  <c r="L23" i="12"/>
  <c r="N23" i="12" s="1"/>
  <c r="H23" i="12"/>
  <c r="D23" i="12"/>
  <c r="B23" i="12"/>
  <c r="X22" i="12"/>
  <c r="T22" i="12"/>
  <c r="Z22" i="12" s="1"/>
  <c r="P22" i="12"/>
  <c r="H22" i="12"/>
  <c r="D22" i="12"/>
  <c r="B22" i="12"/>
  <c r="T21" i="12"/>
  <c r="P21" i="12"/>
  <c r="X21" i="12" s="1"/>
  <c r="Z21" i="12" s="1"/>
  <c r="L21" i="12"/>
  <c r="H21" i="12"/>
  <c r="N21" i="12" s="1"/>
  <c r="D21" i="12"/>
  <c r="B21" i="12"/>
  <c r="T20" i="12"/>
  <c r="X20" i="12" s="1"/>
  <c r="P20" i="12"/>
  <c r="N20" i="12"/>
  <c r="H20" i="12"/>
  <c r="D20" i="12"/>
  <c r="L20" i="12" s="1"/>
  <c r="B20" i="12"/>
  <c r="T19" i="12"/>
  <c r="P19" i="12"/>
  <c r="X19" i="12" s="1"/>
  <c r="Z19" i="12" s="1"/>
  <c r="H19" i="12"/>
  <c r="D19" i="12"/>
  <c r="B19" i="12"/>
  <c r="Z18" i="12"/>
  <c r="T18" i="12"/>
  <c r="P18" i="12"/>
  <c r="X18" i="12" s="1"/>
  <c r="H18" i="12"/>
  <c r="D18" i="12"/>
  <c r="B18" i="12"/>
  <c r="X17" i="12"/>
  <c r="T17" i="12"/>
  <c r="P17" i="12"/>
  <c r="N17" i="12"/>
  <c r="H17" i="12"/>
  <c r="D17" i="12"/>
  <c r="D12" i="12" s="1"/>
  <c r="B17" i="12"/>
  <c r="Z16" i="12"/>
  <c r="T16" i="12"/>
  <c r="P16" i="12"/>
  <c r="X16" i="12" s="1"/>
  <c r="N16" i="12"/>
  <c r="H16" i="12"/>
  <c r="L16" i="12" s="1"/>
  <c r="D16" i="12"/>
  <c r="B16" i="12"/>
  <c r="X15" i="12"/>
  <c r="T15" i="12"/>
  <c r="P15" i="12"/>
  <c r="H15" i="12"/>
  <c r="D15" i="12"/>
  <c r="L15" i="12" s="1"/>
  <c r="N15" i="12" s="1"/>
  <c r="B15" i="12"/>
  <c r="X14" i="12"/>
  <c r="Z14" i="12" s="1"/>
  <c r="T14" i="12"/>
  <c r="P14" i="12"/>
  <c r="H14" i="12"/>
  <c r="D14" i="12"/>
  <c r="B14" i="12"/>
  <c r="X13" i="12"/>
  <c r="Z13" i="12" s="1"/>
  <c r="T13" i="12"/>
  <c r="P13" i="12"/>
  <c r="H13" i="12"/>
  <c r="D13" i="12"/>
  <c r="L13" i="12" s="1"/>
  <c r="B13" i="12"/>
  <c r="D4" i="12"/>
  <c r="B39" i="11"/>
  <c r="B38" i="11"/>
  <c r="T34" i="11"/>
  <c r="Z34" i="11" s="1"/>
  <c r="P34" i="11"/>
  <c r="H34" i="11"/>
  <c r="N34" i="11" s="1"/>
  <c r="D34" i="11"/>
  <c r="L34" i="11" s="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D13" i="11"/>
  <c r="B13" i="11"/>
  <c r="T12" i="11"/>
  <c r="V20" i="11" s="1"/>
  <c r="P12" i="11"/>
  <c r="R34" i="11" s="1"/>
  <c r="H12" i="11"/>
  <c r="J36" i="11" s="1"/>
  <c r="D12" i="11"/>
  <c r="F29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D15" i="10"/>
  <c r="T13" i="10"/>
  <c r="Z13" i="10" s="1"/>
  <c r="P13" i="10"/>
  <c r="H13" i="10"/>
  <c r="D13" i="10"/>
  <c r="B13" i="10"/>
  <c r="T12" i="10"/>
  <c r="V24" i="10" s="1"/>
  <c r="P12" i="10"/>
  <c r="R20" i="10" s="1"/>
  <c r="H12" i="10"/>
  <c r="J20" i="10" s="1"/>
  <c r="D12" i="10"/>
  <c r="F18" i="10" s="1"/>
  <c r="D5" i="10"/>
  <c r="D4" i="10"/>
  <c r="V97" i="9"/>
  <c r="J97" i="9"/>
  <c r="R94" i="9"/>
  <c r="Z92" i="9"/>
  <c r="X92" i="9"/>
  <c r="V92" i="9"/>
  <c r="N92" i="9"/>
  <c r="L92" i="9"/>
  <c r="V90" i="9"/>
  <c r="J90" i="9"/>
  <c r="T88" i="9"/>
  <c r="Z88" i="9" s="1"/>
  <c r="R88" i="9"/>
  <c r="P88" i="9"/>
  <c r="X88" i="9" s="1"/>
  <c r="N88" i="9"/>
  <c r="L88" i="9"/>
  <c r="H88" i="9"/>
  <c r="D88" i="9"/>
  <c r="Z86" i="9"/>
  <c r="X86" i="9"/>
  <c r="V86" i="9"/>
  <c r="L86" i="9"/>
  <c r="N86" i="9" s="1"/>
  <c r="B86" i="9"/>
  <c r="X85" i="9"/>
  <c r="Z85" i="9" s="1"/>
  <c r="N85" i="9"/>
  <c r="L85" i="9"/>
  <c r="F85" i="9"/>
  <c r="B85" i="9"/>
  <c r="Z84" i="9"/>
  <c r="X84" i="9"/>
  <c r="T84" i="9"/>
  <c r="P84" i="9"/>
  <c r="N84" i="9"/>
  <c r="L84" i="9"/>
  <c r="H84" i="9"/>
  <c r="D84" i="9"/>
  <c r="B84" i="9"/>
  <c r="X83" i="9"/>
  <c r="Z83" i="9" s="1"/>
  <c r="R83" i="9"/>
  <c r="N83" i="9"/>
  <c r="L83" i="9"/>
  <c r="B83" i="9"/>
  <c r="Z82" i="9"/>
  <c r="X82" i="9"/>
  <c r="V82" i="9"/>
  <c r="T82" i="9"/>
  <c r="P82" i="9"/>
  <c r="J82" i="9"/>
  <c r="H82" i="9"/>
  <c r="N82" i="9" s="1"/>
  <c r="F82" i="9"/>
  <c r="D82" i="9"/>
  <c r="L82" i="9" s="1"/>
  <c r="B82" i="9"/>
  <c r="X81" i="9"/>
  <c r="Z81" i="9" s="1"/>
  <c r="R81" i="9"/>
  <c r="L81" i="9"/>
  <c r="N81" i="9" s="1"/>
  <c r="B81" i="9"/>
  <c r="Z80" i="9"/>
  <c r="X80" i="9"/>
  <c r="V80" i="9"/>
  <c r="N80" i="9"/>
  <c r="L80" i="9"/>
  <c r="B80" i="9"/>
  <c r="X79" i="9"/>
  <c r="T79" i="9"/>
  <c r="P79" i="9"/>
  <c r="H79" i="9"/>
  <c r="D79" i="9"/>
  <c r="B79" i="9"/>
  <c r="Z78" i="9"/>
  <c r="X78" i="9"/>
  <c r="N78" i="9"/>
  <c r="L78" i="9"/>
  <c r="B78" i="9"/>
  <c r="X77" i="9"/>
  <c r="Z77" i="9" s="1"/>
  <c r="R77" i="9"/>
  <c r="N77" i="9"/>
  <c r="L77" i="9"/>
  <c r="B77" i="9"/>
  <c r="Z76" i="9"/>
  <c r="X76" i="9"/>
  <c r="V76" i="9"/>
  <c r="N76" i="9"/>
  <c r="L76" i="9"/>
  <c r="B76" i="9"/>
  <c r="X75" i="9"/>
  <c r="Z75" i="9" s="1"/>
  <c r="R75" i="9"/>
  <c r="N75" i="9"/>
  <c r="L75" i="9"/>
  <c r="B75" i="9"/>
  <c r="Z74" i="9"/>
  <c r="X74" i="9"/>
  <c r="V74" i="9"/>
  <c r="N74" i="9"/>
  <c r="L74" i="9"/>
  <c r="B74" i="9"/>
  <c r="X73" i="9"/>
  <c r="Z73" i="9" s="1"/>
  <c r="T73" i="9"/>
  <c r="P73" i="9"/>
  <c r="L73" i="9"/>
  <c r="H73" i="9"/>
  <c r="N73" i="9" s="1"/>
  <c r="D73" i="9"/>
  <c r="B73" i="9"/>
  <c r="Z72" i="9"/>
  <c r="X72" i="9"/>
  <c r="V72" i="9"/>
  <c r="N72" i="9"/>
  <c r="L72" i="9"/>
  <c r="B72" i="9"/>
  <c r="X71" i="9"/>
  <c r="Z71" i="9" s="1"/>
  <c r="R71" i="9"/>
  <c r="N71" i="9"/>
  <c r="L71" i="9"/>
  <c r="B71" i="9"/>
  <c r="Z70" i="9"/>
  <c r="X70" i="9"/>
  <c r="V70" i="9"/>
  <c r="T70" i="9"/>
  <c r="P70" i="9"/>
  <c r="J70" i="9"/>
  <c r="H70" i="9"/>
  <c r="F70" i="9"/>
  <c r="D70" i="9"/>
  <c r="L70" i="9" s="1"/>
  <c r="B70" i="9"/>
  <c r="X69" i="9"/>
  <c r="Z69" i="9" s="1"/>
  <c r="R69" i="9"/>
  <c r="N69" i="9"/>
  <c r="L69" i="9"/>
  <c r="B69" i="9"/>
  <c r="V68" i="9"/>
  <c r="T68" i="9"/>
  <c r="Z68" i="9" s="1"/>
  <c r="R68" i="9"/>
  <c r="P68" i="9"/>
  <c r="X68" i="9" s="1"/>
  <c r="H68" i="9"/>
  <c r="N68" i="9" s="1"/>
  <c r="F68" i="9"/>
  <c r="D68" i="9"/>
  <c r="L68" i="9" s="1"/>
  <c r="B68" i="9"/>
  <c r="Z67" i="9"/>
  <c r="X67" i="9"/>
  <c r="L67" i="9"/>
  <c r="N67" i="9" s="1"/>
  <c r="F67" i="9"/>
  <c r="B67" i="9"/>
  <c r="X66" i="9"/>
  <c r="Z66" i="9" s="1"/>
  <c r="N66" i="9"/>
  <c r="L66" i="9"/>
  <c r="B66" i="9"/>
  <c r="Z65" i="9"/>
  <c r="X65" i="9"/>
  <c r="R65" i="9"/>
  <c r="N65" i="9"/>
  <c r="L65" i="9"/>
  <c r="B65" i="9"/>
  <c r="Z64" i="9"/>
  <c r="X64" i="9"/>
  <c r="V64" i="9"/>
  <c r="N64" i="9"/>
  <c r="L64" i="9"/>
  <c r="B64" i="9"/>
  <c r="X63" i="9"/>
  <c r="T63" i="9"/>
  <c r="Z63" i="9" s="1"/>
  <c r="P63" i="9"/>
  <c r="H63" i="9"/>
  <c r="D63" i="9"/>
  <c r="L63" i="9" s="1"/>
  <c r="B63" i="9"/>
  <c r="X62" i="9"/>
  <c r="Z62" i="9" s="1"/>
  <c r="N62" i="9"/>
  <c r="L62" i="9"/>
  <c r="B62" i="9"/>
  <c r="X61" i="9"/>
  <c r="Z61" i="9" s="1"/>
  <c r="R61" i="9"/>
  <c r="N61" i="9"/>
  <c r="L61" i="9"/>
  <c r="B61" i="9"/>
  <c r="Z60" i="9"/>
  <c r="X60" i="9"/>
  <c r="V60" i="9"/>
  <c r="N60" i="9"/>
  <c r="L60" i="9"/>
  <c r="B60" i="9"/>
  <c r="X59" i="9"/>
  <c r="T59" i="9"/>
  <c r="Z59" i="9" s="1"/>
  <c r="P59" i="9"/>
  <c r="H59" i="9"/>
  <c r="D59" i="9"/>
  <c r="L59" i="9" s="1"/>
  <c r="B59" i="9"/>
  <c r="X58" i="9"/>
  <c r="Z58" i="9" s="1"/>
  <c r="N58" i="9"/>
  <c r="L58" i="9"/>
  <c r="B58" i="9"/>
  <c r="T57" i="9"/>
  <c r="P57" i="9"/>
  <c r="X57" i="9" s="1"/>
  <c r="H57" i="9"/>
  <c r="D57" i="9"/>
  <c r="L57" i="9" s="1"/>
  <c r="N57" i="9" s="1"/>
  <c r="B57" i="9"/>
  <c r="Z56" i="9"/>
  <c r="X56" i="9"/>
  <c r="N56" i="9"/>
  <c r="L56" i="9"/>
  <c r="J56" i="9"/>
  <c r="B56" i="9"/>
  <c r="T55" i="9"/>
  <c r="P55" i="9"/>
  <c r="X55" i="9" s="1"/>
  <c r="Z55" i="9" s="1"/>
  <c r="L55" i="9"/>
  <c r="N55" i="9" s="1"/>
  <c r="H55" i="9"/>
  <c r="D55" i="9"/>
  <c r="B55" i="9"/>
  <c r="Z54" i="9"/>
  <c r="X54" i="9"/>
  <c r="V54" i="9"/>
  <c r="L54" i="9"/>
  <c r="N54" i="9" s="1"/>
  <c r="B54" i="9"/>
  <c r="X53" i="9"/>
  <c r="Z53" i="9" s="1"/>
  <c r="N53" i="9"/>
  <c r="L53" i="9"/>
  <c r="F53" i="9"/>
  <c r="B53" i="9"/>
  <c r="Z52" i="9"/>
  <c r="X52" i="9"/>
  <c r="T52" i="9"/>
  <c r="P52" i="9"/>
  <c r="N52" i="9"/>
  <c r="L52" i="9"/>
  <c r="H52" i="9"/>
  <c r="D52" i="9"/>
  <c r="B52" i="9"/>
  <c r="X51" i="9"/>
  <c r="Z51" i="9" s="1"/>
  <c r="R51" i="9"/>
  <c r="N51" i="9"/>
  <c r="L51" i="9"/>
  <c r="B51" i="9"/>
  <c r="Z50" i="9"/>
  <c r="V50" i="9"/>
  <c r="T50" i="9"/>
  <c r="X50" i="9" s="1"/>
  <c r="P50" i="9"/>
  <c r="J50" i="9"/>
  <c r="H50" i="9"/>
  <c r="F50" i="9"/>
  <c r="D50" i="9"/>
  <c r="L50" i="9" s="1"/>
  <c r="B50" i="9"/>
  <c r="X49" i="9"/>
  <c r="Z49" i="9" s="1"/>
  <c r="R49" i="9"/>
  <c r="N49" i="9"/>
  <c r="L49" i="9"/>
  <c r="B49" i="9"/>
  <c r="V48" i="9"/>
  <c r="T48" i="9"/>
  <c r="R48" i="9"/>
  <c r="P48" i="9"/>
  <c r="X48" i="9" s="1"/>
  <c r="H48" i="9"/>
  <c r="N48" i="9" s="1"/>
  <c r="F48" i="9"/>
  <c r="D48" i="9"/>
  <c r="L48" i="9" s="1"/>
  <c r="B48" i="9"/>
  <c r="Z47" i="9"/>
  <c r="X47" i="9"/>
  <c r="L47" i="9"/>
  <c r="N47" i="9" s="1"/>
  <c r="F47" i="9"/>
  <c r="B47" i="9"/>
  <c r="T46" i="9"/>
  <c r="Z46" i="9" s="1"/>
  <c r="R46" i="9"/>
  <c r="P46" i="9"/>
  <c r="X46" i="9" s="1"/>
  <c r="N46" i="9"/>
  <c r="L46" i="9"/>
  <c r="H46" i="9"/>
  <c r="D46" i="9"/>
  <c r="B46" i="9"/>
  <c r="X45" i="9"/>
  <c r="Z45" i="9" s="1"/>
  <c r="V45" i="9"/>
  <c r="L45" i="9"/>
  <c r="N45" i="9" s="1"/>
  <c r="F45" i="9"/>
  <c r="B45" i="9"/>
  <c r="Z44" i="9"/>
  <c r="X44" i="9"/>
  <c r="T44" i="9"/>
  <c r="P44" i="9"/>
  <c r="N44" i="9"/>
  <c r="H44" i="9"/>
  <c r="L44" i="9" s="1"/>
  <c r="D44" i="9"/>
  <c r="B44" i="9"/>
  <c r="X43" i="9"/>
  <c r="Z43" i="9" s="1"/>
  <c r="V43" i="9"/>
  <c r="R43" i="9"/>
  <c r="N43" i="9"/>
  <c r="L43" i="9"/>
  <c r="B43" i="9"/>
  <c r="V42" i="9"/>
  <c r="T42" i="9"/>
  <c r="X42" i="9" s="1"/>
  <c r="Z42" i="9" s="1"/>
  <c r="P42" i="9"/>
  <c r="J42" i="9"/>
  <c r="H42" i="9"/>
  <c r="N42" i="9" s="1"/>
  <c r="F42" i="9"/>
  <c r="D42" i="9"/>
  <c r="L42" i="9" s="1"/>
  <c r="B42" i="9"/>
  <c r="X41" i="9"/>
  <c r="Z41" i="9" s="1"/>
  <c r="R41" i="9"/>
  <c r="L41" i="9"/>
  <c r="N41" i="9" s="1"/>
  <c r="B41" i="9"/>
  <c r="V40" i="9"/>
  <c r="T40" i="9"/>
  <c r="Z40" i="9" s="1"/>
  <c r="R40" i="9"/>
  <c r="P40" i="9"/>
  <c r="X40" i="9" s="1"/>
  <c r="H40" i="9"/>
  <c r="F40" i="9"/>
  <c r="D40" i="9"/>
  <c r="L40" i="9" s="1"/>
  <c r="B40" i="9"/>
  <c r="Z39" i="9"/>
  <c r="X39" i="9"/>
  <c r="L39" i="9"/>
  <c r="N39" i="9" s="1"/>
  <c r="F39" i="9"/>
  <c r="B39" i="9"/>
  <c r="T38" i="9"/>
  <c r="Z38" i="9" s="1"/>
  <c r="R38" i="9"/>
  <c r="P38" i="9"/>
  <c r="X38" i="9" s="1"/>
  <c r="N38" i="9"/>
  <c r="L38" i="9"/>
  <c r="H38" i="9"/>
  <c r="D38" i="9"/>
  <c r="B38" i="9"/>
  <c r="X37" i="9"/>
  <c r="Z37" i="9" s="1"/>
  <c r="V37" i="9"/>
  <c r="L37" i="9"/>
  <c r="N37" i="9" s="1"/>
  <c r="F37" i="9"/>
  <c r="B37" i="9"/>
  <c r="Z36" i="9"/>
  <c r="X36" i="9"/>
  <c r="N36" i="9"/>
  <c r="L36" i="9"/>
  <c r="J36" i="9"/>
  <c r="B36" i="9"/>
  <c r="Z35" i="9"/>
  <c r="X35" i="9"/>
  <c r="L35" i="9"/>
  <c r="N35" i="9" s="1"/>
  <c r="F35" i="9"/>
  <c r="B35" i="9"/>
  <c r="X34" i="9"/>
  <c r="Z34" i="9" s="1"/>
  <c r="N34" i="9"/>
  <c r="L34" i="9"/>
  <c r="B34" i="9"/>
  <c r="X33" i="9"/>
  <c r="Z33" i="9" s="1"/>
  <c r="R33" i="9"/>
  <c r="L33" i="9"/>
  <c r="N33" i="9" s="1"/>
  <c r="B33" i="9"/>
  <c r="Z32" i="9"/>
  <c r="X32" i="9"/>
  <c r="V32" i="9"/>
  <c r="R32" i="9"/>
  <c r="N32" i="9"/>
  <c r="L32" i="9"/>
  <c r="B32" i="9"/>
  <c r="X31" i="9"/>
  <c r="V31" i="9"/>
  <c r="T31" i="9"/>
  <c r="Z31" i="9" s="1"/>
  <c r="R31" i="9"/>
  <c r="P31" i="9"/>
  <c r="H31" i="9"/>
  <c r="D31" i="9"/>
  <c r="B31" i="9"/>
  <c r="X30" i="9"/>
  <c r="Z30" i="9" s="1"/>
  <c r="N30" i="9"/>
  <c r="L30" i="9"/>
  <c r="B30" i="9"/>
  <c r="X29" i="9"/>
  <c r="Z29" i="9" s="1"/>
  <c r="R29" i="9"/>
  <c r="L29" i="9"/>
  <c r="N29" i="9" s="1"/>
  <c r="B29" i="9"/>
  <c r="Z28" i="9"/>
  <c r="X28" i="9"/>
  <c r="V28" i="9"/>
  <c r="R28" i="9"/>
  <c r="N28" i="9"/>
  <c r="L28" i="9"/>
  <c r="B28" i="9"/>
  <c r="X27" i="9"/>
  <c r="Z27" i="9" s="1"/>
  <c r="V27" i="9"/>
  <c r="R27" i="9"/>
  <c r="N27" i="9"/>
  <c r="L27" i="9"/>
  <c r="B27" i="9"/>
  <c r="Z26" i="9"/>
  <c r="X26" i="9"/>
  <c r="V26" i="9"/>
  <c r="R26" i="9"/>
  <c r="L26" i="9"/>
  <c r="N26" i="9" s="1"/>
  <c r="B26" i="9"/>
  <c r="Z25" i="9"/>
  <c r="X25" i="9"/>
  <c r="V25" i="9"/>
  <c r="N25" i="9"/>
  <c r="L25" i="9"/>
  <c r="F25" i="9"/>
  <c r="B25" i="9"/>
  <c r="Z24" i="9"/>
  <c r="X24" i="9"/>
  <c r="N24" i="9"/>
  <c r="L24" i="9"/>
  <c r="J24" i="9"/>
  <c r="B24" i="9"/>
  <c r="Z23" i="9"/>
  <c r="X23" i="9"/>
  <c r="R23" i="9"/>
  <c r="L23" i="9"/>
  <c r="N23" i="9" s="1"/>
  <c r="F23" i="9"/>
  <c r="B23" i="9"/>
  <c r="X22" i="9"/>
  <c r="Z22" i="9" s="1"/>
  <c r="N22" i="9"/>
  <c r="L22" i="9"/>
  <c r="B22" i="9"/>
  <c r="X21" i="9"/>
  <c r="Z21" i="9" s="1"/>
  <c r="R21" i="9"/>
  <c r="L21" i="9"/>
  <c r="N21" i="9" s="1"/>
  <c r="B21" i="9"/>
  <c r="Z20" i="9"/>
  <c r="X20" i="9"/>
  <c r="V20" i="9"/>
  <c r="R20" i="9"/>
  <c r="N20" i="9"/>
  <c r="L20" i="9"/>
  <c r="B20" i="9"/>
  <c r="X19" i="9"/>
  <c r="V19" i="9"/>
  <c r="T19" i="9"/>
  <c r="R19" i="9"/>
  <c r="P19" i="9"/>
  <c r="H19" i="9"/>
  <c r="D19" i="9"/>
  <c r="B19" i="9"/>
  <c r="T18" i="9" a="1"/>
  <c r="T18" i="9"/>
  <c r="R18" i="9"/>
  <c r="P18" i="9" a="1"/>
  <c r="P18" i="9" s="1"/>
  <c r="H18" i="9" a="1"/>
  <c r="H18" i="9"/>
  <c r="D18" i="9" a="1"/>
  <c r="D18" i="9" s="1"/>
  <c r="R16" i="9"/>
  <c r="P16" i="9"/>
  <c r="P90" i="9" s="1"/>
  <c r="Z14" i="9"/>
  <c r="V14" i="9"/>
  <c r="T14" i="9"/>
  <c r="X14" i="9" s="1"/>
  <c r="P14" i="9"/>
  <c r="J14" i="9"/>
  <c r="H14" i="9"/>
  <c r="N14" i="9" s="1"/>
  <c r="F14" i="9"/>
  <c r="D14" i="9"/>
  <c r="L14" i="9" s="1"/>
  <c r="T12" i="9"/>
  <c r="V83" i="9" s="1"/>
  <c r="P12" i="9"/>
  <c r="R80" i="9" s="1"/>
  <c r="N12" i="9"/>
  <c r="H12" i="9"/>
  <c r="J73" i="9" s="1"/>
  <c r="D12" i="9"/>
  <c r="F79" i="9" s="1"/>
  <c r="D4" i="9"/>
  <c r="B39" i="8"/>
  <c r="B38" i="8"/>
  <c r="T34" i="8"/>
  <c r="Z34" i="8" s="1"/>
  <c r="P34" i="8"/>
  <c r="H34" i="8"/>
  <c r="N34" i="8" s="1"/>
  <c r="D34" i="8"/>
  <c r="L34" i="8" s="1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D24" i="8"/>
  <c r="T22" i="8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D20" i="8"/>
  <c r="T16" i="8"/>
  <c r="P16" i="8"/>
  <c r="H16" i="8"/>
  <c r="D16" i="8"/>
  <c r="B16" i="8"/>
  <c r="T15" i="8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0" i="8" s="1"/>
  <c r="P12" i="8"/>
  <c r="R22" i="8" s="1"/>
  <c r="H12" i="8"/>
  <c r="D12" i="8"/>
  <c r="F36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P29" i="7"/>
  <c r="H29" i="7"/>
  <c r="N29" i="7" s="1"/>
  <c r="D29" i="7"/>
  <c r="T25" i="7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5" i="7" s="1"/>
  <c r="P12" i="7"/>
  <c r="R27" i="7" s="1"/>
  <c r="H12" i="7"/>
  <c r="D12" i="7"/>
  <c r="D5" i="7"/>
  <c r="D4" i="7"/>
  <c r="V31" i="6"/>
  <c r="R31" i="6"/>
  <c r="T29" i="6"/>
  <c r="P29" i="6"/>
  <c r="X29" i="6" s="1"/>
  <c r="Z29" i="6" s="1"/>
  <c r="L29" i="6"/>
  <c r="N29" i="6" s="1"/>
  <c r="J29" i="6"/>
  <c r="H29" i="6"/>
  <c r="D29" i="6"/>
  <c r="X28" i="6"/>
  <c r="V28" i="6"/>
  <c r="T28" i="6"/>
  <c r="R28" i="6"/>
  <c r="P28" i="6"/>
  <c r="H28" i="6"/>
  <c r="D28" i="6"/>
  <c r="L28" i="6" s="1"/>
  <c r="J26" i="6"/>
  <c r="Z24" i="6"/>
  <c r="X24" i="6"/>
  <c r="V24" i="6"/>
  <c r="R24" i="6"/>
  <c r="N24" i="6"/>
  <c r="L24" i="6"/>
  <c r="V22" i="6"/>
  <c r="R22" i="6"/>
  <c r="Z20" i="6"/>
  <c r="T20" i="6"/>
  <c r="P20" i="6"/>
  <c r="X20" i="6" s="1"/>
  <c r="N20" i="6"/>
  <c r="L20" i="6"/>
  <c r="J20" i="6"/>
  <c r="H20" i="6"/>
  <c r="D20" i="6"/>
  <c r="X18" i="6"/>
  <c r="V18" i="6"/>
  <c r="T18" i="6"/>
  <c r="Z18" i="6" s="1"/>
  <c r="R18" i="6"/>
  <c r="P18" i="6"/>
  <c r="H18" i="6"/>
  <c r="N18" i="6" s="1"/>
  <c r="D18" i="6"/>
  <c r="L18" i="6" s="1"/>
  <c r="P16" i="6"/>
  <c r="J16" i="6"/>
  <c r="X14" i="6"/>
  <c r="V14" i="6"/>
  <c r="T14" i="6"/>
  <c r="T16" i="6" s="1"/>
  <c r="R14" i="6"/>
  <c r="P14" i="6"/>
  <c r="H14" i="6"/>
  <c r="N14" i="6" s="1"/>
  <c r="D14" i="6"/>
  <c r="Z12" i="6"/>
  <c r="T12" i="6"/>
  <c r="V29" i="6" s="1"/>
  <c r="P12" i="6"/>
  <c r="X12" i="6" s="1"/>
  <c r="L12" i="6"/>
  <c r="H12" i="6"/>
  <c r="D12" i="6"/>
  <c r="F31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P13" i="5"/>
  <c r="H13" i="5"/>
  <c r="N13" i="5" s="1"/>
  <c r="D13" i="5"/>
  <c r="B13" i="5"/>
  <c r="T12" i="5"/>
  <c r="V34" i="5" s="1"/>
  <c r="P12" i="5"/>
  <c r="H12" i="5"/>
  <c r="J20" i="5" s="1"/>
  <c r="D12" i="5"/>
  <c r="F22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D20" i="4"/>
  <c r="T16" i="4"/>
  <c r="Z16" i="4" s="1"/>
  <c r="P16" i="4"/>
  <c r="H16" i="4"/>
  <c r="N16" i="4" s="1"/>
  <c r="D16" i="4"/>
  <c r="B16" i="4"/>
  <c r="T15" i="4"/>
  <c r="P15" i="4"/>
  <c r="X15" i="4" s="1"/>
  <c r="H15" i="4"/>
  <c r="N15" i="4" s="1"/>
  <c r="D15" i="4"/>
  <c r="T13" i="4"/>
  <c r="Z13" i="4" s="1"/>
  <c r="P13" i="4"/>
  <c r="H13" i="4"/>
  <c r="N13" i="4" s="1"/>
  <c r="D13" i="4"/>
  <c r="B13" i="4"/>
  <c r="T12" i="4"/>
  <c r="V20" i="4" s="1"/>
  <c r="P12" i="4"/>
  <c r="R22" i="4" s="1"/>
  <c r="H12" i="4"/>
  <c r="J20" i="4" s="1"/>
  <c r="D12" i="4"/>
  <c r="F36" i="4" s="1"/>
  <c r="D5" i="4"/>
  <c r="D4" i="4"/>
  <c r="Z278" i="3"/>
  <c r="X278" i="3"/>
  <c r="T278" i="3"/>
  <c r="P278" i="3"/>
  <c r="N278" i="3"/>
  <c r="H278" i="3"/>
  <c r="L278" i="3" s="1"/>
  <c r="D278" i="3"/>
  <c r="T277" i="3"/>
  <c r="P277" i="3"/>
  <c r="X277" i="3" s="1"/>
  <c r="H277" i="3"/>
  <c r="D277" i="3"/>
  <c r="L277" i="3" s="1"/>
  <c r="N277" i="3" s="1"/>
  <c r="Z273" i="3"/>
  <c r="X273" i="3"/>
  <c r="N273" i="3"/>
  <c r="L273" i="3"/>
  <c r="Z269" i="3"/>
  <c r="X269" i="3"/>
  <c r="T269" i="3"/>
  <c r="P269" i="3"/>
  <c r="H269" i="3"/>
  <c r="L269" i="3" s="1"/>
  <c r="N269" i="3" s="1"/>
  <c r="D269" i="3"/>
  <c r="B269" i="3"/>
  <c r="X268" i="3"/>
  <c r="T268" i="3"/>
  <c r="Z268" i="3" s="1"/>
  <c r="P268" i="3"/>
  <c r="H268" i="3"/>
  <c r="D268" i="3"/>
  <c r="L268" i="3" s="1"/>
  <c r="B268" i="3"/>
  <c r="T267" i="3"/>
  <c r="Z267" i="3" s="1"/>
  <c r="P267" i="3"/>
  <c r="X267" i="3" s="1"/>
  <c r="N267" i="3"/>
  <c r="L267" i="3"/>
  <c r="H267" i="3"/>
  <c r="D267" i="3"/>
  <c r="B267" i="3"/>
  <c r="X266" i="3"/>
  <c r="Z266" i="3" s="1"/>
  <c r="T266" i="3"/>
  <c r="P266" i="3"/>
  <c r="L266" i="3"/>
  <c r="H266" i="3"/>
  <c r="D266" i="3"/>
  <c r="B266" i="3"/>
  <c r="T265" i="3"/>
  <c r="Z265" i="3" s="1"/>
  <c r="P265" i="3"/>
  <c r="X265" i="3" s="1"/>
  <c r="H265" i="3"/>
  <c r="N265" i="3" s="1"/>
  <c r="D265" i="3"/>
  <c r="L265" i="3" s="1"/>
  <c r="B265" i="3"/>
  <c r="T264" i="3"/>
  <c r="P264" i="3"/>
  <c r="X264" i="3" s="1"/>
  <c r="Z264" i="3" s="1"/>
  <c r="L264" i="3"/>
  <c r="N264" i="3" s="1"/>
  <c r="H264" i="3"/>
  <c r="D264" i="3"/>
  <c r="B264" i="3"/>
  <c r="Z263" i="3"/>
  <c r="T263" i="3"/>
  <c r="X263" i="3" s="1"/>
  <c r="P263" i="3"/>
  <c r="H263" i="3"/>
  <c r="N263" i="3" s="1"/>
  <c r="D263" i="3"/>
  <c r="L263" i="3" s="1"/>
  <c r="B263" i="3"/>
  <c r="T262" i="3"/>
  <c r="P262" i="3"/>
  <c r="H262" i="3"/>
  <c r="D262" i="3"/>
  <c r="B262" i="3"/>
  <c r="Z261" i="3"/>
  <c r="X261" i="3"/>
  <c r="T261" i="3"/>
  <c r="P261" i="3"/>
  <c r="N261" i="3"/>
  <c r="H261" i="3"/>
  <c r="L261" i="3" s="1"/>
  <c r="D261" i="3"/>
  <c r="B261" i="3"/>
  <c r="H260" i="3"/>
  <c r="Z258" i="3"/>
  <c r="X258" i="3"/>
  <c r="L258" i="3"/>
  <c r="N258" i="3" s="1"/>
  <c r="B258" i="3"/>
  <c r="T257" i="3"/>
  <c r="P257" i="3"/>
  <c r="X257" i="3" s="1"/>
  <c r="N257" i="3"/>
  <c r="L257" i="3"/>
  <c r="H257" i="3"/>
  <c r="D257" i="3"/>
  <c r="B257" i="3"/>
  <c r="X256" i="3"/>
  <c r="Z256" i="3" s="1"/>
  <c r="N256" i="3"/>
  <c r="L256" i="3"/>
  <c r="B256" i="3"/>
  <c r="Z255" i="3"/>
  <c r="X255" i="3"/>
  <c r="N255" i="3"/>
  <c r="L255" i="3"/>
  <c r="B255" i="3"/>
  <c r="Z254" i="3"/>
  <c r="X254" i="3"/>
  <c r="N254" i="3"/>
  <c r="L254" i="3"/>
  <c r="B254" i="3"/>
  <c r="T253" i="3"/>
  <c r="P253" i="3"/>
  <c r="X253" i="3" s="1"/>
  <c r="N253" i="3"/>
  <c r="L253" i="3"/>
  <c r="H253" i="3"/>
  <c r="D253" i="3"/>
  <c r="B253" i="3"/>
  <c r="X252" i="3"/>
  <c r="Z252" i="3" s="1"/>
  <c r="N252" i="3"/>
  <c r="L252" i="3"/>
  <c r="B252" i="3"/>
  <c r="Z251" i="3"/>
  <c r="X251" i="3"/>
  <c r="T251" i="3"/>
  <c r="P251" i="3"/>
  <c r="N251" i="3"/>
  <c r="H251" i="3"/>
  <c r="L251" i="3" s="1"/>
  <c r="D251" i="3"/>
  <c r="B251" i="3"/>
  <c r="X250" i="3"/>
  <c r="Z250" i="3" s="1"/>
  <c r="N250" i="3"/>
  <c r="L250" i="3"/>
  <c r="B250" i="3"/>
  <c r="Z249" i="3"/>
  <c r="X249" i="3"/>
  <c r="L249" i="3"/>
  <c r="N249" i="3" s="1"/>
  <c r="B249" i="3"/>
  <c r="X248" i="3"/>
  <c r="Z248" i="3" s="1"/>
  <c r="T248" i="3"/>
  <c r="P248" i="3"/>
  <c r="L248" i="3"/>
  <c r="H248" i="3"/>
  <c r="N248" i="3" s="1"/>
  <c r="D248" i="3"/>
  <c r="B248" i="3"/>
  <c r="Z247" i="3"/>
  <c r="X247" i="3"/>
  <c r="N247" i="3"/>
  <c r="L247" i="3"/>
  <c r="B247" i="3"/>
  <c r="X246" i="3"/>
  <c r="Z246" i="3" s="1"/>
  <c r="N246" i="3"/>
  <c r="L246" i="3"/>
  <c r="B246" i="3"/>
  <c r="Z245" i="3"/>
  <c r="X245" i="3"/>
  <c r="L245" i="3"/>
  <c r="N245" i="3" s="1"/>
  <c r="B245" i="3"/>
  <c r="X244" i="3"/>
  <c r="Z244" i="3" s="1"/>
  <c r="L244" i="3"/>
  <c r="N244" i="3" s="1"/>
  <c r="B244" i="3"/>
  <c r="Z243" i="3"/>
  <c r="X243" i="3"/>
  <c r="N243" i="3"/>
  <c r="L243" i="3"/>
  <c r="B243" i="3"/>
  <c r="Z242" i="3"/>
  <c r="X242" i="3"/>
  <c r="L242" i="3"/>
  <c r="N242" i="3" s="1"/>
  <c r="B242" i="3"/>
  <c r="X241" i="3"/>
  <c r="Z241" i="3" s="1"/>
  <c r="N241" i="3"/>
  <c r="L241" i="3"/>
  <c r="B241" i="3"/>
  <c r="X240" i="3"/>
  <c r="Z240" i="3" s="1"/>
  <c r="L240" i="3"/>
  <c r="N240" i="3" s="1"/>
  <c r="B240" i="3"/>
  <c r="Z239" i="3"/>
  <c r="X239" i="3"/>
  <c r="N239" i="3"/>
  <c r="L239" i="3"/>
  <c r="B239" i="3"/>
  <c r="X238" i="3"/>
  <c r="T238" i="3"/>
  <c r="P238" i="3"/>
  <c r="H238" i="3"/>
  <c r="D238" i="3"/>
  <c r="L238" i="3" s="1"/>
  <c r="B238" i="3"/>
  <c r="X237" i="3"/>
  <c r="Z237" i="3" s="1"/>
  <c r="N237" i="3"/>
  <c r="L237" i="3"/>
  <c r="B237" i="3"/>
  <c r="X236" i="3"/>
  <c r="Z236" i="3" s="1"/>
  <c r="L236" i="3"/>
  <c r="N236" i="3" s="1"/>
  <c r="B236" i="3"/>
  <c r="T235" i="3"/>
  <c r="Z235" i="3" s="1"/>
  <c r="P235" i="3"/>
  <c r="X235" i="3" s="1"/>
  <c r="H235" i="3"/>
  <c r="D235" i="3"/>
  <c r="L235" i="3" s="1"/>
  <c r="B235" i="3"/>
  <c r="Z234" i="3"/>
  <c r="X234" i="3"/>
  <c r="L234" i="3"/>
  <c r="N234" i="3" s="1"/>
  <c r="B234" i="3"/>
  <c r="X233" i="3"/>
  <c r="Z233" i="3" s="1"/>
  <c r="N233" i="3"/>
  <c r="L233" i="3"/>
  <c r="B233" i="3"/>
  <c r="X232" i="3"/>
  <c r="Z232" i="3" s="1"/>
  <c r="L232" i="3"/>
  <c r="N232" i="3" s="1"/>
  <c r="B232" i="3"/>
  <c r="Z231" i="3"/>
  <c r="X231" i="3"/>
  <c r="N231" i="3"/>
  <c r="L231" i="3"/>
  <c r="B231" i="3"/>
  <c r="X230" i="3"/>
  <c r="Z230" i="3" s="1"/>
  <c r="N230" i="3"/>
  <c r="L230" i="3"/>
  <c r="B230" i="3"/>
  <c r="T229" i="3"/>
  <c r="X229" i="3" s="1"/>
  <c r="Z229" i="3" s="1"/>
  <c r="P229" i="3"/>
  <c r="H229" i="3"/>
  <c r="N229" i="3" s="1"/>
  <c r="D229" i="3"/>
  <c r="L229" i="3" s="1"/>
  <c r="B229" i="3"/>
  <c r="X228" i="3"/>
  <c r="Z228" i="3" s="1"/>
  <c r="L228" i="3"/>
  <c r="N228" i="3" s="1"/>
  <c r="B228" i="3"/>
  <c r="Z227" i="3"/>
  <c r="X227" i="3"/>
  <c r="N227" i="3"/>
  <c r="L227" i="3"/>
  <c r="B227" i="3"/>
  <c r="X226" i="3"/>
  <c r="Z226" i="3" s="1"/>
  <c r="N226" i="3"/>
  <c r="L226" i="3"/>
  <c r="B226" i="3"/>
  <c r="Z225" i="3"/>
  <c r="T225" i="3"/>
  <c r="X225" i="3" s="1"/>
  <c r="P225" i="3"/>
  <c r="H225" i="3"/>
  <c r="N225" i="3" s="1"/>
  <c r="D225" i="3"/>
  <c r="L225" i="3" s="1"/>
  <c r="B225" i="3"/>
  <c r="X224" i="3"/>
  <c r="Z224" i="3" s="1"/>
  <c r="L224" i="3"/>
  <c r="N224" i="3" s="1"/>
  <c r="B224" i="3"/>
  <c r="Z223" i="3"/>
  <c r="X223" i="3"/>
  <c r="N223" i="3"/>
  <c r="L223" i="3"/>
  <c r="B223" i="3"/>
  <c r="X222" i="3"/>
  <c r="Z222" i="3" s="1"/>
  <c r="N222" i="3"/>
  <c r="L222" i="3"/>
  <c r="B222" i="3"/>
  <c r="Z221" i="3"/>
  <c r="X221" i="3"/>
  <c r="L221" i="3"/>
  <c r="N221" i="3" s="1"/>
  <c r="B221" i="3"/>
  <c r="X220" i="3"/>
  <c r="Z220" i="3" s="1"/>
  <c r="T220" i="3"/>
  <c r="P220" i="3"/>
  <c r="L220" i="3"/>
  <c r="H220" i="3"/>
  <c r="D220" i="3"/>
  <c r="B220" i="3"/>
  <c r="Z219" i="3"/>
  <c r="X219" i="3"/>
  <c r="N219" i="3"/>
  <c r="L219" i="3"/>
  <c r="B219" i="3"/>
  <c r="X218" i="3"/>
  <c r="T218" i="3"/>
  <c r="Z218" i="3" s="1"/>
  <c r="P218" i="3"/>
  <c r="H218" i="3"/>
  <c r="D218" i="3"/>
  <c r="B218" i="3"/>
  <c r="X217" i="3"/>
  <c r="Z217" i="3" s="1"/>
  <c r="N217" i="3"/>
  <c r="L217" i="3"/>
  <c r="B217" i="3"/>
  <c r="T216" i="3"/>
  <c r="P216" i="3"/>
  <c r="H216" i="3"/>
  <c r="D216" i="3"/>
  <c r="L216" i="3" s="1"/>
  <c r="N216" i="3" s="1"/>
  <c r="B216" i="3"/>
  <c r="Z215" i="3"/>
  <c r="X215" i="3"/>
  <c r="N215" i="3"/>
  <c r="L215" i="3"/>
  <c r="B215" i="3"/>
  <c r="Z214" i="3"/>
  <c r="T214" i="3"/>
  <c r="P214" i="3"/>
  <c r="X214" i="3" s="1"/>
  <c r="N214" i="3"/>
  <c r="L214" i="3"/>
  <c r="H214" i="3"/>
  <c r="D214" i="3"/>
  <c r="B214" i="3"/>
  <c r="Z213" i="3"/>
  <c r="X213" i="3"/>
  <c r="N213" i="3"/>
  <c r="L213" i="3"/>
  <c r="B213" i="3"/>
  <c r="X212" i="3"/>
  <c r="Z212" i="3" s="1"/>
  <c r="L212" i="3"/>
  <c r="N212" i="3" s="1"/>
  <c r="B212" i="3"/>
  <c r="Z211" i="3"/>
  <c r="X211" i="3"/>
  <c r="T211" i="3"/>
  <c r="P211" i="3"/>
  <c r="N211" i="3"/>
  <c r="H211" i="3"/>
  <c r="L211" i="3" s="1"/>
  <c r="D211" i="3"/>
  <c r="B211" i="3"/>
  <c r="X210" i="3"/>
  <c r="Z210" i="3" s="1"/>
  <c r="N210" i="3"/>
  <c r="L210" i="3"/>
  <c r="B210" i="3"/>
  <c r="Z209" i="3"/>
  <c r="T209" i="3"/>
  <c r="X209" i="3" s="1"/>
  <c r="P209" i="3"/>
  <c r="H209" i="3"/>
  <c r="N209" i="3" s="1"/>
  <c r="D209" i="3"/>
  <c r="L209" i="3" s="1"/>
  <c r="B209" i="3"/>
  <c r="X208" i="3"/>
  <c r="Z208" i="3" s="1"/>
  <c r="L208" i="3"/>
  <c r="N208" i="3" s="1"/>
  <c r="B208" i="3"/>
  <c r="T207" i="3"/>
  <c r="Z207" i="3" s="1"/>
  <c r="P207" i="3"/>
  <c r="X207" i="3" s="1"/>
  <c r="H207" i="3"/>
  <c r="D207" i="3"/>
  <c r="L207" i="3" s="1"/>
  <c r="B207" i="3"/>
  <c r="Z206" i="3"/>
  <c r="X206" i="3"/>
  <c r="L206" i="3"/>
  <c r="N206" i="3" s="1"/>
  <c r="B206" i="3"/>
  <c r="T205" i="3"/>
  <c r="P205" i="3"/>
  <c r="X205" i="3" s="1"/>
  <c r="N205" i="3"/>
  <c r="L205" i="3"/>
  <c r="H205" i="3"/>
  <c r="D205" i="3"/>
  <c r="B205" i="3"/>
  <c r="X204" i="3"/>
  <c r="Z204" i="3" s="1"/>
  <c r="L204" i="3"/>
  <c r="N204" i="3" s="1"/>
  <c r="B204" i="3"/>
  <c r="Z203" i="3"/>
  <c r="X203" i="3"/>
  <c r="N203" i="3"/>
  <c r="L203" i="3"/>
  <c r="B203" i="3"/>
  <c r="T202" i="3"/>
  <c r="P202" i="3"/>
  <c r="X202" i="3" s="1"/>
  <c r="Z202" i="3" s="1"/>
  <c r="L202" i="3"/>
  <c r="N202" i="3" s="1"/>
  <c r="H202" i="3"/>
  <c r="D202" i="3"/>
  <c r="B202" i="3"/>
  <c r="Z201" i="3"/>
  <c r="X201" i="3"/>
  <c r="L201" i="3"/>
  <c r="N201" i="3" s="1"/>
  <c r="B201" i="3"/>
  <c r="X200" i="3"/>
  <c r="Z200" i="3" s="1"/>
  <c r="T200" i="3"/>
  <c r="P200" i="3"/>
  <c r="L200" i="3"/>
  <c r="H200" i="3"/>
  <c r="D200" i="3"/>
  <c r="B200" i="3"/>
  <c r="Z199" i="3"/>
  <c r="X199" i="3"/>
  <c r="N199" i="3"/>
  <c r="L199" i="3"/>
  <c r="B199" i="3"/>
  <c r="X198" i="3"/>
  <c r="T198" i="3"/>
  <c r="P198" i="3"/>
  <c r="H198" i="3"/>
  <c r="N198" i="3" s="1"/>
  <c r="D198" i="3"/>
  <c r="L198" i="3" s="1"/>
  <c r="B198" i="3"/>
  <c r="X197" i="3"/>
  <c r="Z197" i="3" s="1"/>
  <c r="N197" i="3"/>
  <c r="L197" i="3"/>
  <c r="B197" i="3"/>
  <c r="T196" i="3"/>
  <c r="P196" i="3"/>
  <c r="H196" i="3"/>
  <c r="D196" i="3"/>
  <c r="L196" i="3" s="1"/>
  <c r="N196" i="3" s="1"/>
  <c r="B196" i="3"/>
  <c r="Z195" i="3"/>
  <c r="X195" i="3"/>
  <c r="N195" i="3"/>
  <c r="L195" i="3"/>
  <c r="B195" i="3"/>
  <c r="Z194" i="3"/>
  <c r="X194" i="3"/>
  <c r="N194" i="3"/>
  <c r="L194" i="3"/>
  <c r="B194" i="3"/>
  <c r="T193" i="3"/>
  <c r="P193" i="3"/>
  <c r="X193" i="3" s="1"/>
  <c r="N193" i="3"/>
  <c r="L193" i="3"/>
  <c r="H193" i="3"/>
  <c r="D193" i="3"/>
  <c r="B193" i="3"/>
  <c r="X192" i="3"/>
  <c r="Z192" i="3" s="1"/>
  <c r="L192" i="3"/>
  <c r="N192" i="3" s="1"/>
  <c r="B192" i="3"/>
  <c r="Z191" i="3"/>
  <c r="X191" i="3"/>
  <c r="N191" i="3"/>
  <c r="L191" i="3"/>
  <c r="B191" i="3"/>
  <c r="T190" i="3"/>
  <c r="P190" i="3"/>
  <c r="X190" i="3" s="1"/>
  <c r="Z190" i="3" s="1"/>
  <c r="L190" i="3"/>
  <c r="N190" i="3" s="1"/>
  <c r="H190" i="3"/>
  <c r="D190" i="3"/>
  <c r="B190" i="3"/>
  <c r="Z189" i="3"/>
  <c r="X189" i="3"/>
  <c r="L189" i="3"/>
  <c r="N189" i="3" s="1"/>
  <c r="B189" i="3"/>
  <c r="X188" i="3"/>
  <c r="Z188" i="3" s="1"/>
  <c r="T188" i="3"/>
  <c r="P188" i="3"/>
  <c r="L188" i="3"/>
  <c r="H188" i="3"/>
  <c r="D188" i="3"/>
  <c r="B188" i="3"/>
  <c r="Z187" i="3"/>
  <c r="X187" i="3"/>
  <c r="N187" i="3"/>
  <c r="L187" i="3"/>
  <c r="B187" i="3"/>
  <c r="X186" i="3"/>
  <c r="Z186" i="3" s="1"/>
  <c r="N186" i="3"/>
  <c r="L186" i="3"/>
  <c r="B186" i="3"/>
  <c r="T185" i="3"/>
  <c r="X185" i="3" s="1"/>
  <c r="Z185" i="3" s="1"/>
  <c r="P185" i="3"/>
  <c r="H185" i="3"/>
  <c r="D185" i="3"/>
  <c r="L185" i="3" s="1"/>
  <c r="B185" i="3"/>
  <c r="X184" i="3"/>
  <c r="Z184" i="3" s="1"/>
  <c r="L184" i="3"/>
  <c r="N184" i="3" s="1"/>
  <c r="B184" i="3"/>
  <c r="T183" i="3"/>
  <c r="P183" i="3"/>
  <c r="X183" i="3" s="1"/>
  <c r="H183" i="3"/>
  <c r="N183" i="3" s="1"/>
  <c r="D183" i="3"/>
  <c r="L183" i="3" s="1"/>
  <c r="B183" i="3"/>
  <c r="Z182" i="3"/>
  <c r="X182" i="3"/>
  <c r="L182" i="3"/>
  <c r="N182" i="3" s="1"/>
  <c r="B182" i="3"/>
  <c r="X181" i="3"/>
  <c r="Z181" i="3" s="1"/>
  <c r="N181" i="3"/>
  <c r="L181" i="3"/>
  <c r="B181" i="3"/>
  <c r="X180" i="3"/>
  <c r="Z180" i="3" s="1"/>
  <c r="L180" i="3"/>
  <c r="N180" i="3" s="1"/>
  <c r="B180" i="3"/>
  <c r="Z179" i="3"/>
  <c r="X179" i="3"/>
  <c r="N179" i="3"/>
  <c r="L179" i="3"/>
  <c r="B179" i="3"/>
  <c r="X178" i="3"/>
  <c r="Z178" i="3" s="1"/>
  <c r="N178" i="3"/>
  <c r="L178" i="3"/>
  <c r="B178" i="3"/>
  <c r="Z177" i="3"/>
  <c r="X177" i="3"/>
  <c r="L177" i="3"/>
  <c r="N177" i="3" s="1"/>
  <c r="B177" i="3"/>
  <c r="X176" i="3"/>
  <c r="Z176" i="3" s="1"/>
  <c r="L176" i="3"/>
  <c r="N176" i="3" s="1"/>
  <c r="B176" i="3"/>
  <c r="Z175" i="3"/>
  <c r="X175" i="3"/>
  <c r="T175" i="3"/>
  <c r="P175" i="3"/>
  <c r="H175" i="3"/>
  <c r="L175" i="3" s="1"/>
  <c r="N175" i="3" s="1"/>
  <c r="D175" i="3"/>
  <c r="B175" i="3"/>
  <c r="X174" i="3"/>
  <c r="Z174" i="3" s="1"/>
  <c r="N174" i="3"/>
  <c r="L174" i="3"/>
  <c r="B174" i="3"/>
  <c r="Z173" i="3"/>
  <c r="X173" i="3"/>
  <c r="L173" i="3"/>
  <c r="N173" i="3" s="1"/>
  <c r="B173" i="3"/>
  <c r="X172" i="3"/>
  <c r="Z172" i="3" s="1"/>
  <c r="L172" i="3"/>
  <c r="N172" i="3" s="1"/>
  <c r="B172" i="3"/>
  <c r="Z171" i="3"/>
  <c r="X171" i="3"/>
  <c r="N171" i="3"/>
  <c r="L171" i="3"/>
  <c r="B171" i="3"/>
  <c r="Z170" i="3"/>
  <c r="X170" i="3"/>
  <c r="N170" i="3"/>
  <c r="L170" i="3"/>
  <c r="B170" i="3"/>
  <c r="X169" i="3"/>
  <c r="Z169" i="3" s="1"/>
  <c r="N169" i="3"/>
  <c r="L169" i="3"/>
  <c r="B169" i="3"/>
  <c r="X168" i="3"/>
  <c r="Z168" i="3" s="1"/>
  <c r="L168" i="3"/>
  <c r="N168" i="3" s="1"/>
  <c r="B168" i="3"/>
  <c r="Z167" i="3"/>
  <c r="X167" i="3"/>
  <c r="N167" i="3"/>
  <c r="L167" i="3"/>
  <c r="B167" i="3"/>
  <c r="X166" i="3"/>
  <c r="Z166" i="3" s="1"/>
  <c r="N166" i="3"/>
  <c r="L166" i="3"/>
  <c r="B166" i="3"/>
  <c r="Z165" i="3"/>
  <c r="X165" i="3"/>
  <c r="L165" i="3"/>
  <c r="N165" i="3" s="1"/>
  <c r="B165" i="3"/>
  <c r="X164" i="3"/>
  <c r="Z164" i="3" s="1"/>
  <c r="T164" i="3"/>
  <c r="P164" i="3"/>
  <c r="L164" i="3"/>
  <c r="H164" i="3"/>
  <c r="N164" i="3" s="1"/>
  <c r="D164" i="3"/>
  <c r="B164" i="3"/>
  <c r="T163" i="3" a="1"/>
  <c r="T163" i="3" s="1"/>
  <c r="P163" i="3" a="1"/>
  <c r="P163" i="3" s="1"/>
  <c r="H163" i="3" a="1"/>
  <c r="H163" i="3"/>
  <c r="D163" i="3" a="1"/>
  <c r="D163" i="3" s="1"/>
  <c r="L163" i="3" s="1"/>
  <c r="Z159" i="3"/>
  <c r="X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X156" i="3"/>
  <c r="Z156" i="3" s="1"/>
  <c r="N156" i="3"/>
  <c r="L156" i="3"/>
  <c r="B156" i="3"/>
  <c r="Z155" i="3"/>
  <c r="X155" i="3"/>
  <c r="N155" i="3"/>
  <c r="L155" i="3"/>
  <c r="B155" i="3"/>
  <c r="X154" i="3"/>
  <c r="Z154" i="3" s="1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X148" i="3"/>
  <c r="Z148" i="3" s="1"/>
  <c r="L148" i="3"/>
  <c r="N148" i="3" s="1"/>
  <c r="B148" i="3"/>
  <c r="Z147" i="3"/>
  <c r="X147" i="3"/>
  <c r="N147" i="3"/>
  <c r="L147" i="3"/>
  <c r="B147" i="3"/>
  <c r="X146" i="3"/>
  <c r="Z146" i="3" s="1"/>
  <c r="N146" i="3"/>
  <c r="L146" i="3"/>
  <c r="B146" i="3"/>
  <c r="Z145" i="3"/>
  <c r="X145" i="3"/>
  <c r="N145" i="3"/>
  <c r="L145" i="3"/>
  <c r="B145" i="3"/>
  <c r="X144" i="3"/>
  <c r="Z144" i="3" s="1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X140" i="3"/>
  <c r="Z140" i="3" s="1"/>
  <c r="L140" i="3"/>
  <c r="N140" i="3" s="1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X136" i="3"/>
  <c r="Z136" i="3" s="1"/>
  <c r="L136" i="3"/>
  <c r="N136" i="3" s="1"/>
  <c r="B136" i="3"/>
  <c r="Z135" i="3"/>
  <c r="X135" i="3"/>
  <c r="N135" i="3"/>
  <c r="L135" i="3"/>
  <c r="B135" i="3"/>
  <c r="Z134" i="3"/>
  <c r="X134" i="3"/>
  <c r="L134" i="3"/>
  <c r="N134" i="3" s="1"/>
  <c r="B134" i="3"/>
  <c r="Z133" i="3"/>
  <c r="X133" i="3"/>
  <c r="N133" i="3"/>
  <c r="L133" i="3"/>
  <c r="B133" i="3"/>
  <c r="X132" i="3"/>
  <c r="Z132" i="3" s="1"/>
  <c r="L132" i="3"/>
  <c r="N132" i="3" s="1"/>
  <c r="B132" i="3"/>
  <c r="Z131" i="3"/>
  <c r="X131" i="3"/>
  <c r="N131" i="3"/>
  <c r="L131" i="3"/>
  <c r="B131" i="3"/>
  <c r="X130" i="3"/>
  <c r="Z130" i="3" s="1"/>
  <c r="N130" i="3"/>
  <c r="L130" i="3"/>
  <c r="B130" i="3"/>
  <c r="Z129" i="3"/>
  <c r="X129" i="3"/>
  <c r="N129" i="3"/>
  <c r="L129" i="3"/>
  <c r="B129" i="3"/>
  <c r="X128" i="3"/>
  <c r="Z128" i="3" s="1"/>
  <c r="L128" i="3"/>
  <c r="N128" i="3" s="1"/>
  <c r="B128" i="3"/>
  <c r="Z127" i="3"/>
  <c r="X127" i="3"/>
  <c r="N127" i="3"/>
  <c r="L127" i="3"/>
  <c r="B127" i="3"/>
  <c r="Z126" i="3"/>
  <c r="X126" i="3"/>
  <c r="L126" i="3"/>
  <c r="N126" i="3" s="1"/>
  <c r="B126" i="3"/>
  <c r="Z125" i="3"/>
  <c r="X125" i="3"/>
  <c r="N125" i="3"/>
  <c r="L125" i="3"/>
  <c r="B125" i="3"/>
  <c r="X124" i="3"/>
  <c r="Z124" i="3" s="1"/>
  <c r="N124" i="3"/>
  <c r="L124" i="3"/>
  <c r="B124" i="3"/>
  <c r="Z123" i="3"/>
  <c r="X123" i="3"/>
  <c r="N123" i="3"/>
  <c r="L123" i="3"/>
  <c r="B123" i="3"/>
  <c r="X122" i="3"/>
  <c r="Z122" i="3" s="1"/>
  <c r="N122" i="3"/>
  <c r="L122" i="3"/>
  <c r="B122" i="3"/>
  <c r="Z121" i="3"/>
  <c r="X121" i="3"/>
  <c r="N121" i="3"/>
  <c r="L121" i="3"/>
  <c r="B121" i="3"/>
  <c r="X120" i="3"/>
  <c r="Z120" i="3" s="1"/>
  <c r="L120" i="3"/>
  <c r="N120" i="3" s="1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X116" i="3"/>
  <c r="Z116" i="3" s="1"/>
  <c r="N116" i="3"/>
  <c r="L116" i="3"/>
  <c r="B116" i="3"/>
  <c r="Z115" i="3"/>
  <c r="X115" i="3"/>
  <c r="N115" i="3"/>
  <c r="L115" i="3"/>
  <c r="B115" i="3"/>
  <c r="X114" i="3"/>
  <c r="Z114" i="3" s="1"/>
  <c r="N114" i="3"/>
  <c r="L114" i="3"/>
  <c r="B114" i="3"/>
  <c r="Z113" i="3"/>
  <c r="X113" i="3"/>
  <c r="N113" i="3"/>
  <c r="L113" i="3"/>
  <c r="B113" i="3"/>
  <c r="X112" i="3"/>
  <c r="Z112" i="3" s="1"/>
  <c r="L112" i="3"/>
  <c r="N112" i="3" s="1"/>
  <c r="B112" i="3"/>
  <c r="Z111" i="3"/>
  <c r="X111" i="3"/>
  <c r="N111" i="3"/>
  <c r="L111" i="3"/>
  <c r="B111" i="3"/>
  <c r="Z110" i="3"/>
  <c r="X110" i="3"/>
  <c r="L110" i="3"/>
  <c r="N110" i="3" s="1"/>
  <c r="B110" i="3"/>
  <c r="Z109" i="3"/>
  <c r="X109" i="3"/>
  <c r="N109" i="3"/>
  <c r="L109" i="3"/>
  <c r="B109" i="3"/>
  <c r="Z108" i="3"/>
  <c r="X108" i="3"/>
  <c r="N108" i="3"/>
  <c r="L108" i="3"/>
  <c r="B108" i="3"/>
  <c r="T107" i="3"/>
  <c r="P107" i="3"/>
  <c r="X107" i="3" s="1"/>
  <c r="H107" i="3"/>
  <c r="D107" i="3"/>
  <c r="L107" i="3" s="1"/>
  <c r="N107" i="3" s="1"/>
  <c r="Z105" i="3"/>
  <c r="X105" i="3"/>
  <c r="T105" i="3"/>
  <c r="P105" i="3"/>
  <c r="H105" i="3"/>
  <c r="N105" i="3" s="1"/>
  <c r="D105" i="3"/>
  <c r="L105" i="3" s="1"/>
  <c r="B105" i="3"/>
  <c r="Z104" i="3"/>
  <c r="X104" i="3"/>
  <c r="T104" i="3"/>
  <c r="P104" i="3"/>
  <c r="L104" i="3"/>
  <c r="H104" i="3"/>
  <c r="N104" i="3" s="1"/>
  <c r="D104" i="3"/>
  <c r="B104" i="3"/>
  <c r="T103" i="3"/>
  <c r="P103" i="3"/>
  <c r="X103" i="3" s="1"/>
  <c r="Z103" i="3" s="1"/>
  <c r="N103" i="3"/>
  <c r="H103" i="3"/>
  <c r="D103" i="3"/>
  <c r="L103" i="3" s="1"/>
  <c r="B103" i="3"/>
  <c r="T102" i="3"/>
  <c r="P102" i="3"/>
  <c r="X102" i="3" s="1"/>
  <c r="L102" i="3"/>
  <c r="H102" i="3"/>
  <c r="N102" i="3" s="1"/>
  <c r="D102" i="3"/>
  <c r="B102" i="3"/>
  <c r="T101" i="3"/>
  <c r="P101" i="3"/>
  <c r="X101" i="3" s="1"/>
  <c r="N101" i="3"/>
  <c r="L101" i="3"/>
  <c r="H101" i="3"/>
  <c r="D101" i="3"/>
  <c r="B101" i="3"/>
  <c r="X100" i="3"/>
  <c r="T100" i="3"/>
  <c r="Z100" i="3" s="1"/>
  <c r="P100" i="3"/>
  <c r="N100" i="3"/>
  <c r="L100" i="3"/>
  <c r="H100" i="3"/>
  <c r="D100" i="3"/>
  <c r="B100" i="3"/>
  <c r="T99" i="3"/>
  <c r="P99" i="3"/>
  <c r="X99" i="3" s="1"/>
  <c r="Z99" i="3" s="1"/>
  <c r="N99" i="3"/>
  <c r="H99" i="3"/>
  <c r="D99" i="3"/>
  <c r="L99" i="3" s="1"/>
  <c r="B99" i="3"/>
  <c r="X98" i="3"/>
  <c r="T98" i="3"/>
  <c r="Z98" i="3" s="1"/>
  <c r="P98" i="3"/>
  <c r="H98" i="3"/>
  <c r="D98" i="3"/>
  <c r="L98" i="3" s="1"/>
  <c r="B98" i="3"/>
  <c r="Z97" i="3"/>
  <c r="X97" i="3"/>
  <c r="T97" i="3"/>
  <c r="P97" i="3"/>
  <c r="H97" i="3"/>
  <c r="D97" i="3"/>
  <c r="L97" i="3" s="1"/>
  <c r="B97" i="3"/>
  <c r="Z96" i="3"/>
  <c r="X96" i="3"/>
  <c r="T96" i="3"/>
  <c r="P96" i="3"/>
  <c r="L96" i="3"/>
  <c r="H96" i="3"/>
  <c r="N96" i="3" s="1"/>
  <c r="D96" i="3"/>
  <c r="B96" i="3"/>
  <c r="T95" i="3"/>
  <c r="P95" i="3"/>
  <c r="X95" i="3" s="1"/>
  <c r="Z95" i="3" s="1"/>
  <c r="N95" i="3"/>
  <c r="H95" i="3"/>
  <c r="D95" i="3"/>
  <c r="L95" i="3" s="1"/>
  <c r="B95" i="3"/>
  <c r="T94" i="3"/>
  <c r="P94" i="3"/>
  <c r="X94" i="3" s="1"/>
  <c r="L94" i="3"/>
  <c r="H94" i="3"/>
  <c r="N94" i="3" s="1"/>
  <c r="D94" i="3"/>
  <c r="B94" i="3"/>
  <c r="T93" i="3"/>
  <c r="P93" i="3"/>
  <c r="X93" i="3" s="1"/>
  <c r="N93" i="3"/>
  <c r="L93" i="3"/>
  <c r="H93" i="3"/>
  <c r="D93" i="3"/>
  <c r="B93" i="3"/>
  <c r="X92" i="3"/>
  <c r="T92" i="3"/>
  <c r="P92" i="3"/>
  <c r="N92" i="3"/>
  <c r="L92" i="3"/>
  <c r="H92" i="3"/>
  <c r="D92" i="3"/>
  <c r="B92" i="3"/>
  <c r="Z91" i="3"/>
  <c r="T91" i="3"/>
  <c r="P91" i="3"/>
  <c r="X91" i="3" s="1"/>
  <c r="N91" i="3"/>
  <c r="H91" i="3"/>
  <c r="D91" i="3"/>
  <c r="L91" i="3" s="1"/>
  <c r="B91" i="3"/>
  <c r="X90" i="3"/>
  <c r="T90" i="3"/>
  <c r="Z90" i="3" s="1"/>
  <c r="P90" i="3"/>
  <c r="H90" i="3"/>
  <c r="N90" i="3" s="1"/>
  <c r="D90" i="3"/>
  <c r="L90" i="3" s="1"/>
  <c r="B90" i="3"/>
  <c r="Z89" i="3"/>
  <c r="X89" i="3"/>
  <c r="T89" i="3"/>
  <c r="P89" i="3"/>
  <c r="H89" i="3"/>
  <c r="D89" i="3"/>
  <c r="L89" i="3" s="1"/>
  <c r="B89" i="3"/>
  <c r="Z88" i="3"/>
  <c r="X88" i="3"/>
  <c r="T88" i="3"/>
  <c r="P88" i="3"/>
  <c r="L88" i="3"/>
  <c r="H88" i="3"/>
  <c r="D88" i="3"/>
  <c r="B88" i="3"/>
  <c r="T87" i="3"/>
  <c r="P87" i="3"/>
  <c r="X87" i="3" s="1"/>
  <c r="Z87" i="3" s="1"/>
  <c r="H87" i="3"/>
  <c r="D87" i="3"/>
  <c r="L87" i="3" s="1"/>
  <c r="N87" i="3" s="1"/>
  <c r="B87" i="3"/>
  <c r="T86" i="3"/>
  <c r="Z86" i="3" s="1"/>
  <c r="P86" i="3"/>
  <c r="X86" i="3" s="1"/>
  <c r="L86" i="3"/>
  <c r="H86" i="3"/>
  <c r="N86" i="3" s="1"/>
  <c r="D86" i="3"/>
  <c r="B86" i="3"/>
  <c r="T85" i="3"/>
  <c r="P85" i="3"/>
  <c r="N85" i="3"/>
  <c r="L85" i="3"/>
  <c r="H85" i="3"/>
  <c r="D85" i="3"/>
  <c r="B85" i="3"/>
  <c r="X84" i="3"/>
  <c r="T84" i="3"/>
  <c r="Z84" i="3" s="1"/>
  <c r="P84" i="3"/>
  <c r="N84" i="3"/>
  <c r="L84" i="3"/>
  <c r="H84" i="3"/>
  <c r="D84" i="3"/>
  <c r="B84" i="3"/>
  <c r="T83" i="3"/>
  <c r="P83" i="3"/>
  <c r="X83" i="3" s="1"/>
  <c r="Z83" i="3" s="1"/>
  <c r="H83" i="3"/>
  <c r="D83" i="3"/>
  <c r="L83" i="3" s="1"/>
  <c r="N83" i="3" s="1"/>
  <c r="B83" i="3"/>
  <c r="X82" i="3"/>
  <c r="T82" i="3"/>
  <c r="Z82" i="3" s="1"/>
  <c r="P82" i="3"/>
  <c r="H82" i="3"/>
  <c r="N82" i="3" s="1"/>
  <c r="D82" i="3"/>
  <c r="L82" i="3" s="1"/>
  <c r="B82" i="3"/>
  <c r="Z81" i="3"/>
  <c r="X81" i="3"/>
  <c r="T81" i="3"/>
  <c r="P81" i="3"/>
  <c r="H81" i="3"/>
  <c r="N81" i="3" s="1"/>
  <c r="D81" i="3"/>
  <c r="L81" i="3" s="1"/>
  <c r="B81" i="3"/>
  <c r="Z80" i="3"/>
  <c r="X80" i="3"/>
  <c r="T80" i="3"/>
  <c r="P80" i="3"/>
  <c r="L80" i="3"/>
  <c r="H80" i="3"/>
  <c r="N80" i="3" s="1"/>
  <c r="D80" i="3"/>
  <c r="B80" i="3"/>
  <c r="T79" i="3"/>
  <c r="P79" i="3"/>
  <c r="X79" i="3" s="1"/>
  <c r="Z79" i="3" s="1"/>
  <c r="N79" i="3"/>
  <c r="H79" i="3"/>
  <c r="D79" i="3"/>
  <c r="L79" i="3" s="1"/>
  <c r="B79" i="3"/>
  <c r="T78" i="3"/>
  <c r="Z78" i="3" s="1"/>
  <c r="P78" i="3"/>
  <c r="X78" i="3" s="1"/>
  <c r="L78" i="3"/>
  <c r="H78" i="3"/>
  <c r="N78" i="3" s="1"/>
  <c r="D78" i="3"/>
  <c r="B78" i="3"/>
  <c r="T77" i="3"/>
  <c r="P77" i="3"/>
  <c r="N77" i="3"/>
  <c r="L77" i="3"/>
  <c r="H77" i="3"/>
  <c r="D77" i="3"/>
  <c r="B77" i="3"/>
  <c r="X76" i="3"/>
  <c r="T76" i="3"/>
  <c r="Z76" i="3" s="1"/>
  <c r="P76" i="3"/>
  <c r="N76" i="3"/>
  <c r="L76" i="3"/>
  <c r="H76" i="3"/>
  <c r="D76" i="3"/>
  <c r="B76" i="3"/>
  <c r="Z75" i="3"/>
  <c r="T75" i="3"/>
  <c r="P75" i="3"/>
  <c r="X75" i="3" s="1"/>
  <c r="H75" i="3"/>
  <c r="D75" i="3"/>
  <c r="L75" i="3" s="1"/>
  <c r="N75" i="3" s="1"/>
  <c r="B75" i="3"/>
  <c r="X74" i="3"/>
  <c r="T74" i="3"/>
  <c r="Z74" i="3" s="1"/>
  <c r="P74" i="3"/>
  <c r="H74" i="3"/>
  <c r="N74" i="3" s="1"/>
  <c r="D74" i="3"/>
  <c r="L74" i="3" s="1"/>
  <c r="B74" i="3"/>
  <c r="Z73" i="3"/>
  <c r="X73" i="3"/>
  <c r="T73" i="3"/>
  <c r="P73" i="3"/>
  <c r="H73" i="3"/>
  <c r="D73" i="3"/>
  <c r="B73" i="3"/>
  <c r="Z72" i="3"/>
  <c r="X72" i="3"/>
  <c r="T72" i="3"/>
  <c r="P72" i="3"/>
  <c r="L72" i="3"/>
  <c r="H72" i="3"/>
  <c r="N72" i="3" s="1"/>
  <c r="D72" i="3"/>
  <c r="B72" i="3"/>
  <c r="T71" i="3"/>
  <c r="P71" i="3"/>
  <c r="X71" i="3" s="1"/>
  <c r="Z71" i="3" s="1"/>
  <c r="N71" i="3"/>
  <c r="H71" i="3"/>
  <c r="D71" i="3"/>
  <c r="L71" i="3" s="1"/>
  <c r="B71" i="3"/>
  <c r="T70" i="3"/>
  <c r="Z70" i="3" s="1"/>
  <c r="P70" i="3"/>
  <c r="X70" i="3" s="1"/>
  <c r="L70" i="3"/>
  <c r="H70" i="3"/>
  <c r="N70" i="3" s="1"/>
  <c r="D70" i="3"/>
  <c r="B70" i="3"/>
  <c r="T69" i="3"/>
  <c r="P69" i="3"/>
  <c r="X69" i="3" s="1"/>
  <c r="N69" i="3"/>
  <c r="L69" i="3"/>
  <c r="H69" i="3"/>
  <c r="D69" i="3"/>
  <c r="B69" i="3"/>
  <c r="X68" i="3"/>
  <c r="T68" i="3"/>
  <c r="Z68" i="3" s="1"/>
  <c r="P68" i="3"/>
  <c r="N68" i="3"/>
  <c r="L68" i="3"/>
  <c r="H68" i="3"/>
  <c r="D68" i="3"/>
  <c r="B68" i="3"/>
  <c r="T67" i="3"/>
  <c r="P67" i="3"/>
  <c r="X67" i="3" s="1"/>
  <c r="Z67" i="3" s="1"/>
  <c r="H67" i="3"/>
  <c r="D67" i="3"/>
  <c r="L67" i="3" s="1"/>
  <c r="N67" i="3" s="1"/>
  <c r="B67" i="3"/>
  <c r="X66" i="3"/>
  <c r="T66" i="3"/>
  <c r="Z66" i="3" s="1"/>
  <c r="P66" i="3"/>
  <c r="H66" i="3"/>
  <c r="D66" i="3"/>
  <c r="L66" i="3" s="1"/>
  <c r="B66" i="3"/>
  <c r="Z65" i="3"/>
  <c r="X65" i="3"/>
  <c r="T65" i="3"/>
  <c r="P65" i="3"/>
  <c r="H65" i="3"/>
  <c r="D65" i="3"/>
  <c r="L65" i="3" s="1"/>
  <c r="B65" i="3"/>
  <c r="Z64" i="3"/>
  <c r="X64" i="3"/>
  <c r="T64" i="3"/>
  <c r="P64" i="3"/>
  <c r="L64" i="3"/>
  <c r="H64" i="3"/>
  <c r="N64" i="3" s="1"/>
  <c r="D64" i="3"/>
  <c r="B64" i="3"/>
  <c r="T63" i="3"/>
  <c r="P63" i="3"/>
  <c r="X63" i="3" s="1"/>
  <c r="Z63" i="3" s="1"/>
  <c r="N63" i="3"/>
  <c r="H63" i="3"/>
  <c r="D63" i="3"/>
  <c r="L63" i="3" s="1"/>
  <c r="B63" i="3"/>
  <c r="T62" i="3"/>
  <c r="P62" i="3"/>
  <c r="X62" i="3" s="1"/>
  <c r="L62" i="3"/>
  <c r="H62" i="3"/>
  <c r="N62" i="3" s="1"/>
  <c r="D62" i="3"/>
  <c r="B62" i="3"/>
  <c r="T61" i="3"/>
  <c r="P61" i="3"/>
  <c r="X61" i="3" s="1"/>
  <c r="N61" i="3"/>
  <c r="L61" i="3"/>
  <c r="H61" i="3"/>
  <c r="D61" i="3"/>
  <c r="B61" i="3"/>
  <c r="X60" i="3"/>
  <c r="T60" i="3"/>
  <c r="Z60" i="3" s="1"/>
  <c r="P60" i="3"/>
  <c r="N60" i="3"/>
  <c r="L60" i="3"/>
  <c r="H60" i="3"/>
  <c r="D60" i="3"/>
  <c r="B60" i="3"/>
  <c r="T59" i="3"/>
  <c r="P59" i="3"/>
  <c r="X59" i="3" s="1"/>
  <c r="Z59" i="3" s="1"/>
  <c r="H59" i="3"/>
  <c r="D59" i="3"/>
  <c r="L59" i="3" s="1"/>
  <c r="N59" i="3" s="1"/>
  <c r="B59" i="3"/>
  <c r="X58" i="3"/>
  <c r="T58" i="3"/>
  <c r="Z58" i="3" s="1"/>
  <c r="P58" i="3"/>
  <c r="H58" i="3"/>
  <c r="N58" i="3" s="1"/>
  <c r="D58" i="3"/>
  <c r="L58" i="3" s="1"/>
  <c r="B58" i="3"/>
  <c r="Z57" i="3"/>
  <c r="X57" i="3"/>
  <c r="T57" i="3"/>
  <c r="P57" i="3"/>
  <c r="H57" i="3"/>
  <c r="N57" i="3" s="1"/>
  <c r="D57" i="3"/>
  <c r="L57" i="3" s="1"/>
  <c r="B57" i="3"/>
  <c r="Z56" i="3"/>
  <c r="X56" i="3"/>
  <c r="T56" i="3"/>
  <c r="P56" i="3"/>
  <c r="L56" i="3"/>
  <c r="H56" i="3"/>
  <c r="N56" i="3" s="1"/>
  <c r="D56" i="3"/>
  <c r="B56" i="3"/>
  <c r="T55" i="3"/>
  <c r="P55" i="3"/>
  <c r="X55" i="3" s="1"/>
  <c r="Z55" i="3" s="1"/>
  <c r="N55" i="3"/>
  <c r="H55" i="3"/>
  <c r="D55" i="3"/>
  <c r="L55" i="3" s="1"/>
  <c r="B55" i="3"/>
  <c r="T54" i="3"/>
  <c r="P54" i="3"/>
  <c r="X54" i="3" s="1"/>
  <c r="L54" i="3"/>
  <c r="H54" i="3"/>
  <c r="N54" i="3" s="1"/>
  <c r="D54" i="3"/>
  <c r="B54" i="3"/>
  <c r="T53" i="3"/>
  <c r="P53" i="3"/>
  <c r="N53" i="3"/>
  <c r="L53" i="3"/>
  <c r="H53" i="3"/>
  <c r="D53" i="3"/>
  <c r="B53" i="3"/>
  <c r="X52" i="3"/>
  <c r="T52" i="3"/>
  <c r="Z52" i="3" s="1"/>
  <c r="P52" i="3"/>
  <c r="N52" i="3"/>
  <c r="L52" i="3"/>
  <c r="H52" i="3"/>
  <c r="D52" i="3"/>
  <c r="B52" i="3"/>
  <c r="T51" i="3"/>
  <c r="P51" i="3"/>
  <c r="X51" i="3" s="1"/>
  <c r="Z51" i="3" s="1"/>
  <c r="N51" i="3"/>
  <c r="H51" i="3"/>
  <c r="D51" i="3"/>
  <c r="L51" i="3" s="1"/>
  <c r="B51" i="3"/>
  <c r="X50" i="3"/>
  <c r="T50" i="3"/>
  <c r="Z50" i="3" s="1"/>
  <c r="P50" i="3"/>
  <c r="H50" i="3"/>
  <c r="N50" i="3" s="1"/>
  <c r="D50" i="3"/>
  <c r="L50" i="3" s="1"/>
  <c r="B50" i="3"/>
  <c r="Z49" i="3"/>
  <c r="X49" i="3"/>
  <c r="T49" i="3"/>
  <c r="P49" i="3"/>
  <c r="H49" i="3"/>
  <c r="D49" i="3"/>
  <c r="B49" i="3"/>
  <c r="Z48" i="3"/>
  <c r="X48" i="3"/>
  <c r="T48" i="3"/>
  <c r="P48" i="3"/>
  <c r="L48" i="3"/>
  <c r="H48" i="3"/>
  <c r="N48" i="3" s="1"/>
  <c r="D48" i="3"/>
  <c r="B48" i="3"/>
  <c r="T47" i="3"/>
  <c r="P47" i="3"/>
  <c r="X47" i="3" s="1"/>
  <c r="Z47" i="3" s="1"/>
  <c r="N47" i="3"/>
  <c r="H47" i="3"/>
  <c r="D47" i="3"/>
  <c r="L47" i="3" s="1"/>
  <c r="B47" i="3"/>
  <c r="T46" i="3"/>
  <c r="Z46" i="3" s="1"/>
  <c r="P46" i="3"/>
  <c r="X46" i="3" s="1"/>
  <c r="L46" i="3"/>
  <c r="H46" i="3"/>
  <c r="N46" i="3" s="1"/>
  <c r="D46" i="3"/>
  <c r="B46" i="3"/>
  <c r="T45" i="3"/>
  <c r="P45" i="3"/>
  <c r="X45" i="3" s="1"/>
  <c r="N45" i="3"/>
  <c r="L45" i="3"/>
  <c r="H45" i="3"/>
  <c r="D45" i="3"/>
  <c r="B45" i="3"/>
  <c r="X44" i="3"/>
  <c r="T44" i="3"/>
  <c r="Z44" i="3" s="1"/>
  <c r="P44" i="3"/>
  <c r="N44" i="3"/>
  <c r="L44" i="3"/>
  <c r="H44" i="3"/>
  <c r="D44" i="3"/>
  <c r="B44" i="3"/>
  <c r="T43" i="3"/>
  <c r="P43" i="3"/>
  <c r="X43" i="3" s="1"/>
  <c r="Z43" i="3" s="1"/>
  <c r="H43" i="3"/>
  <c r="D43" i="3"/>
  <c r="L43" i="3" s="1"/>
  <c r="N43" i="3" s="1"/>
  <c r="B43" i="3"/>
  <c r="X42" i="3"/>
  <c r="T42" i="3"/>
  <c r="Z42" i="3" s="1"/>
  <c r="P42" i="3"/>
  <c r="H42" i="3"/>
  <c r="D42" i="3"/>
  <c r="L42" i="3" s="1"/>
  <c r="B42" i="3"/>
  <c r="Z41" i="3"/>
  <c r="X41" i="3"/>
  <c r="T41" i="3"/>
  <c r="P41" i="3"/>
  <c r="H41" i="3"/>
  <c r="D41" i="3"/>
  <c r="L41" i="3" s="1"/>
  <c r="B41" i="3"/>
  <c r="Z40" i="3"/>
  <c r="X40" i="3"/>
  <c r="T40" i="3"/>
  <c r="P40" i="3"/>
  <c r="L40" i="3"/>
  <c r="H40" i="3"/>
  <c r="D40" i="3"/>
  <c r="B40" i="3"/>
  <c r="T39" i="3"/>
  <c r="P39" i="3"/>
  <c r="X39" i="3" s="1"/>
  <c r="Z39" i="3" s="1"/>
  <c r="H39" i="3"/>
  <c r="D39" i="3"/>
  <c r="L39" i="3" s="1"/>
  <c r="N39" i="3" s="1"/>
  <c r="B39" i="3"/>
  <c r="T38" i="3"/>
  <c r="P38" i="3"/>
  <c r="X38" i="3" s="1"/>
  <c r="L38" i="3"/>
  <c r="H38" i="3"/>
  <c r="N38" i="3" s="1"/>
  <c r="D38" i="3"/>
  <c r="B38" i="3"/>
  <c r="T37" i="3"/>
  <c r="P37" i="3"/>
  <c r="N37" i="3"/>
  <c r="L37" i="3"/>
  <c r="H37" i="3"/>
  <c r="D37" i="3"/>
  <c r="B37" i="3"/>
  <c r="X36" i="3"/>
  <c r="T36" i="3"/>
  <c r="Z36" i="3" s="1"/>
  <c r="P36" i="3"/>
  <c r="N36" i="3"/>
  <c r="L36" i="3"/>
  <c r="H36" i="3"/>
  <c r="D36" i="3"/>
  <c r="B36" i="3"/>
  <c r="Z35" i="3"/>
  <c r="T35" i="3"/>
  <c r="P35" i="3"/>
  <c r="X35" i="3" s="1"/>
  <c r="H35" i="3"/>
  <c r="D35" i="3"/>
  <c r="L35" i="3" s="1"/>
  <c r="N35" i="3" s="1"/>
  <c r="B35" i="3"/>
  <c r="X34" i="3"/>
  <c r="T34" i="3"/>
  <c r="Z34" i="3" s="1"/>
  <c r="P34" i="3"/>
  <c r="H34" i="3"/>
  <c r="N34" i="3" s="1"/>
  <c r="D34" i="3"/>
  <c r="L34" i="3" s="1"/>
  <c r="B34" i="3"/>
  <c r="Z33" i="3"/>
  <c r="X33" i="3"/>
  <c r="T33" i="3"/>
  <c r="P33" i="3"/>
  <c r="H33" i="3"/>
  <c r="D33" i="3"/>
  <c r="L33" i="3" s="1"/>
  <c r="B33" i="3"/>
  <c r="Z32" i="3"/>
  <c r="X32" i="3"/>
  <c r="T32" i="3"/>
  <c r="P32" i="3"/>
  <c r="L32" i="3"/>
  <c r="H32" i="3"/>
  <c r="D32" i="3"/>
  <c r="B32" i="3"/>
  <c r="T31" i="3"/>
  <c r="P31" i="3"/>
  <c r="X31" i="3" s="1"/>
  <c r="Z31" i="3" s="1"/>
  <c r="H31" i="3"/>
  <c r="D31" i="3"/>
  <c r="L31" i="3" s="1"/>
  <c r="N31" i="3" s="1"/>
  <c r="B31" i="3"/>
  <c r="T30" i="3"/>
  <c r="Z30" i="3" s="1"/>
  <c r="P30" i="3"/>
  <c r="X30" i="3" s="1"/>
  <c r="L30" i="3"/>
  <c r="H30" i="3"/>
  <c r="N30" i="3" s="1"/>
  <c r="D30" i="3"/>
  <c r="B30" i="3"/>
  <c r="T29" i="3"/>
  <c r="P29" i="3"/>
  <c r="N29" i="3"/>
  <c r="L29" i="3"/>
  <c r="H29" i="3"/>
  <c r="D29" i="3"/>
  <c r="B29" i="3"/>
  <c r="X28" i="3"/>
  <c r="T28" i="3"/>
  <c r="Z28" i="3" s="1"/>
  <c r="P28" i="3"/>
  <c r="N28" i="3"/>
  <c r="L28" i="3"/>
  <c r="H28" i="3"/>
  <c r="D28" i="3"/>
  <c r="B28" i="3"/>
  <c r="Z27" i="3"/>
  <c r="T27" i="3"/>
  <c r="P27" i="3"/>
  <c r="X27" i="3" s="1"/>
  <c r="H27" i="3"/>
  <c r="D27" i="3"/>
  <c r="L27" i="3" s="1"/>
  <c r="N27" i="3" s="1"/>
  <c r="B27" i="3"/>
  <c r="X26" i="3"/>
  <c r="T26" i="3"/>
  <c r="Z26" i="3" s="1"/>
  <c r="P26" i="3"/>
  <c r="H26" i="3"/>
  <c r="N26" i="3" s="1"/>
  <c r="D26" i="3"/>
  <c r="L26" i="3" s="1"/>
  <c r="B26" i="3"/>
  <c r="Z25" i="3"/>
  <c r="X25" i="3"/>
  <c r="T25" i="3"/>
  <c r="P25" i="3"/>
  <c r="H25" i="3"/>
  <c r="N25" i="3" s="1"/>
  <c r="D25" i="3"/>
  <c r="L25" i="3" s="1"/>
  <c r="B25" i="3"/>
  <c r="Z24" i="3"/>
  <c r="X24" i="3"/>
  <c r="T24" i="3"/>
  <c r="P24" i="3"/>
  <c r="L24" i="3"/>
  <c r="H24" i="3"/>
  <c r="N24" i="3" s="1"/>
  <c r="D24" i="3"/>
  <c r="B24" i="3"/>
  <c r="T23" i="3"/>
  <c r="P23" i="3"/>
  <c r="X23" i="3" s="1"/>
  <c r="Z23" i="3" s="1"/>
  <c r="H23" i="3"/>
  <c r="D23" i="3"/>
  <c r="L23" i="3" s="1"/>
  <c r="N23" i="3" s="1"/>
  <c r="B23" i="3"/>
  <c r="T22" i="3"/>
  <c r="Z22" i="3" s="1"/>
  <c r="P22" i="3"/>
  <c r="X22" i="3" s="1"/>
  <c r="L22" i="3"/>
  <c r="H22" i="3"/>
  <c r="N22" i="3" s="1"/>
  <c r="D22" i="3"/>
  <c r="B22" i="3"/>
  <c r="T21" i="3"/>
  <c r="P21" i="3"/>
  <c r="N21" i="3"/>
  <c r="L21" i="3"/>
  <c r="H21" i="3"/>
  <c r="D21" i="3"/>
  <c r="B21" i="3"/>
  <c r="X20" i="3"/>
  <c r="T20" i="3"/>
  <c r="P20" i="3"/>
  <c r="N20" i="3"/>
  <c r="L20" i="3"/>
  <c r="H20" i="3"/>
  <c r="D20" i="3"/>
  <c r="B20" i="3"/>
  <c r="Z19" i="3"/>
  <c r="T19" i="3"/>
  <c r="P19" i="3"/>
  <c r="X19" i="3" s="1"/>
  <c r="H19" i="3"/>
  <c r="D19" i="3"/>
  <c r="L19" i="3" s="1"/>
  <c r="N19" i="3" s="1"/>
  <c r="B19" i="3"/>
  <c r="X18" i="3"/>
  <c r="T18" i="3"/>
  <c r="Z18" i="3" s="1"/>
  <c r="P18" i="3"/>
  <c r="H18" i="3"/>
  <c r="N18" i="3" s="1"/>
  <c r="D18" i="3"/>
  <c r="L18" i="3" s="1"/>
  <c r="B18" i="3"/>
  <c r="Z17" i="3"/>
  <c r="X17" i="3"/>
  <c r="T17" i="3"/>
  <c r="P17" i="3"/>
  <c r="H17" i="3"/>
  <c r="N17" i="3" s="1"/>
  <c r="D17" i="3"/>
  <c r="B17" i="3"/>
  <c r="Z16" i="3"/>
  <c r="X16" i="3"/>
  <c r="T16" i="3"/>
  <c r="P16" i="3"/>
  <c r="L16" i="3"/>
  <c r="H16" i="3"/>
  <c r="N16" i="3" s="1"/>
  <c r="D16" i="3"/>
  <c r="B16" i="3"/>
  <c r="T15" i="3"/>
  <c r="P15" i="3"/>
  <c r="X15" i="3" s="1"/>
  <c r="Z15" i="3" s="1"/>
  <c r="N15" i="3"/>
  <c r="H15" i="3"/>
  <c r="D15" i="3"/>
  <c r="L15" i="3" s="1"/>
  <c r="B15" i="3"/>
  <c r="T14" i="3"/>
  <c r="P14" i="3"/>
  <c r="L14" i="3"/>
  <c r="H14" i="3"/>
  <c r="N14" i="3" s="1"/>
  <c r="D14" i="3"/>
  <c r="B14" i="3"/>
  <c r="T13" i="3"/>
  <c r="P13" i="3"/>
  <c r="X13" i="3" s="1"/>
  <c r="N13" i="3"/>
  <c r="L13" i="3"/>
  <c r="H13" i="3"/>
  <c r="D13" i="3"/>
  <c r="B13" i="3"/>
  <c r="D4" i="3"/>
  <c r="X12" i="5" l="1"/>
  <c r="L13" i="13"/>
  <c r="L21" i="35"/>
  <c r="X25" i="35"/>
  <c r="X20" i="37"/>
  <c r="X22" i="46"/>
  <c r="L25" i="22"/>
  <c r="X34" i="24"/>
  <c r="L16" i="98"/>
  <c r="X24" i="100"/>
  <c r="X13" i="4"/>
  <c r="X33" i="4"/>
  <c r="L16" i="5"/>
  <c r="L33" i="8"/>
  <c r="L25" i="11"/>
  <c r="L25" i="47"/>
  <c r="X25" i="52"/>
  <c r="X25" i="7"/>
  <c r="L16" i="8"/>
  <c r="X34" i="16"/>
  <c r="X24" i="17"/>
  <c r="L21" i="19"/>
  <c r="X20" i="24"/>
  <c r="L22" i="24"/>
  <c r="L22" i="26"/>
  <c r="X22" i="40"/>
  <c r="L22" i="98"/>
  <c r="L25" i="14"/>
  <c r="X29" i="24"/>
  <c r="X15" i="53"/>
  <c r="X20" i="5"/>
  <c r="X15" i="8"/>
  <c r="X29" i="8"/>
  <c r="X34" i="8"/>
  <c r="X15" i="11"/>
  <c r="X22" i="14"/>
  <c r="L22" i="16"/>
  <c r="L34" i="16"/>
  <c r="L24" i="17"/>
  <c r="X21" i="27"/>
  <c r="X24" i="29"/>
  <c r="L21" i="37"/>
  <c r="L25" i="7"/>
  <c r="L25" i="10"/>
  <c r="X33" i="14"/>
  <c r="L13" i="33"/>
  <c r="L25" i="33"/>
  <c r="X13" i="43"/>
  <c r="L13" i="46"/>
  <c r="L16" i="17"/>
  <c r="X15" i="19"/>
  <c r="L15" i="23"/>
  <c r="L29" i="23"/>
  <c r="L21" i="30"/>
  <c r="L21" i="33"/>
  <c r="L15" i="41"/>
  <c r="L29" i="41"/>
  <c r="X21" i="43"/>
  <c r="L29" i="43"/>
  <c r="X33" i="46"/>
  <c r="X29" i="4"/>
  <c r="L33" i="7"/>
  <c r="L25" i="30"/>
  <c r="X16" i="30"/>
  <c r="L34" i="32"/>
  <c r="X16" i="33"/>
  <c r="L33" i="38"/>
  <c r="X29" i="40"/>
  <c r="L12" i="46"/>
  <c r="L24" i="46"/>
  <c r="X33" i="47"/>
  <c r="X21" i="7"/>
  <c r="L29" i="7"/>
  <c r="L34" i="7"/>
  <c r="X16" i="11"/>
  <c r="L22" i="13"/>
  <c r="X25" i="17"/>
  <c r="X29" i="20"/>
  <c r="L21" i="27"/>
  <c r="L29" i="38"/>
  <c r="L34" i="38"/>
  <c r="X13" i="40"/>
  <c r="X20" i="4"/>
  <c r="X34" i="5"/>
  <c r="X15" i="10"/>
  <c r="X34" i="10"/>
  <c r="X24" i="11"/>
  <c r="L25" i="52"/>
  <c r="L33" i="14"/>
  <c r="X13" i="46"/>
  <c r="L25" i="99"/>
  <c r="X15" i="33"/>
  <c r="X22" i="38"/>
  <c r="P18" i="44"/>
  <c r="P27" i="44" s="1"/>
  <c r="P31" i="44" s="1"/>
  <c r="P36" i="44" s="1"/>
  <c r="L20" i="44"/>
  <c r="X24" i="44"/>
  <c r="L29" i="98"/>
  <c r="X13" i="99"/>
  <c r="L21" i="99"/>
  <c r="X25" i="99"/>
  <c r="L33" i="100"/>
  <c r="L24" i="4"/>
  <c r="X25" i="10"/>
  <c r="X33" i="10"/>
  <c r="X13" i="24"/>
  <c r="X25" i="24"/>
  <c r="X25" i="26"/>
  <c r="X33" i="26"/>
  <c r="L25" i="27"/>
  <c r="L20" i="37"/>
  <c r="X20" i="43"/>
  <c r="X24" i="46"/>
  <c r="X16" i="50"/>
  <c r="L24" i="50"/>
  <c r="X16" i="99"/>
  <c r="L24" i="99"/>
  <c r="X33" i="22"/>
  <c r="L13" i="24"/>
  <c r="X16" i="40"/>
  <c r="L13" i="43"/>
  <c r="L25" i="43"/>
  <c r="L33" i="43"/>
  <c r="X24" i="49"/>
  <c r="X21" i="50"/>
  <c r="L34" i="50"/>
  <c r="L15" i="53"/>
  <c r="L29" i="53"/>
  <c r="L29" i="4"/>
  <c r="X16" i="5"/>
  <c r="L24" i="5"/>
  <c r="X13" i="8"/>
  <c r="L21" i="8"/>
  <c r="X33" i="11"/>
  <c r="L15" i="14"/>
  <c r="L34" i="14"/>
  <c r="X13" i="23"/>
  <c r="L16" i="24"/>
  <c r="L22" i="27"/>
  <c r="L13" i="29"/>
  <c r="L29" i="30"/>
  <c r="X24" i="32"/>
  <c r="L29" i="40"/>
  <c r="L34" i="40"/>
  <c r="X16" i="41"/>
  <c r="X29" i="52"/>
  <c r="L15" i="11"/>
  <c r="L33" i="13"/>
  <c r="X34" i="20"/>
  <c r="X15" i="22"/>
  <c r="L20" i="23"/>
  <c r="L29" i="24"/>
  <c r="L34" i="24"/>
  <c r="L15" i="26"/>
  <c r="X21" i="26"/>
  <c r="L29" i="26"/>
  <c r="X25" i="27"/>
  <c r="X33" i="27"/>
  <c r="L21" i="46"/>
  <c r="L33" i="53"/>
  <c r="L25" i="40"/>
  <c r="L33" i="40"/>
  <c r="J34" i="41"/>
  <c r="R24" i="37"/>
  <c r="X13" i="50"/>
  <c r="Z12" i="17"/>
  <c r="Z12" i="46"/>
  <c r="L15" i="5"/>
  <c r="L29" i="5"/>
  <c r="L12" i="7"/>
  <c r="L15" i="7"/>
  <c r="L33" i="10"/>
  <c r="X20" i="11"/>
  <c r="X22" i="13"/>
  <c r="L24" i="19"/>
  <c r="X22" i="20"/>
  <c r="X16" i="26"/>
  <c r="L24" i="26"/>
  <c r="X22" i="27"/>
  <c r="X25" i="29"/>
  <c r="L13" i="30"/>
  <c r="L15" i="33"/>
  <c r="L34" i="33"/>
  <c r="X16" i="38"/>
  <c r="X33" i="38"/>
  <c r="L22" i="46"/>
  <c r="X22" i="50"/>
  <c r="X13" i="98"/>
  <c r="X34" i="99"/>
  <c r="X21" i="100"/>
  <c r="L24" i="16"/>
  <c r="L13" i="17"/>
  <c r="X24" i="19"/>
  <c r="V22" i="20"/>
  <c r="X22" i="22"/>
  <c r="L25" i="23"/>
  <c r="L33" i="23"/>
  <c r="L16" i="30"/>
  <c r="J15" i="43"/>
  <c r="L34" i="47"/>
  <c r="J18" i="49"/>
  <c r="F16" i="17"/>
  <c r="F15" i="20"/>
  <c r="X29" i="43"/>
  <c r="X34" i="43"/>
  <c r="L29" i="44"/>
  <c r="Z12" i="47"/>
  <c r="L20" i="49"/>
  <c r="L20" i="52"/>
  <c r="L29" i="52"/>
  <c r="L33" i="5"/>
  <c r="X34" i="26"/>
  <c r="L13" i="19"/>
  <c r="X24" i="20"/>
  <c r="L29" i="22"/>
  <c r="L13" i="26"/>
  <c r="X29" i="27"/>
  <c r="X15" i="37"/>
  <c r="X12" i="44"/>
  <c r="L20" i="11"/>
  <c r="V15" i="16"/>
  <c r="X21" i="17"/>
  <c r="F29" i="37"/>
  <c r="X34" i="52"/>
  <c r="L21" i="100"/>
  <c r="N12" i="11"/>
  <c r="V29" i="11"/>
  <c r="F31" i="17"/>
  <c r="V36" i="19"/>
  <c r="R16" i="30"/>
  <c r="X22" i="30"/>
  <c r="F25" i="30"/>
  <c r="L16" i="33"/>
  <c r="X15" i="43"/>
  <c r="L20" i="43"/>
  <c r="J27" i="100"/>
  <c r="V16" i="5"/>
  <c r="J15" i="10"/>
  <c r="J33" i="10"/>
  <c r="J36" i="10"/>
  <c r="V31" i="11"/>
  <c r="F24" i="20"/>
  <c r="V20" i="27"/>
  <c r="N12" i="29"/>
  <c r="Z22" i="30"/>
  <c r="V25" i="35"/>
  <c r="X16" i="37"/>
  <c r="X21" i="38"/>
  <c r="X16" i="44"/>
  <c r="L21" i="50"/>
  <c r="L16" i="52"/>
  <c r="L21" i="4"/>
  <c r="X25" i="4"/>
  <c r="Z12" i="5"/>
  <c r="L24" i="11"/>
  <c r="X25" i="11"/>
  <c r="F16" i="13"/>
  <c r="X33" i="16"/>
  <c r="X33" i="19"/>
  <c r="L13" i="32"/>
  <c r="F22" i="32"/>
  <c r="X24" i="35"/>
  <c r="L16" i="40"/>
  <c r="V16" i="41"/>
  <c r="Z16" i="44"/>
  <c r="L34" i="46"/>
  <c r="L16" i="49"/>
  <c r="X20" i="49"/>
  <c r="X34" i="49"/>
  <c r="F21" i="50"/>
  <c r="V34" i="52"/>
  <c r="F22" i="8"/>
  <c r="F34" i="13"/>
  <c r="R15" i="19"/>
  <c r="R18" i="19"/>
  <c r="R25" i="24"/>
  <c r="L33" i="27"/>
  <c r="R24" i="29"/>
  <c r="J15" i="37"/>
  <c r="F18" i="37"/>
  <c r="V25" i="47"/>
  <c r="T18" i="50"/>
  <c r="Z18" i="50" s="1"/>
  <c r="X16" i="14"/>
  <c r="F20" i="17"/>
  <c r="L34" i="19"/>
  <c r="X15" i="24"/>
  <c r="X20" i="30"/>
  <c r="X25" i="30"/>
  <c r="L20" i="33"/>
  <c r="X33" i="52"/>
  <c r="X22" i="98"/>
  <c r="X20" i="99"/>
  <c r="R15" i="4"/>
  <c r="J22" i="10"/>
  <c r="X25" i="23"/>
  <c r="R15" i="24"/>
  <c r="J33" i="27"/>
  <c r="R20" i="30"/>
  <c r="X33" i="30"/>
  <c r="F33" i="32"/>
  <c r="V20" i="35"/>
  <c r="L13" i="37"/>
  <c r="X13" i="38"/>
  <c r="L16" i="38"/>
  <c r="L15" i="40"/>
  <c r="R16" i="40"/>
  <c r="X25" i="40"/>
  <c r="L22" i="41"/>
  <c r="L21" i="43"/>
  <c r="X25" i="43"/>
  <c r="L22" i="44"/>
  <c r="X34" i="44"/>
  <c r="X12" i="46"/>
  <c r="J25" i="49"/>
  <c r="X22" i="5"/>
  <c r="V21" i="7"/>
  <c r="X33" i="8"/>
  <c r="X22" i="10"/>
  <c r="L16" i="11"/>
  <c r="V33" i="11"/>
  <c r="L20" i="13"/>
  <c r="X21" i="13"/>
  <c r="L29" i="14"/>
  <c r="N13" i="17"/>
  <c r="L22" i="17"/>
  <c r="X34" i="19"/>
  <c r="L25" i="20"/>
  <c r="L33" i="20"/>
  <c r="X33" i="24"/>
  <c r="J27" i="27"/>
  <c r="L34" i="30"/>
  <c r="X20" i="33"/>
  <c r="X29" i="33"/>
  <c r="L24" i="40"/>
  <c r="L16" i="41"/>
  <c r="L25" i="41"/>
  <c r="L24" i="43"/>
  <c r="L16" i="44"/>
  <c r="X21" i="46"/>
  <c r="X25" i="46"/>
  <c r="X15" i="49"/>
  <c r="X33" i="49"/>
  <c r="L16" i="50"/>
  <c r="X33" i="53"/>
  <c r="L20" i="98"/>
  <c r="L24" i="98"/>
  <c r="L16" i="99"/>
  <c r="X20" i="100"/>
  <c r="R21" i="100"/>
  <c r="X16" i="4"/>
  <c r="R20" i="4"/>
  <c r="R21" i="4"/>
  <c r="V22" i="4"/>
  <c r="L25" i="4"/>
  <c r="L21" i="5"/>
  <c r="F36" i="5"/>
  <c r="X16" i="7"/>
  <c r="L13" i="8"/>
  <c r="F18" i="8"/>
  <c r="L24" i="10"/>
  <c r="X29" i="10"/>
  <c r="J15" i="11"/>
  <c r="L22" i="11"/>
  <c r="X29" i="11"/>
  <c r="X13" i="13"/>
  <c r="L34" i="13"/>
  <c r="X13" i="14"/>
  <c r="J18" i="14"/>
  <c r="J21" i="14"/>
  <c r="J29" i="14"/>
  <c r="X29" i="30"/>
  <c r="Z29" i="30"/>
  <c r="J18" i="35"/>
  <c r="J24" i="35"/>
  <c r="J21" i="35"/>
  <c r="V36" i="98"/>
  <c r="V21" i="98"/>
  <c r="Z22" i="99"/>
  <c r="X22" i="99"/>
  <c r="R16" i="4"/>
  <c r="L25" i="5"/>
  <c r="V33" i="5"/>
  <c r="V15" i="8"/>
  <c r="R18" i="8"/>
  <c r="F24" i="10"/>
  <c r="X21" i="14"/>
  <c r="J25" i="14"/>
  <c r="J33" i="16"/>
  <c r="J27" i="16"/>
  <c r="X20" i="16"/>
  <c r="V18" i="38"/>
  <c r="V29" i="38"/>
  <c r="V24" i="38"/>
  <c r="V15" i="38"/>
  <c r="R34" i="53"/>
  <c r="R29" i="53"/>
  <c r="R22" i="53"/>
  <c r="R18" i="53"/>
  <c r="R33" i="53"/>
  <c r="R15" i="53"/>
  <c r="R36" i="53"/>
  <c r="R16" i="53"/>
  <c r="R20" i="53"/>
  <c r="X12" i="53"/>
  <c r="R21" i="53"/>
  <c r="R29" i="4"/>
  <c r="V22" i="5"/>
  <c r="X15" i="7"/>
  <c r="R21" i="8"/>
  <c r="V22" i="8"/>
  <c r="J24" i="13"/>
  <c r="J36" i="14"/>
  <c r="R36" i="16"/>
  <c r="R31" i="16"/>
  <c r="R25" i="16"/>
  <c r="V24" i="29"/>
  <c r="V27" i="29"/>
  <c r="V31" i="29"/>
  <c r="Z12" i="29"/>
  <c r="L13" i="4"/>
  <c r="F18" i="4"/>
  <c r="L22" i="4"/>
  <c r="R25" i="4"/>
  <c r="L34" i="4"/>
  <c r="V15" i="5"/>
  <c r="V29" i="5"/>
  <c r="V15" i="7"/>
  <c r="V29" i="7"/>
  <c r="V29" i="8"/>
  <c r="L15" i="10"/>
  <c r="X24" i="10"/>
  <c r="V15" i="11"/>
  <c r="H18" i="11"/>
  <c r="H27" i="11" s="1"/>
  <c r="L21" i="11"/>
  <c r="F31" i="11"/>
  <c r="R25" i="13"/>
  <c r="X20" i="14"/>
  <c r="V18" i="16"/>
  <c r="V22" i="16"/>
  <c r="V25" i="16"/>
  <c r="V29" i="16"/>
  <c r="V36" i="16"/>
  <c r="V21" i="16"/>
  <c r="X16" i="16"/>
  <c r="X29" i="19"/>
  <c r="V16" i="33"/>
  <c r="V36" i="37"/>
  <c r="T18" i="37"/>
  <c r="Z20" i="40"/>
  <c r="X20" i="40"/>
  <c r="R34" i="47"/>
  <c r="R24" i="47"/>
  <c r="R20" i="47"/>
  <c r="R33" i="47"/>
  <c r="R29" i="47"/>
  <c r="R18" i="4"/>
  <c r="F22" i="4"/>
  <c r="V29" i="4"/>
  <c r="V21" i="5"/>
  <c r="J31" i="5"/>
  <c r="F16" i="10"/>
  <c r="R16" i="13"/>
  <c r="J15" i="14"/>
  <c r="L22" i="14"/>
  <c r="X12" i="16"/>
  <c r="R36" i="20"/>
  <c r="R18" i="20"/>
  <c r="X24" i="47"/>
  <c r="R24" i="4"/>
  <c r="V25" i="4"/>
  <c r="V25" i="5"/>
  <c r="L20" i="7"/>
  <c r="X34" i="7"/>
  <c r="N16" i="8"/>
  <c r="V25" i="8"/>
  <c r="X21" i="11"/>
  <c r="F34" i="11"/>
  <c r="R15" i="13"/>
  <c r="X24" i="13"/>
  <c r="V24" i="14"/>
  <c r="R15" i="16"/>
  <c r="R33" i="17"/>
  <c r="R18" i="17"/>
  <c r="L15" i="100"/>
  <c r="N15" i="100"/>
  <c r="L20" i="4"/>
  <c r="L12" i="5"/>
  <c r="X13" i="5"/>
  <c r="J27" i="5"/>
  <c r="L16" i="7"/>
  <c r="X24" i="7"/>
  <c r="Z25" i="7"/>
  <c r="R24" i="8"/>
  <c r="X25" i="8"/>
  <c r="R36" i="8"/>
  <c r="X16" i="10"/>
  <c r="F29" i="10"/>
  <c r="R18" i="13"/>
  <c r="X15" i="14"/>
  <c r="J31" i="14"/>
  <c r="L13" i="16"/>
  <c r="P18" i="16"/>
  <c r="R21" i="20"/>
  <c r="V34" i="100"/>
  <c r="T18" i="100"/>
  <c r="T27" i="100" s="1"/>
  <c r="T31" i="100" s="1"/>
  <c r="T36" i="100" s="1"/>
  <c r="Z36" i="100" s="1"/>
  <c r="R36" i="4"/>
  <c r="R15" i="8"/>
  <c r="V36" i="8"/>
  <c r="F25" i="10"/>
  <c r="F16" i="11"/>
  <c r="J33" i="11"/>
  <c r="H18" i="14"/>
  <c r="H27" i="14" s="1"/>
  <c r="R29" i="26"/>
  <c r="R15" i="26"/>
  <c r="R16" i="26"/>
  <c r="R20" i="26"/>
  <c r="R36" i="26"/>
  <c r="R21" i="26"/>
  <c r="N20" i="46"/>
  <c r="L20" i="46"/>
  <c r="V22" i="17"/>
  <c r="X34" i="17"/>
  <c r="V18" i="19"/>
  <c r="R29" i="19"/>
  <c r="V20" i="20"/>
  <c r="F25" i="20"/>
  <c r="L34" i="20"/>
  <c r="X13" i="22"/>
  <c r="J16" i="23"/>
  <c r="X21" i="24"/>
  <c r="R31" i="24"/>
  <c r="L33" i="26"/>
  <c r="X16" i="27"/>
  <c r="L22" i="29"/>
  <c r="X33" i="29"/>
  <c r="L24" i="30"/>
  <c r="X33" i="33"/>
  <c r="L22" i="35"/>
  <c r="X24" i="37"/>
  <c r="R15" i="40"/>
  <c r="L20" i="41"/>
  <c r="X25" i="41"/>
  <c r="V31" i="41"/>
  <c r="X16" i="43"/>
  <c r="L13" i="44"/>
  <c r="F36" i="46"/>
  <c r="X16" i="47"/>
  <c r="L21" i="47"/>
  <c r="X22" i="47"/>
  <c r="V36" i="47"/>
  <c r="L15" i="52"/>
  <c r="X22" i="52"/>
  <c r="R33" i="52"/>
  <c r="V31" i="53"/>
  <c r="X12" i="98"/>
  <c r="L34" i="98"/>
  <c r="J20" i="99"/>
  <c r="R21" i="99"/>
  <c r="V22" i="99"/>
  <c r="R18" i="100"/>
  <c r="L29" i="100"/>
  <c r="R21" i="19"/>
  <c r="V16" i="20"/>
  <c r="F33" i="20"/>
  <c r="R34" i="24"/>
  <c r="L13" i="27"/>
  <c r="J36" i="27"/>
  <c r="L15" i="29"/>
  <c r="X22" i="29"/>
  <c r="X29" i="29"/>
  <c r="Z12" i="32"/>
  <c r="F29" i="32"/>
  <c r="Z12" i="35"/>
  <c r="X33" i="37"/>
  <c r="R18" i="40"/>
  <c r="F25" i="40"/>
  <c r="V21" i="41"/>
  <c r="V27" i="41"/>
  <c r="H18" i="43"/>
  <c r="H27" i="43" s="1"/>
  <c r="R15" i="46"/>
  <c r="F18" i="46"/>
  <c r="X20" i="46"/>
  <c r="R22" i="46"/>
  <c r="F29" i="46"/>
  <c r="F20" i="47"/>
  <c r="X21" i="47"/>
  <c r="V27" i="47"/>
  <c r="V29" i="47"/>
  <c r="V33" i="47"/>
  <c r="X25" i="49"/>
  <c r="J33" i="49"/>
  <c r="F15" i="50"/>
  <c r="V29" i="50"/>
  <c r="X12" i="52"/>
  <c r="X21" i="52"/>
  <c r="V22" i="52"/>
  <c r="V33" i="52"/>
  <c r="L22" i="53"/>
  <c r="X24" i="53"/>
  <c r="F27" i="53"/>
  <c r="X29" i="98"/>
  <c r="X34" i="98"/>
  <c r="V21" i="99"/>
  <c r="J34" i="100"/>
  <c r="V16" i="17"/>
  <c r="V20" i="17"/>
  <c r="F22" i="17"/>
  <c r="F27" i="17"/>
  <c r="R25" i="19"/>
  <c r="V15" i="20"/>
  <c r="F22" i="20"/>
  <c r="J24" i="20"/>
  <c r="J18" i="22"/>
  <c r="L20" i="27"/>
  <c r="J21" i="29"/>
  <c r="F34" i="29"/>
  <c r="F21" i="30"/>
  <c r="X15" i="32"/>
  <c r="F18" i="32"/>
  <c r="F21" i="32"/>
  <c r="V33" i="35"/>
  <c r="X22" i="37"/>
  <c r="L25" i="38"/>
  <c r="L20" i="40"/>
  <c r="R18" i="46"/>
  <c r="R21" i="46"/>
  <c r="V33" i="46"/>
  <c r="L29" i="47"/>
  <c r="V31" i="47"/>
  <c r="J24" i="49"/>
  <c r="J36" i="49"/>
  <c r="F24" i="50"/>
  <c r="L13" i="98"/>
  <c r="X20" i="98"/>
  <c r="Z29" i="98"/>
  <c r="R34" i="98"/>
  <c r="L29" i="99"/>
  <c r="L34" i="99"/>
  <c r="X13" i="100"/>
  <c r="L25" i="100"/>
  <c r="X34" i="100"/>
  <c r="F18" i="17"/>
  <c r="R16" i="19"/>
  <c r="R20" i="19"/>
  <c r="F21" i="20"/>
  <c r="V25" i="20"/>
  <c r="F36" i="20"/>
  <c r="X21" i="23"/>
  <c r="R33" i="24"/>
  <c r="Z25" i="30"/>
  <c r="F20" i="37"/>
  <c r="F34" i="37"/>
  <c r="F15" i="40"/>
  <c r="F33" i="40"/>
  <c r="V20" i="41"/>
  <c r="V34" i="43"/>
  <c r="V18" i="46"/>
  <c r="V20" i="46"/>
  <c r="V22" i="46"/>
  <c r="F25" i="47"/>
  <c r="F29" i="47"/>
  <c r="V36" i="50"/>
  <c r="L33" i="16"/>
  <c r="R24" i="19"/>
  <c r="L16" i="20"/>
  <c r="V36" i="20"/>
  <c r="X29" i="26"/>
  <c r="L16" i="27"/>
  <c r="R21" i="29"/>
  <c r="L12" i="30"/>
  <c r="L15" i="30"/>
  <c r="X21" i="30"/>
  <c r="F20" i="32"/>
  <c r="F25" i="32"/>
  <c r="V15" i="35"/>
  <c r="V31" i="35"/>
  <c r="L12" i="37"/>
  <c r="F16" i="37"/>
  <c r="R21" i="37"/>
  <c r="F31" i="37"/>
  <c r="L34" i="37"/>
  <c r="V21" i="46"/>
  <c r="F25" i="46"/>
  <c r="F16" i="47"/>
  <c r="N12" i="49"/>
  <c r="F22" i="50"/>
  <c r="V15" i="52"/>
  <c r="V25" i="52"/>
  <c r="X22" i="53"/>
  <c r="N12" i="98"/>
  <c r="X25" i="98"/>
  <c r="L25" i="16"/>
  <c r="L29" i="16"/>
  <c r="X29" i="17"/>
  <c r="L34" i="17"/>
  <c r="V15" i="19"/>
  <c r="P18" i="19"/>
  <c r="P27" i="19" s="1"/>
  <c r="P31" i="19" s="1"/>
  <c r="R33" i="19"/>
  <c r="R36" i="19"/>
  <c r="L12" i="20"/>
  <c r="F16" i="20"/>
  <c r="V33" i="20"/>
  <c r="L22" i="22"/>
  <c r="X20" i="23"/>
  <c r="X33" i="23"/>
  <c r="X16" i="24"/>
  <c r="L21" i="24"/>
  <c r="L25" i="26"/>
  <c r="F16" i="27"/>
  <c r="R20" i="29"/>
  <c r="R21" i="30"/>
  <c r="X34" i="32"/>
  <c r="X22" i="33"/>
  <c r="L33" i="35"/>
  <c r="X34" i="35"/>
  <c r="X25" i="37"/>
  <c r="X20" i="38"/>
  <c r="V25" i="40"/>
  <c r="L21" i="41"/>
  <c r="X22" i="41"/>
  <c r="L16" i="43"/>
  <c r="X24" i="43"/>
  <c r="L21" i="44"/>
  <c r="L25" i="44"/>
  <c r="V31" i="44"/>
  <c r="F16" i="46"/>
  <c r="F20" i="46"/>
  <c r="X34" i="46"/>
  <c r="F22" i="47"/>
  <c r="J22" i="49"/>
  <c r="X29" i="49"/>
  <c r="V15" i="50"/>
  <c r="F29" i="50"/>
  <c r="X13" i="52"/>
  <c r="L22" i="52"/>
  <c r="X24" i="52"/>
  <c r="V27" i="52"/>
  <c r="L34" i="53"/>
  <c r="L15" i="98"/>
  <c r="L21" i="98"/>
  <c r="X33" i="98"/>
  <c r="L20" i="99"/>
  <c r="X16" i="100"/>
  <c r="X33" i="100"/>
  <c r="F18" i="14"/>
  <c r="F31" i="14"/>
  <c r="F21" i="14"/>
  <c r="F15" i="14"/>
  <c r="D18" i="14"/>
  <c r="D27" i="14" s="1"/>
  <c r="L12" i="14"/>
  <c r="F27" i="14"/>
  <c r="X24" i="4"/>
  <c r="X15" i="5"/>
  <c r="T18" i="5"/>
  <c r="Z18" i="5" s="1"/>
  <c r="F20" i="7"/>
  <c r="F34" i="7"/>
  <c r="F33" i="7"/>
  <c r="F25" i="7"/>
  <c r="F22" i="7"/>
  <c r="F24" i="7"/>
  <c r="F36" i="7"/>
  <c r="F21" i="13"/>
  <c r="F18" i="13"/>
  <c r="F27" i="13"/>
  <c r="F24" i="13"/>
  <c r="F22" i="13"/>
  <c r="F20" i="13"/>
  <c r="L20" i="19"/>
  <c r="N20" i="19"/>
  <c r="F24" i="22"/>
  <c r="L33" i="22"/>
  <c r="N22" i="23"/>
  <c r="L22" i="23"/>
  <c r="J20" i="24"/>
  <c r="J34" i="24"/>
  <c r="J33" i="24"/>
  <c r="J15" i="24"/>
  <c r="J29" i="24"/>
  <c r="J22" i="24"/>
  <c r="J31" i="24"/>
  <c r="J27" i="24"/>
  <c r="N12" i="24"/>
  <c r="N24" i="24"/>
  <c r="L24" i="24"/>
  <c r="L50" i="77"/>
  <c r="N50" i="77" s="1"/>
  <c r="Z21" i="10"/>
  <c r="X21" i="10"/>
  <c r="N25" i="13"/>
  <c r="L25" i="13"/>
  <c r="V36" i="24"/>
  <c r="V21" i="24"/>
  <c r="X21" i="4"/>
  <c r="N24" i="8"/>
  <c r="L24" i="8"/>
  <c r="F29" i="16"/>
  <c r="F22" i="16"/>
  <c r="L16" i="4"/>
  <c r="P18" i="4"/>
  <c r="X22" i="4"/>
  <c r="V33" i="4"/>
  <c r="R15" i="5"/>
  <c r="J22" i="7"/>
  <c r="J29" i="7"/>
  <c r="J36" i="7"/>
  <c r="X13" i="7"/>
  <c r="F21" i="7"/>
  <c r="L22" i="7"/>
  <c r="X29" i="7"/>
  <c r="Z29" i="7"/>
  <c r="Z16" i="8"/>
  <c r="X16" i="8"/>
  <c r="X20" i="8"/>
  <c r="R34" i="10"/>
  <c r="R24" i="10"/>
  <c r="L20" i="10"/>
  <c r="X13" i="16"/>
  <c r="Z13" i="16"/>
  <c r="J25" i="17"/>
  <c r="J21" i="17"/>
  <c r="N12" i="17"/>
  <c r="J15" i="17"/>
  <c r="N21" i="17"/>
  <c r="L21" i="17"/>
  <c r="X25" i="19"/>
  <c r="X32" i="21"/>
  <c r="F33" i="22"/>
  <c r="L24" i="29"/>
  <c r="L21" i="52"/>
  <c r="F18" i="38"/>
  <c r="F22" i="38"/>
  <c r="F21" i="38"/>
  <c r="F20" i="38"/>
  <c r="F33" i="38"/>
  <c r="L12" i="38"/>
  <c r="F29" i="38"/>
  <c r="F27" i="38"/>
  <c r="F16" i="38"/>
  <c r="F15" i="38"/>
  <c r="Z22" i="43"/>
  <c r="X22" i="43"/>
  <c r="F22" i="49"/>
  <c r="F36" i="49"/>
  <c r="F27" i="49"/>
  <c r="L12" i="49"/>
  <c r="F18" i="49"/>
  <c r="F16" i="49"/>
  <c r="F29" i="49"/>
  <c r="F21" i="49"/>
  <c r="F15" i="49"/>
  <c r="D18" i="49"/>
  <c r="D27" i="49" s="1"/>
  <c r="F33" i="49"/>
  <c r="F31" i="49"/>
  <c r="F25" i="49"/>
  <c r="F24" i="49"/>
  <c r="F34" i="49"/>
  <c r="R36" i="5"/>
  <c r="P18" i="8"/>
  <c r="T18" i="4"/>
  <c r="Z18" i="4" s="1"/>
  <c r="L33" i="4"/>
  <c r="Z13" i="5"/>
  <c r="J24" i="5"/>
  <c r="F25" i="5"/>
  <c r="F29" i="5"/>
  <c r="F33" i="5"/>
  <c r="J34" i="5"/>
  <c r="V36" i="5"/>
  <c r="V20" i="7"/>
  <c r="V36" i="7"/>
  <c r="V33" i="7"/>
  <c r="V27" i="7"/>
  <c r="F15" i="7"/>
  <c r="F18" i="7"/>
  <c r="X20" i="7"/>
  <c r="V22" i="7"/>
  <c r="F27" i="7"/>
  <c r="R16" i="10"/>
  <c r="L22" i="10"/>
  <c r="L15" i="13"/>
  <c r="R31" i="14"/>
  <c r="R34" i="14"/>
  <c r="R27" i="14"/>
  <c r="L127" i="15"/>
  <c r="N127" i="15" s="1"/>
  <c r="X13" i="19"/>
  <c r="T18" i="20"/>
  <c r="T27" i="20" s="1"/>
  <c r="R34" i="22"/>
  <c r="R16" i="22"/>
  <c r="R20" i="22"/>
  <c r="F15" i="22"/>
  <c r="V34" i="27"/>
  <c r="V21" i="27"/>
  <c r="Z12" i="27"/>
  <c r="V16" i="27"/>
  <c r="N18" i="82"/>
  <c r="V36" i="4"/>
  <c r="F31" i="7"/>
  <c r="X163" i="3"/>
  <c r="Z163" i="3" s="1"/>
  <c r="V15" i="4"/>
  <c r="D18" i="5"/>
  <c r="D27" i="5" s="1"/>
  <c r="H18" i="7"/>
  <c r="H27" i="7" s="1"/>
  <c r="X22" i="7"/>
  <c r="X22" i="8"/>
  <c r="Z22" i="8"/>
  <c r="N13" i="10"/>
  <c r="L13" i="10"/>
  <c r="F34" i="14"/>
  <c r="Z16" i="17"/>
  <c r="X16" i="17"/>
  <c r="J36" i="17"/>
  <c r="J20" i="19"/>
  <c r="J34" i="19"/>
  <c r="J31" i="19"/>
  <c r="J18" i="19"/>
  <c r="J22" i="19"/>
  <c r="Z13" i="20"/>
  <c r="X13" i="20"/>
  <c r="D18" i="22"/>
  <c r="D27" i="22" s="1"/>
  <c r="J36" i="24"/>
  <c r="F24" i="35"/>
  <c r="F31" i="35"/>
  <c r="F16" i="35"/>
  <c r="F25" i="35"/>
  <c r="F15" i="35"/>
  <c r="F27" i="35"/>
  <c r="L12" i="35"/>
  <c r="F34" i="35"/>
  <c r="F33" i="35"/>
  <c r="F36" i="35"/>
  <c r="F20" i="35"/>
  <c r="F29" i="35"/>
  <c r="D18" i="35"/>
  <c r="D27" i="35" s="1"/>
  <c r="J24" i="26"/>
  <c r="J34" i="26"/>
  <c r="J31" i="26"/>
  <c r="J27" i="26"/>
  <c r="V18" i="4"/>
  <c r="L20" i="5"/>
  <c r="L34" i="5"/>
  <c r="D18" i="7"/>
  <c r="D27" i="7" s="1"/>
  <c r="X16" i="19"/>
  <c r="N12" i="4"/>
  <c r="N20" i="4"/>
  <c r="F15" i="5"/>
  <c r="P18" i="5"/>
  <c r="P27" i="5" s="1"/>
  <c r="V20" i="5"/>
  <c r="X21" i="5"/>
  <c r="R22" i="5"/>
  <c r="X25" i="5"/>
  <c r="X29" i="5"/>
  <c r="X33" i="5"/>
  <c r="L13" i="7"/>
  <c r="J15" i="7"/>
  <c r="T18" i="7"/>
  <c r="T27" i="7" s="1"/>
  <c r="T31" i="7" s="1"/>
  <c r="F29" i="7"/>
  <c r="J33" i="7"/>
  <c r="J20" i="8"/>
  <c r="J22" i="8"/>
  <c r="N12" i="8"/>
  <c r="L20" i="8"/>
  <c r="N20" i="8"/>
  <c r="L13" i="11"/>
  <c r="N13" i="11"/>
  <c r="F24" i="14"/>
  <c r="N12" i="19"/>
  <c r="N20" i="20"/>
  <c r="L20" i="20"/>
  <c r="J25" i="24"/>
  <c r="R21" i="32"/>
  <c r="X12" i="32"/>
  <c r="R18" i="32"/>
  <c r="R22" i="32"/>
  <c r="R24" i="32"/>
  <c r="R18" i="49"/>
  <c r="R21" i="49"/>
  <c r="R20" i="49"/>
  <c r="R24" i="49"/>
  <c r="R16" i="49"/>
  <c r="F21" i="22"/>
  <c r="F29" i="22"/>
  <c r="F25" i="22"/>
  <c r="F36" i="22"/>
  <c r="F31" i="22"/>
  <c r="F27" i="22"/>
  <c r="L12" i="22"/>
  <c r="N20" i="30"/>
  <c r="L20" i="30"/>
  <c r="F22" i="33"/>
  <c r="F27" i="33"/>
  <c r="F16" i="33"/>
  <c r="J22" i="4"/>
  <c r="R33" i="4"/>
  <c r="X34" i="4"/>
  <c r="L13" i="5"/>
  <c r="R18" i="5"/>
  <c r="R21" i="5"/>
  <c r="X24" i="5"/>
  <c r="R25" i="5"/>
  <c r="R29" i="5"/>
  <c r="R33" i="5"/>
  <c r="V18" i="7"/>
  <c r="J25" i="7"/>
  <c r="F22" i="10"/>
  <c r="F20" i="10"/>
  <c r="F33" i="10"/>
  <c r="L12" i="10"/>
  <c r="F36" i="10"/>
  <c r="D18" i="10"/>
  <c r="D27" i="10" s="1"/>
  <c r="D31" i="10" s="1"/>
  <c r="F15" i="10"/>
  <c r="F21" i="10"/>
  <c r="D18" i="11"/>
  <c r="D27" i="11" s="1"/>
  <c r="F24" i="11"/>
  <c r="F21" i="11"/>
  <c r="F15" i="11"/>
  <c r="F27" i="11"/>
  <c r="F25" i="11"/>
  <c r="F22" i="11"/>
  <c r="F20" i="11"/>
  <c r="F33" i="11"/>
  <c r="L12" i="11"/>
  <c r="F36" i="11"/>
  <c r="F18" i="11"/>
  <c r="X22" i="11"/>
  <c r="X34" i="11"/>
  <c r="N29" i="13"/>
  <c r="L29" i="13"/>
  <c r="R20" i="14"/>
  <c r="X127" i="15"/>
  <c r="Z127" i="15" s="1"/>
  <c r="Z15" i="17"/>
  <c r="X15" i="17"/>
  <c r="L16" i="19"/>
  <c r="N16" i="19"/>
  <c r="R21" i="22"/>
  <c r="X20" i="26"/>
  <c r="X33" i="7"/>
  <c r="V18" i="8"/>
  <c r="J21" i="10"/>
  <c r="J27" i="10"/>
  <c r="T18" i="11"/>
  <c r="T27" i="11" s="1"/>
  <c r="T31" i="11" s="1"/>
  <c r="V21" i="11"/>
  <c r="V22" i="11"/>
  <c r="V25" i="11"/>
  <c r="J29" i="11"/>
  <c r="L33" i="11"/>
  <c r="X29" i="14"/>
  <c r="J33" i="14"/>
  <c r="R18" i="16"/>
  <c r="V18" i="17"/>
  <c r="V21" i="17"/>
  <c r="R22" i="17"/>
  <c r="V27" i="17"/>
  <c r="V31" i="17"/>
  <c r="F18" i="19"/>
  <c r="V25" i="19"/>
  <c r="L29" i="20"/>
  <c r="J21" i="22"/>
  <c r="X24" i="22"/>
  <c r="H18" i="23"/>
  <c r="H27" i="23" s="1"/>
  <c r="L24" i="23"/>
  <c r="J29" i="23"/>
  <c r="J33" i="23"/>
  <c r="R34" i="26"/>
  <c r="R22" i="26"/>
  <c r="P18" i="26"/>
  <c r="X24" i="26"/>
  <c r="R33" i="26"/>
  <c r="L33" i="30"/>
  <c r="Z25" i="33"/>
  <c r="X25" i="33"/>
  <c r="R20" i="35"/>
  <c r="R33" i="35"/>
  <c r="X12" i="35"/>
  <c r="R18" i="35"/>
  <c r="R22" i="35"/>
  <c r="R25" i="35"/>
  <c r="R15" i="35"/>
  <c r="R21" i="35"/>
  <c r="V34" i="37"/>
  <c r="R27" i="38"/>
  <c r="R21" i="38"/>
  <c r="L35" i="39"/>
  <c r="F34" i="40"/>
  <c r="D18" i="40"/>
  <c r="D27" i="40" s="1"/>
  <c r="F16" i="40"/>
  <c r="F24" i="40"/>
  <c r="F22" i="40"/>
  <c r="F29" i="40"/>
  <c r="F20" i="40"/>
  <c r="L12" i="40"/>
  <c r="R36" i="50"/>
  <c r="R18" i="50"/>
  <c r="R21" i="50"/>
  <c r="N18" i="60"/>
  <c r="L21" i="7"/>
  <c r="L24" i="7"/>
  <c r="T18" i="8"/>
  <c r="T27" i="8" s="1"/>
  <c r="R16" i="8"/>
  <c r="L22" i="8"/>
  <c r="L25" i="8"/>
  <c r="L29" i="8"/>
  <c r="H18" i="10"/>
  <c r="H27" i="10" s="1"/>
  <c r="X20" i="10"/>
  <c r="J24" i="10"/>
  <c r="J25" i="10"/>
  <c r="X13" i="11"/>
  <c r="V18" i="11"/>
  <c r="V36" i="11"/>
  <c r="X15" i="13"/>
  <c r="J21" i="13"/>
  <c r="L24" i="14"/>
  <c r="J27" i="14"/>
  <c r="J34" i="14"/>
  <c r="L15" i="16"/>
  <c r="L21" i="16"/>
  <c r="L20" i="17"/>
  <c r="L29" i="17"/>
  <c r="X22" i="19"/>
  <c r="V29" i="19"/>
  <c r="V33" i="19"/>
  <c r="X15" i="20"/>
  <c r="X16" i="20"/>
  <c r="F20" i="20"/>
  <c r="L24" i="20"/>
  <c r="F29" i="20"/>
  <c r="X33" i="20"/>
  <c r="L16" i="22"/>
  <c r="X25" i="22"/>
  <c r="X29" i="22"/>
  <c r="L16" i="23"/>
  <c r="J18" i="23"/>
  <c r="F21" i="23"/>
  <c r="F22" i="23"/>
  <c r="F24" i="23"/>
  <c r="J25" i="23"/>
  <c r="R27" i="24"/>
  <c r="R18" i="26"/>
  <c r="X34" i="27"/>
  <c r="J20" i="37"/>
  <c r="J25" i="37"/>
  <c r="J21" i="37"/>
  <c r="J33" i="37"/>
  <c r="J36" i="37"/>
  <c r="J29" i="37"/>
  <c r="N12" i="37"/>
  <c r="L16" i="37"/>
  <c r="X29" i="37"/>
  <c r="V33" i="37"/>
  <c r="J18" i="40"/>
  <c r="J16" i="40"/>
  <c r="L13" i="41"/>
  <c r="N34" i="41"/>
  <c r="L34" i="41"/>
  <c r="F34" i="99"/>
  <c r="F33" i="99"/>
  <c r="F15" i="99"/>
  <c r="F16" i="99"/>
  <c r="F22" i="99"/>
  <c r="F36" i="99"/>
  <c r="L12" i="99"/>
  <c r="F25" i="99"/>
  <c r="F21" i="99"/>
  <c r="F29" i="99"/>
  <c r="F20" i="99"/>
  <c r="R33" i="8"/>
  <c r="J18" i="10"/>
  <c r="J16" i="33"/>
  <c r="J21" i="33"/>
  <c r="J24" i="33"/>
  <c r="J22" i="33"/>
  <c r="L29" i="36"/>
  <c r="N29" i="36" s="1"/>
  <c r="V29" i="40"/>
  <c r="V36" i="40"/>
  <c r="V33" i="40"/>
  <c r="V15" i="40"/>
  <c r="Z34" i="47"/>
  <c r="X34" i="47"/>
  <c r="R25" i="8"/>
  <c r="R29" i="8"/>
  <c r="L16" i="10"/>
  <c r="J29" i="10"/>
  <c r="L34" i="10"/>
  <c r="V27" i="11"/>
  <c r="N12" i="13"/>
  <c r="R20" i="13"/>
  <c r="R22" i="13"/>
  <c r="R24" i="13"/>
  <c r="X33" i="13"/>
  <c r="L16" i="14"/>
  <c r="L20" i="14"/>
  <c r="X21" i="16"/>
  <c r="X24" i="16"/>
  <c r="V34" i="17"/>
  <c r="T18" i="19"/>
  <c r="T27" i="19" s="1"/>
  <c r="T31" i="19" s="1"/>
  <c r="X20" i="19"/>
  <c r="X20" i="20"/>
  <c r="L21" i="20"/>
  <c r="L15" i="22"/>
  <c r="X21" i="22"/>
  <c r="V31" i="22"/>
  <c r="V33" i="22"/>
  <c r="X16" i="23"/>
  <c r="X15" i="26"/>
  <c r="N15" i="29"/>
  <c r="Z33" i="30"/>
  <c r="L22" i="33"/>
  <c r="N22" i="33"/>
  <c r="V22" i="37"/>
  <c r="V27" i="37"/>
  <c r="V16" i="37"/>
  <c r="Z12" i="37"/>
  <c r="V29" i="37"/>
  <c r="X12" i="37"/>
  <c r="V21" i="37"/>
  <c r="V15" i="37"/>
  <c r="V25" i="37"/>
  <c r="V20" i="37"/>
  <c r="V18" i="37"/>
  <c r="V31" i="37"/>
  <c r="X13" i="41"/>
  <c r="Z13" i="41"/>
  <c r="X20" i="41"/>
  <c r="L24" i="41"/>
  <c r="F24" i="52"/>
  <c r="F34" i="52"/>
  <c r="F22" i="52"/>
  <c r="F20" i="52"/>
  <c r="F16" i="52"/>
  <c r="F27" i="52"/>
  <c r="F31" i="52"/>
  <c r="X21" i="93"/>
  <c r="Z21" i="93" s="1"/>
  <c r="R20" i="8"/>
  <c r="X24" i="8"/>
  <c r="V33" i="8"/>
  <c r="X18" i="9"/>
  <c r="N12" i="10"/>
  <c r="X13" i="10"/>
  <c r="L29" i="10"/>
  <c r="J25" i="11"/>
  <c r="L29" i="11"/>
  <c r="L16" i="13"/>
  <c r="J18" i="13"/>
  <c r="X25" i="13"/>
  <c r="X29" i="13"/>
  <c r="L13" i="14"/>
  <c r="X25" i="14"/>
  <c r="X20" i="17"/>
  <c r="X151" i="18"/>
  <c r="L22" i="19"/>
  <c r="Z12" i="20"/>
  <c r="L15" i="20"/>
  <c r="D18" i="20"/>
  <c r="D27" i="20" s="1"/>
  <c r="X21" i="20"/>
  <c r="R22" i="20"/>
  <c r="X25" i="20"/>
  <c r="V29" i="20"/>
  <c r="L13" i="22"/>
  <c r="L34" i="22"/>
  <c r="L13" i="23"/>
  <c r="X22" i="23"/>
  <c r="L34" i="23"/>
  <c r="X13" i="26"/>
  <c r="X13" i="27"/>
  <c r="L20" i="29"/>
  <c r="F21" i="44"/>
  <c r="F34" i="44"/>
  <c r="F31" i="44"/>
  <c r="F27" i="44"/>
  <c r="F18" i="44"/>
  <c r="F22" i="44"/>
  <c r="H18" i="27"/>
  <c r="X24" i="27"/>
  <c r="P18" i="29"/>
  <c r="P27" i="29" s="1"/>
  <c r="J22" i="29"/>
  <c r="J24" i="29"/>
  <c r="L25" i="29"/>
  <c r="L29" i="29"/>
  <c r="L33" i="29"/>
  <c r="X13" i="30"/>
  <c r="X15" i="30"/>
  <c r="F22" i="30"/>
  <c r="F24" i="30"/>
  <c r="F29" i="30"/>
  <c r="T18" i="32"/>
  <c r="Z18" i="32" s="1"/>
  <c r="J21" i="32"/>
  <c r="X22" i="32"/>
  <c r="H18" i="33"/>
  <c r="H27" i="33" s="1"/>
  <c r="L29" i="33"/>
  <c r="X22" i="35"/>
  <c r="V36" i="35"/>
  <c r="L33" i="37"/>
  <c r="F36" i="37"/>
  <c r="F21" i="41"/>
  <c r="F22" i="41"/>
  <c r="F18" i="43"/>
  <c r="L12" i="43"/>
  <c r="F25" i="43"/>
  <c r="F24" i="43"/>
  <c r="D18" i="43"/>
  <c r="F29" i="43"/>
  <c r="F21" i="43"/>
  <c r="V21" i="43"/>
  <c r="R34" i="44"/>
  <c r="R15" i="44"/>
  <c r="R16" i="44"/>
  <c r="R18" i="44"/>
  <c r="R20" i="44"/>
  <c r="X20" i="44"/>
  <c r="Z20" i="44"/>
  <c r="R15" i="52"/>
  <c r="R18" i="52"/>
  <c r="R22" i="52"/>
  <c r="J36" i="53"/>
  <c r="J21" i="53"/>
  <c r="X21" i="53"/>
  <c r="Z85" i="69"/>
  <c r="L23" i="94"/>
  <c r="L34" i="26"/>
  <c r="L15" i="27"/>
  <c r="R15" i="29"/>
  <c r="R16" i="29"/>
  <c r="N25" i="29"/>
  <c r="X34" i="29"/>
  <c r="L22" i="30"/>
  <c r="F33" i="30"/>
  <c r="V15" i="32"/>
  <c r="V16" i="32"/>
  <c r="X20" i="32"/>
  <c r="X21" i="32"/>
  <c r="X25" i="32"/>
  <c r="X29" i="32"/>
  <c r="X33" i="32"/>
  <c r="V34" i="32"/>
  <c r="N15" i="33"/>
  <c r="X24" i="33"/>
  <c r="N29" i="33"/>
  <c r="V16" i="35"/>
  <c r="X21" i="35"/>
  <c r="X29" i="35"/>
  <c r="L34" i="35"/>
  <c r="F33" i="37"/>
  <c r="L15" i="38"/>
  <c r="V20" i="38"/>
  <c r="V31" i="38"/>
  <c r="X33" i="40"/>
  <c r="J36" i="41"/>
  <c r="J31" i="41"/>
  <c r="J20" i="41"/>
  <c r="J33" i="41"/>
  <c r="H18" i="41"/>
  <c r="H27" i="41" s="1"/>
  <c r="J27" i="41"/>
  <c r="L33" i="41"/>
  <c r="V15" i="43"/>
  <c r="F36" i="43"/>
  <c r="R24" i="44"/>
  <c r="Z16" i="46"/>
  <c r="X16" i="46"/>
  <c r="J22" i="46"/>
  <c r="L25" i="53"/>
  <c r="L25" i="73"/>
  <c r="L18" i="82"/>
  <c r="L21" i="93"/>
  <c r="J15" i="27"/>
  <c r="F20" i="27"/>
  <c r="F21" i="27"/>
  <c r="L24" i="27"/>
  <c r="L29" i="27"/>
  <c r="J31" i="27"/>
  <c r="X15" i="29"/>
  <c r="F18" i="29"/>
  <c r="X21" i="29"/>
  <c r="R22" i="29"/>
  <c r="V34" i="29"/>
  <c r="F15" i="30"/>
  <c r="D18" i="30"/>
  <c r="D27" i="30" s="1"/>
  <c r="D31" i="30" s="1"/>
  <c r="D36" i="30" s="1"/>
  <c r="X24" i="30"/>
  <c r="D18" i="32"/>
  <c r="D27" i="32" s="1"/>
  <c r="L16" i="32"/>
  <c r="V20" i="32"/>
  <c r="V22" i="32"/>
  <c r="F27" i="32"/>
  <c r="F31" i="32"/>
  <c r="R21" i="33"/>
  <c r="L15" i="35"/>
  <c r="V22" i="35"/>
  <c r="L25" i="35"/>
  <c r="X33" i="35"/>
  <c r="L15" i="37"/>
  <c r="F21" i="37"/>
  <c r="L24" i="37"/>
  <c r="F25" i="37"/>
  <c r="F27" i="37"/>
  <c r="L20" i="38"/>
  <c r="V18" i="41"/>
  <c r="V24" i="43"/>
  <c r="V27" i="43"/>
  <c r="V29" i="43"/>
  <c r="V20" i="43"/>
  <c r="T18" i="43"/>
  <c r="T27" i="43" s="1"/>
  <c r="V36" i="43"/>
  <c r="V33" i="43"/>
  <c r="V22" i="43"/>
  <c r="X12" i="43"/>
  <c r="V25" i="43"/>
  <c r="V31" i="43"/>
  <c r="F34" i="43"/>
  <c r="L34" i="44"/>
  <c r="L20" i="47"/>
  <c r="Z23" i="92"/>
  <c r="X15" i="98"/>
  <c r="L24" i="100"/>
  <c r="J25" i="27"/>
  <c r="J18" i="29"/>
  <c r="Z21" i="29"/>
  <c r="J18" i="30"/>
  <c r="F15" i="32"/>
  <c r="F16" i="32"/>
  <c r="V18" i="32"/>
  <c r="V27" i="32"/>
  <c r="V31" i="32"/>
  <c r="F34" i="32"/>
  <c r="R16" i="33"/>
  <c r="R20" i="33"/>
  <c r="L16" i="35"/>
  <c r="T18" i="35"/>
  <c r="T27" i="35" s="1"/>
  <c r="V27" i="35"/>
  <c r="V29" i="35"/>
  <c r="V34" i="35"/>
  <c r="F15" i="37"/>
  <c r="F22" i="37"/>
  <c r="F24" i="37"/>
  <c r="N34" i="37"/>
  <c r="X21" i="40"/>
  <c r="R22" i="40"/>
  <c r="Z12" i="41"/>
  <c r="X21" i="41"/>
  <c r="V22" i="41"/>
  <c r="V34" i="41"/>
  <c r="Z12" i="43"/>
  <c r="F15" i="43"/>
  <c r="F20" i="43"/>
  <c r="F22" i="43"/>
  <c r="X19" i="48"/>
  <c r="L20" i="50"/>
  <c r="R20" i="52"/>
  <c r="R24" i="52"/>
  <c r="R36" i="52"/>
  <c r="R29" i="52"/>
  <c r="R25" i="52"/>
  <c r="Z18" i="60"/>
  <c r="X24" i="65"/>
  <c r="R24" i="65"/>
  <c r="F36" i="98"/>
  <c r="F34" i="98"/>
  <c r="F22" i="98"/>
  <c r="F21" i="98"/>
  <c r="F31" i="98"/>
  <c r="F18" i="98"/>
  <c r="L21" i="26"/>
  <c r="X15" i="27"/>
  <c r="X20" i="27"/>
  <c r="J24" i="27"/>
  <c r="J29" i="27"/>
  <c r="J34" i="27"/>
  <c r="X12" i="29"/>
  <c r="L16" i="29"/>
  <c r="V18" i="29"/>
  <c r="L21" i="29"/>
  <c r="F27" i="29"/>
  <c r="F31" i="29"/>
  <c r="L34" i="29"/>
  <c r="F36" i="30"/>
  <c r="L20" i="32"/>
  <c r="L21" i="32"/>
  <c r="L24" i="32"/>
  <c r="L25" i="32"/>
  <c r="L29" i="32"/>
  <c r="L33" i="32"/>
  <c r="X13" i="33"/>
  <c r="L20" i="35"/>
  <c r="L29" i="35"/>
  <c r="L29" i="37"/>
  <c r="X34" i="37"/>
  <c r="L13" i="38"/>
  <c r="P18" i="40"/>
  <c r="P27" i="40" s="1"/>
  <c r="R20" i="40"/>
  <c r="R21" i="40"/>
  <c r="X24" i="40"/>
  <c r="J16" i="41"/>
  <c r="J25" i="41"/>
  <c r="L26" i="42"/>
  <c r="F16" i="43"/>
  <c r="F27" i="43"/>
  <c r="F33" i="43"/>
  <c r="X29" i="46"/>
  <c r="L13" i="49"/>
  <c r="L21" i="49"/>
  <c r="X22" i="49"/>
  <c r="L25" i="50"/>
  <c r="L18" i="60"/>
  <c r="X54" i="71"/>
  <c r="Z54" i="71" s="1"/>
  <c r="X22" i="79"/>
  <c r="N18" i="83"/>
  <c r="N13" i="98"/>
  <c r="L15" i="43"/>
  <c r="X13" i="44"/>
  <c r="V22" i="44"/>
  <c r="L25" i="45"/>
  <c r="L15" i="46"/>
  <c r="L24" i="47"/>
  <c r="F27" i="47"/>
  <c r="L34" i="49"/>
  <c r="F25" i="50"/>
  <c r="X34" i="50"/>
  <c r="V16" i="52"/>
  <c r="V20" i="52"/>
  <c r="L13" i="53"/>
  <c r="V27" i="53"/>
  <c r="F31" i="53"/>
  <c r="L18" i="55"/>
  <c r="N18" i="55" s="1"/>
  <c r="P46" i="60"/>
  <c r="P50" i="60" s="1"/>
  <c r="X23" i="95"/>
  <c r="X16" i="98"/>
  <c r="X33" i="99"/>
  <c r="L13" i="100"/>
  <c r="X34" i="41"/>
  <c r="J21" i="43"/>
  <c r="L15" i="44"/>
  <c r="V27" i="44"/>
  <c r="L33" i="44"/>
  <c r="X25" i="45"/>
  <c r="R24" i="46"/>
  <c r="R25" i="46"/>
  <c r="R29" i="46"/>
  <c r="R15" i="47"/>
  <c r="R16" i="47"/>
  <c r="F31" i="47"/>
  <c r="V34" i="47"/>
  <c r="J15" i="49"/>
  <c r="J21" i="49"/>
  <c r="J29" i="49"/>
  <c r="L13" i="50"/>
  <c r="V33" i="50"/>
  <c r="F36" i="50"/>
  <c r="V18" i="52"/>
  <c r="V29" i="52"/>
  <c r="X13" i="53"/>
  <c r="P18" i="53"/>
  <c r="P27" i="53" s="1"/>
  <c r="F34" i="53"/>
  <c r="T30" i="55"/>
  <c r="T34" i="55" s="1"/>
  <c r="T46" i="61"/>
  <c r="L23" i="67"/>
  <c r="N23" i="67" s="1"/>
  <c r="X50" i="77"/>
  <c r="Z50" i="77" s="1"/>
  <c r="L25" i="98"/>
  <c r="V27" i="98"/>
  <c r="V34" i="98"/>
  <c r="V15" i="99"/>
  <c r="X29" i="99"/>
  <c r="V33" i="99"/>
  <c r="R16" i="100"/>
  <c r="J24" i="100"/>
  <c r="V18" i="98"/>
  <c r="V22" i="98"/>
  <c r="V31" i="98"/>
  <c r="J36" i="98"/>
  <c r="V16" i="99"/>
  <c r="R15" i="100"/>
  <c r="L22" i="100"/>
  <c r="X29" i="100"/>
  <c r="R33" i="100"/>
  <c r="L34" i="43"/>
  <c r="L24" i="44"/>
  <c r="V16" i="46"/>
  <c r="V25" i="46"/>
  <c r="V29" i="46"/>
  <c r="R36" i="46"/>
  <c r="V15" i="47"/>
  <c r="V16" i="47"/>
  <c r="X20" i="47"/>
  <c r="R21" i="47"/>
  <c r="R22" i="47"/>
  <c r="X25" i="47"/>
  <c r="L33" i="47"/>
  <c r="T18" i="49"/>
  <c r="T27" i="49" s="1"/>
  <c r="T31" i="49" s="1"/>
  <c r="D18" i="50"/>
  <c r="D27" i="50" s="1"/>
  <c r="X20" i="50"/>
  <c r="X24" i="50"/>
  <c r="V25" i="50"/>
  <c r="F31" i="50"/>
  <c r="F34" i="50"/>
  <c r="Z12" i="52"/>
  <c r="J24" i="52"/>
  <c r="V31" i="52"/>
  <c r="L16" i="53"/>
  <c r="L20" i="53"/>
  <c r="X25" i="53"/>
  <c r="X18" i="59"/>
  <c r="N19" i="74"/>
  <c r="J25" i="98"/>
  <c r="L33" i="98"/>
  <c r="V29" i="99"/>
  <c r="V36" i="99"/>
  <c r="V16" i="100"/>
  <c r="R20" i="100"/>
  <c r="X25" i="100"/>
  <c r="R29" i="100"/>
  <c r="R36" i="100"/>
  <c r="X29" i="41"/>
  <c r="R21" i="43"/>
  <c r="N24" i="44"/>
  <c r="V34" i="44"/>
  <c r="V15" i="46"/>
  <c r="V36" i="46"/>
  <c r="L15" i="47"/>
  <c r="R18" i="47"/>
  <c r="V20" i="47"/>
  <c r="R25" i="47"/>
  <c r="F33" i="47"/>
  <c r="F34" i="47"/>
  <c r="F36" i="47"/>
  <c r="X13" i="49"/>
  <c r="V15" i="49"/>
  <c r="V18" i="49"/>
  <c r="F18" i="50"/>
  <c r="V22" i="50"/>
  <c r="F27" i="50"/>
  <c r="L33" i="50"/>
  <c r="L33" i="52"/>
  <c r="V36" i="52"/>
  <c r="R25" i="53"/>
  <c r="X29" i="53"/>
  <c r="H30" i="55"/>
  <c r="L23" i="95"/>
  <c r="H18" i="98"/>
  <c r="H27" i="98" s="1"/>
  <c r="J21" i="98"/>
  <c r="J29" i="98"/>
  <c r="L15" i="99"/>
  <c r="R18" i="99"/>
  <c r="L33" i="99"/>
  <c r="V15" i="100"/>
  <c r="R25" i="100"/>
  <c r="R22" i="43"/>
  <c r="J24" i="43"/>
  <c r="X33" i="43"/>
  <c r="X21" i="44"/>
  <c r="X22" i="44"/>
  <c r="L29" i="46"/>
  <c r="L33" i="46"/>
  <c r="N34" i="46"/>
  <c r="X12" i="47"/>
  <c r="F15" i="47"/>
  <c r="L16" i="47"/>
  <c r="V18" i="47"/>
  <c r="V22" i="47"/>
  <c r="R36" i="47"/>
  <c r="X16" i="49"/>
  <c r="L24" i="49"/>
  <c r="L12" i="50"/>
  <c r="L15" i="50"/>
  <c r="V21" i="50"/>
  <c r="L29" i="50"/>
  <c r="F33" i="50"/>
  <c r="L13" i="52"/>
  <c r="V34" i="53"/>
  <c r="X18" i="61"/>
  <c r="L20" i="90"/>
  <c r="N20" i="90" s="1"/>
  <c r="J15" i="98"/>
  <c r="X21" i="98"/>
  <c r="J22" i="98"/>
  <c r="J33" i="98"/>
  <c r="Z12" i="99"/>
  <c r="V20" i="99"/>
  <c r="X21" i="99"/>
  <c r="X24" i="99"/>
  <c r="V25" i="99"/>
  <c r="Z12" i="100"/>
  <c r="V20" i="100"/>
  <c r="R22" i="100"/>
  <c r="J31" i="100"/>
  <c r="Z27" i="11"/>
  <c r="T12" i="3"/>
  <c r="Z13" i="3"/>
  <c r="Z38" i="3"/>
  <c r="N42" i="3"/>
  <c r="Z45" i="3"/>
  <c r="X77" i="3"/>
  <c r="N200" i="3"/>
  <c r="Z205" i="3"/>
  <c r="N207" i="3"/>
  <c r="N63" i="9"/>
  <c r="L21" i="10"/>
  <c r="R31" i="11"/>
  <c r="L19" i="12"/>
  <c r="Z25" i="12"/>
  <c r="L171" i="12"/>
  <c r="N171" i="12" s="1"/>
  <c r="D36" i="10"/>
  <c r="X37" i="3"/>
  <c r="N40" i="3"/>
  <c r="N41" i="3"/>
  <c r="L73" i="3"/>
  <c r="Z77" i="3"/>
  <c r="N220" i="3"/>
  <c r="L14" i="6"/>
  <c r="P22" i="6"/>
  <c r="X16" i="6"/>
  <c r="Z28" i="6"/>
  <c r="L15" i="8"/>
  <c r="X21" i="8"/>
  <c r="L18" i="9"/>
  <c r="L19" i="9"/>
  <c r="N70" i="9"/>
  <c r="Z79" i="9"/>
  <c r="V21" i="10"/>
  <c r="V18" i="10"/>
  <c r="V36" i="10"/>
  <c r="V33" i="10"/>
  <c r="V29" i="10"/>
  <c r="V25" i="10"/>
  <c r="T18" i="10"/>
  <c r="V15" i="10"/>
  <c r="V22" i="10"/>
  <c r="V20" i="10"/>
  <c r="V16" i="10"/>
  <c r="Z12" i="10"/>
  <c r="V34" i="10"/>
  <c r="V31" i="10"/>
  <c r="V27" i="10"/>
  <c r="N19" i="12"/>
  <c r="T12" i="12"/>
  <c r="T12" i="15"/>
  <c r="X194" i="12"/>
  <c r="Z194" i="12" s="1"/>
  <c r="Z27" i="15"/>
  <c r="X27" i="15"/>
  <c r="D12" i="3"/>
  <c r="Z37" i="3"/>
  <c r="N73" i="3"/>
  <c r="N18" i="9"/>
  <c r="N19" i="9"/>
  <c r="R24" i="11"/>
  <c r="R21" i="11"/>
  <c r="R18" i="11"/>
  <c r="R33" i="11"/>
  <c r="R29" i="11"/>
  <c r="R25" i="11"/>
  <c r="P18" i="11"/>
  <c r="R15" i="11"/>
  <c r="R36" i="11"/>
  <c r="R22" i="11"/>
  <c r="X12" i="11"/>
  <c r="R20" i="11"/>
  <c r="R16" i="11"/>
  <c r="L157" i="15"/>
  <c r="N157" i="15" s="1"/>
  <c r="L197" i="15"/>
  <c r="N197" i="15" s="1"/>
  <c r="L197" i="18"/>
  <c r="N197" i="18" s="1"/>
  <c r="T260" i="3"/>
  <c r="X29" i="3"/>
  <c r="N32" i="3"/>
  <c r="N33" i="3"/>
  <c r="Z62" i="3"/>
  <c r="N66" i="3"/>
  <c r="Z69" i="3"/>
  <c r="Z102" i="3"/>
  <c r="N238" i="3"/>
  <c r="R24" i="7"/>
  <c r="R21" i="7"/>
  <c r="R18" i="7"/>
  <c r="R36" i="7"/>
  <c r="R33" i="7"/>
  <c r="R29" i="7"/>
  <c r="R25" i="7"/>
  <c r="P18" i="7"/>
  <c r="R15" i="7"/>
  <c r="R22" i="7"/>
  <c r="X12" i="7"/>
  <c r="R20" i="7"/>
  <c r="R16" i="7"/>
  <c r="R34" i="7"/>
  <c r="N59" i="9"/>
  <c r="F215" i="12"/>
  <c r="F208" i="12"/>
  <c r="F200" i="12"/>
  <c r="F196" i="12"/>
  <c r="F192" i="12"/>
  <c r="F188" i="12"/>
  <c r="F171" i="12"/>
  <c r="F168" i="12"/>
  <c r="F159" i="12"/>
  <c r="F152" i="12"/>
  <c r="F140" i="12"/>
  <c r="F135" i="12"/>
  <c r="F134" i="12"/>
  <c r="F128" i="12"/>
  <c r="F120" i="12"/>
  <c r="F112" i="12"/>
  <c r="F104" i="12"/>
  <c r="F96" i="12"/>
  <c r="F88" i="12"/>
  <c r="F228" i="12"/>
  <c r="F218" i="12"/>
  <c r="F199" i="12"/>
  <c r="F195" i="12"/>
  <c r="F191" i="12"/>
  <c r="F182" i="12"/>
  <c r="F179" i="12"/>
  <c r="F155" i="12"/>
  <c r="F151" i="12"/>
  <c r="F146" i="12"/>
  <c r="F139" i="12"/>
  <c r="F127" i="12"/>
  <c r="F119" i="12"/>
  <c r="F111" i="12"/>
  <c r="F231" i="12"/>
  <c r="F214" i="12"/>
  <c r="F190" i="12"/>
  <c r="F185" i="12"/>
  <c r="F173" i="12"/>
  <c r="F170" i="12"/>
  <c r="F161" i="12"/>
  <c r="F158" i="12"/>
  <c r="F150" i="12"/>
  <c r="F138" i="12"/>
  <c r="F126" i="12"/>
  <c r="F118" i="12"/>
  <c r="F110" i="12"/>
  <c r="F102" i="12"/>
  <c r="F94" i="12"/>
  <c r="F224" i="12"/>
  <c r="F220" i="12"/>
  <c r="F217" i="12"/>
  <c r="F213" i="12"/>
  <c r="F204" i="12"/>
  <c r="F181" i="12"/>
  <c r="F176" i="12"/>
  <c r="F164" i="12"/>
  <c r="F157" i="12"/>
  <c r="F149" i="12"/>
  <c r="F145" i="12"/>
  <c r="F137" i="12"/>
  <c r="F125" i="12"/>
  <c r="F117" i="12"/>
  <c r="F109" i="12"/>
  <c r="F101" i="12"/>
  <c r="F93" i="12"/>
  <c r="F229" i="12"/>
  <c r="F216" i="12"/>
  <c r="F212" i="12"/>
  <c r="F207" i="12"/>
  <c r="F187" i="12"/>
  <c r="F184" i="12"/>
  <c r="F172" i="12"/>
  <c r="F167" i="12"/>
  <c r="F160" i="12"/>
  <c r="F148" i="12"/>
  <c r="F144" i="12"/>
  <c r="F136" i="12"/>
  <c r="F124" i="12"/>
  <c r="F116" i="12"/>
  <c r="F108" i="12"/>
  <c r="F100" i="12"/>
  <c r="F92" i="12"/>
  <c r="F87" i="12"/>
  <c r="F232" i="12"/>
  <c r="F223" i="12"/>
  <c r="F219" i="12"/>
  <c r="F211" i="12"/>
  <c r="F203" i="12"/>
  <c r="F198" i="12"/>
  <c r="F194" i="12"/>
  <c r="F183" i="12"/>
  <c r="F178" i="12"/>
  <c r="F175" i="12"/>
  <c r="F163" i="12"/>
  <c r="F154" i="12"/>
  <c r="F147" i="12"/>
  <c r="F143" i="12"/>
  <c r="F132" i="12"/>
  <c r="F123" i="12"/>
  <c r="F115" i="12"/>
  <c r="F236" i="12"/>
  <c r="F205" i="12"/>
  <c r="F193" i="12"/>
  <c r="F129" i="12"/>
  <c r="F107" i="12"/>
  <c r="F103" i="12"/>
  <c r="F97" i="12"/>
  <c r="F227" i="12"/>
  <c r="F202" i="12"/>
  <c r="F114" i="12"/>
  <c r="F209" i="12"/>
  <c r="F99" i="12"/>
  <c r="F98" i="12"/>
  <c r="F206" i="12"/>
  <c r="F197" i="12"/>
  <c r="F156" i="12"/>
  <c r="F153" i="12"/>
  <c r="F141" i="12"/>
  <c r="F130" i="12"/>
  <c r="F121" i="12"/>
  <c r="F180" i="12"/>
  <c r="F177" i="12"/>
  <c r="F174" i="12"/>
  <c r="F169" i="12"/>
  <c r="F142" i="12"/>
  <c r="F122" i="12"/>
  <c r="F105" i="12"/>
  <c r="F95" i="12"/>
  <c r="F89" i="12"/>
  <c r="F221" i="12"/>
  <c r="F210" i="12"/>
  <c r="F189" i="12"/>
  <c r="F165" i="12"/>
  <c r="F162" i="12"/>
  <c r="F230" i="12"/>
  <c r="F225" i="12"/>
  <c r="F201" i="12"/>
  <c r="F166" i="12"/>
  <c r="D132" i="12"/>
  <c r="F113" i="12"/>
  <c r="L18" i="12"/>
  <c r="N18" i="12" s="1"/>
  <c r="N16" i="16"/>
  <c r="L16" i="16"/>
  <c r="H12" i="3"/>
  <c r="Z29" i="3"/>
  <c r="N65" i="3"/>
  <c r="Z94" i="3"/>
  <c r="N98" i="3"/>
  <c r="Z183" i="3"/>
  <c r="N185" i="3"/>
  <c r="X196" i="3"/>
  <c r="Z196" i="3" s="1"/>
  <c r="L218" i="3"/>
  <c r="Z253" i="3"/>
  <c r="Z257" i="3"/>
  <c r="D260" i="3"/>
  <c r="L260" i="3" s="1"/>
  <c r="N260" i="3" s="1"/>
  <c r="L262" i="3"/>
  <c r="N262" i="3" s="1"/>
  <c r="L22" i="5"/>
  <c r="H16" i="6"/>
  <c r="R31" i="7"/>
  <c r="N40" i="9"/>
  <c r="Z48" i="9"/>
  <c r="Z57" i="9"/>
  <c r="R27" i="11"/>
  <c r="F91" i="12"/>
  <c r="V21" i="13"/>
  <c r="V18" i="13"/>
  <c r="V36" i="13"/>
  <c r="V33" i="13"/>
  <c r="V29" i="13"/>
  <c r="V25" i="13"/>
  <c r="T18" i="13"/>
  <c r="V15" i="13"/>
  <c r="V22" i="13"/>
  <c r="V20" i="13"/>
  <c r="V16" i="13"/>
  <c r="Z12" i="13"/>
  <c r="V34" i="13"/>
  <c r="V31" i="13"/>
  <c r="V24" i="13"/>
  <c r="V27" i="13"/>
  <c r="X12" i="13"/>
  <c r="P94" i="9"/>
  <c r="X29" i="18"/>
  <c r="Z29" i="18" s="1"/>
  <c r="P12" i="3"/>
  <c r="X14" i="3"/>
  <c r="Z14" i="3" s="1"/>
  <c r="X21" i="3"/>
  <c r="Z54" i="3"/>
  <c r="Z61" i="3"/>
  <c r="N97" i="3"/>
  <c r="Z101" i="3"/>
  <c r="Z107" i="3"/>
  <c r="N188" i="3"/>
  <c r="Z193" i="3"/>
  <c r="X216" i="3"/>
  <c r="Z216" i="3" s="1"/>
  <c r="N218" i="3"/>
  <c r="N235" i="3"/>
  <c r="Z238" i="3"/>
  <c r="N268" i="3"/>
  <c r="Z277" i="3"/>
  <c r="T22" i="6"/>
  <c r="Z16" i="6"/>
  <c r="Z19" i="9"/>
  <c r="L17" i="3"/>
  <c r="Z20" i="3"/>
  <c r="Z21" i="3"/>
  <c r="L49" i="3"/>
  <c r="N49" i="3" s="1"/>
  <c r="X53" i="3"/>
  <c r="Z53" i="3" s="1"/>
  <c r="X85" i="3"/>
  <c r="Z85" i="3" s="1"/>
  <c r="N88" i="3"/>
  <c r="N89" i="3"/>
  <c r="Z92" i="3"/>
  <c r="Z93" i="3"/>
  <c r="N163" i="3"/>
  <c r="Z198" i="3"/>
  <c r="P260" i="3"/>
  <c r="N266" i="3"/>
  <c r="L15" i="4"/>
  <c r="N28" i="6"/>
  <c r="Z18" i="9"/>
  <c r="L31" i="9"/>
  <c r="N31" i="9" s="1"/>
  <c r="N50" i="9"/>
  <c r="L79" i="9"/>
  <c r="N79" i="9" s="1"/>
  <c r="N34" i="12"/>
  <c r="L34" i="12"/>
  <c r="F90" i="12"/>
  <c r="F106" i="12"/>
  <c r="X13" i="15"/>
  <c r="P12" i="15"/>
  <c r="Z59" i="15"/>
  <c r="X59" i="15"/>
  <c r="J15" i="4"/>
  <c r="Z15" i="4"/>
  <c r="H18" i="4"/>
  <c r="F21" i="4"/>
  <c r="V21" i="4"/>
  <c r="J25" i="4"/>
  <c r="R27" i="4"/>
  <c r="J29" i="4"/>
  <c r="R31" i="4"/>
  <c r="J33" i="4"/>
  <c r="R34" i="4"/>
  <c r="J36" i="4"/>
  <c r="N12" i="5"/>
  <c r="F18" i="5"/>
  <c r="V18" i="5"/>
  <c r="J22" i="5"/>
  <c r="R24" i="5"/>
  <c r="N12" i="6"/>
  <c r="J14" i="6"/>
  <c r="Z14" i="6"/>
  <c r="R16" i="6"/>
  <c r="J18" i="6"/>
  <c r="R20" i="6"/>
  <c r="J22" i="6"/>
  <c r="R26" i="6"/>
  <c r="J28" i="6"/>
  <c r="R29" i="6"/>
  <c r="J31" i="6"/>
  <c r="J18" i="7"/>
  <c r="V24" i="7"/>
  <c r="J15" i="8"/>
  <c r="Z15" i="8"/>
  <c r="H18" i="8"/>
  <c r="F21" i="8"/>
  <c r="V21" i="8"/>
  <c r="J25" i="8"/>
  <c r="R27" i="8"/>
  <c r="J29" i="8"/>
  <c r="R31" i="8"/>
  <c r="J33" i="8"/>
  <c r="R34" i="8"/>
  <c r="J36" i="8"/>
  <c r="D16" i="9"/>
  <c r="T16" i="9"/>
  <c r="J19" i="9"/>
  <c r="V21" i="9"/>
  <c r="R22" i="9"/>
  <c r="J25" i="9"/>
  <c r="F26" i="9"/>
  <c r="V29" i="9"/>
  <c r="R30" i="9"/>
  <c r="J31" i="9"/>
  <c r="V33" i="9"/>
  <c r="R34" i="9"/>
  <c r="J37" i="9"/>
  <c r="V41" i="9"/>
  <c r="J45" i="9"/>
  <c r="V49" i="9"/>
  <c r="J53" i="9"/>
  <c r="F54" i="9"/>
  <c r="R55" i="9"/>
  <c r="F57" i="9"/>
  <c r="V57" i="9"/>
  <c r="R58" i="9"/>
  <c r="J59" i="9"/>
  <c r="V61" i="9"/>
  <c r="R62" i="9"/>
  <c r="J63" i="9"/>
  <c r="V65" i="9"/>
  <c r="R66" i="9"/>
  <c r="V69" i="9"/>
  <c r="F74" i="9"/>
  <c r="V77" i="9"/>
  <c r="R78" i="9"/>
  <c r="J79" i="9"/>
  <c r="V81" i="9"/>
  <c r="J85" i="9"/>
  <c r="F86" i="9"/>
  <c r="F92" i="9"/>
  <c r="X12" i="10"/>
  <c r="N15" i="10"/>
  <c r="F27" i="10"/>
  <c r="F31" i="10"/>
  <c r="F34" i="10"/>
  <c r="J18" i="11"/>
  <c r="V24" i="11"/>
  <c r="L14" i="12"/>
  <c r="N14" i="12" s="1"/>
  <c r="L17" i="12"/>
  <c r="Z23" i="12"/>
  <c r="L30" i="12"/>
  <c r="N30" i="12" s="1"/>
  <c r="Z39" i="12"/>
  <c r="X48" i="12"/>
  <c r="Z49" i="12"/>
  <c r="N53" i="12"/>
  <c r="X56" i="12"/>
  <c r="Z57" i="12"/>
  <c r="X64" i="12"/>
  <c r="Z65" i="12"/>
  <c r="X72" i="12"/>
  <c r="Z72" i="12" s="1"/>
  <c r="Z73" i="12"/>
  <c r="N77" i="12"/>
  <c r="X80" i="12"/>
  <c r="Z81" i="12"/>
  <c r="X87" i="12"/>
  <c r="Z173" i="12"/>
  <c r="R24" i="14"/>
  <c r="R21" i="14"/>
  <c r="R18" i="14"/>
  <c r="R36" i="14"/>
  <c r="R33" i="14"/>
  <c r="R29" i="14"/>
  <c r="R25" i="14"/>
  <c r="P18" i="14"/>
  <c r="R15" i="14"/>
  <c r="R22" i="14"/>
  <c r="X12" i="14"/>
  <c r="Z13" i="15"/>
  <c r="N16" i="15"/>
  <c r="N34" i="15"/>
  <c r="Z36" i="15"/>
  <c r="N39" i="15"/>
  <c r="Z45" i="15"/>
  <c r="N57" i="15"/>
  <c r="N66" i="15"/>
  <c r="Z68" i="15"/>
  <c r="N71" i="15"/>
  <c r="Z77" i="15"/>
  <c r="Z82" i="15"/>
  <c r="X82" i="15"/>
  <c r="J93" i="15"/>
  <c r="J102" i="15"/>
  <c r="J129" i="15"/>
  <c r="J138" i="15"/>
  <c r="X139" i="15"/>
  <c r="Z139" i="15" s="1"/>
  <c r="Z154" i="15"/>
  <c r="X154" i="15"/>
  <c r="Z164" i="15"/>
  <c r="J174" i="15"/>
  <c r="J177" i="15"/>
  <c r="N178" i="15"/>
  <c r="X194" i="15"/>
  <c r="Z194" i="15" s="1"/>
  <c r="Z214" i="15"/>
  <c r="X214" i="15"/>
  <c r="L222" i="15"/>
  <c r="N222" i="15" s="1"/>
  <c r="J16" i="16"/>
  <c r="N20" i="18"/>
  <c r="L65" i="18"/>
  <c r="N65" i="18" s="1"/>
  <c r="X195" i="18"/>
  <c r="Z195" i="18" s="1"/>
  <c r="D12" i="21"/>
  <c r="X262" i="3"/>
  <c r="Z262" i="3" s="1"/>
  <c r="J18" i="4"/>
  <c r="F24" i="4"/>
  <c r="V24" i="4"/>
  <c r="J15" i="5"/>
  <c r="H18" i="5"/>
  <c r="F21" i="5"/>
  <c r="J25" i="5"/>
  <c r="R27" i="5"/>
  <c r="J29" i="5"/>
  <c r="R31" i="5"/>
  <c r="J33" i="5"/>
  <c r="R34" i="5"/>
  <c r="J36" i="5"/>
  <c r="D16" i="6"/>
  <c r="F24" i="6"/>
  <c r="J21" i="7"/>
  <c r="V31" i="7"/>
  <c r="V34" i="7"/>
  <c r="J18" i="8"/>
  <c r="F24" i="8"/>
  <c r="V24" i="8"/>
  <c r="F16" i="9"/>
  <c r="V16" i="9"/>
  <c r="J18" i="9"/>
  <c r="V18" i="9"/>
  <c r="V22" i="9"/>
  <c r="J26" i="9"/>
  <c r="F27" i="9"/>
  <c r="V30" i="9"/>
  <c r="V34" i="9"/>
  <c r="R35" i="9"/>
  <c r="F38" i="9"/>
  <c r="V38" i="9"/>
  <c r="R39" i="9"/>
  <c r="J40" i="9"/>
  <c r="F43" i="9"/>
  <c r="R44" i="9"/>
  <c r="F46" i="9"/>
  <c r="V46" i="9"/>
  <c r="R47" i="9"/>
  <c r="J48" i="9"/>
  <c r="F51" i="9"/>
  <c r="R52" i="9"/>
  <c r="J54" i="9"/>
  <c r="V58" i="9"/>
  <c r="V62" i="9"/>
  <c r="V66" i="9"/>
  <c r="R67" i="9"/>
  <c r="J68" i="9"/>
  <c r="F71" i="9"/>
  <c r="J74" i="9"/>
  <c r="F75" i="9"/>
  <c r="V78" i="9"/>
  <c r="F83" i="9"/>
  <c r="R84" i="9"/>
  <c r="J86" i="9"/>
  <c r="F88" i="9"/>
  <c r="V88" i="9"/>
  <c r="J92" i="9"/>
  <c r="F94" i="9"/>
  <c r="V94" i="9"/>
  <c r="R22" i="10"/>
  <c r="J21" i="11"/>
  <c r="V34" i="11"/>
  <c r="N13" i="12"/>
  <c r="N29" i="12"/>
  <c r="Z48" i="12"/>
  <c r="Z56" i="12"/>
  <c r="Z64" i="12"/>
  <c r="Z80" i="12"/>
  <c r="Z187" i="12"/>
  <c r="N230" i="12"/>
  <c r="L230" i="12"/>
  <c r="H227" i="12"/>
  <c r="Z20" i="13"/>
  <c r="X20" i="13"/>
  <c r="V18" i="14"/>
  <c r="V36" i="14"/>
  <c r="V33" i="14"/>
  <c r="V29" i="14"/>
  <c r="V25" i="14"/>
  <c r="T18" i="14"/>
  <c r="V15" i="14"/>
  <c r="V22" i="14"/>
  <c r="V20" i="14"/>
  <c r="V16" i="14"/>
  <c r="Z12" i="14"/>
  <c r="V34" i="14"/>
  <c r="V31" i="14"/>
  <c r="V27" i="14"/>
  <c r="Z35" i="15"/>
  <c r="J110" i="15"/>
  <c r="N166" i="15"/>
  <c r="N189" i="15"/>
  <c r="L189" i="15"/>
  <c r="Z210" i="15"/>
  <c r="X210" i="15"/>
  <c r="J222" i="15"/>
  <c r="N20" i="16"/>
  <c r="L20" i="16"/>
  <c r="N38" i="18"/>
  <c r="N173" i="18"/>
  <c r="L173" i="18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F16" i="6"/>
  <c r="V16" i="6"/>
  <c r="F20" i="6"/>
  <c r="V20" i="6"/>
  <c r="J24" i="6"/>
  <c r="F26" i="6"/>
  <c r="V26" i="6"/>
  <c r="F29" i="6"/>
  <c r="Z12" i="7"/>
  <c r="F16" i="7"/>
  <c r="V16" i="7"/>
  <c r="J24" i="7"/>
  <c r="X12" i="8"/>
  <c r="J21" i="8"/>
  <c r="F27" i="8"/>
  <c r="V27" i="8"/>
  <c r="F31" i="8"/>
  <c r="V31" i="8"/>
  <c r="F34" i="8"/>
  <c r="V34" i="8"/>
  <c r="X12" i="9"/>
  <c r="H16" i="9"/>
  <c r="F20" i="9"/>
  <c r="V23" i="9"/>
  <c r="R24" i="9"/>
  <c r="J27" i="9"/>
  <c r="F28" i="9"/>
  <c r="F32" i="9"/>
  <c r="V35" i="9"/>
  <c r="R36" i="9"/>
  <c r="V39" i="9"/>
  <c r="J43" i="9"/>
  <c r="V47" i="9"/>
  <c r="J51" i="9"/>
  <c r="F55" i="9"/>
  <c r="V55" i="9"/>
  <c r="R56" i="9"/>
  <c r="J57" i="9"/>
  <c r="F60" i="9"/>
  <c r="F64" i="9"/>
  <c r="V67" i="9"/>
  <c r="J71" i="9"/>
  <c r="F72" i="9"/>
  <c r="R73" i="9"/>
  <c r="J75" i="9"/>
  <c r="F76" i="9"/>
  <c r="F80" i="9"/>
  <c r="J83" i="9"/>
  <c r="R15" i="10"/>
  <c r="P18" i="10"/>
  <c r="R25" i="10"/>
  <c r="R29" i="10"/>
  <c r="J31" i="10"/>
  <c r="R33" i="10"/>
  <c r="J34" i="10"/>
  <c r="R36" i="10"/>
  <c r="Z12" i="11"/>
  <c r="V16" i="11"/>
  <c r="J24" i="11"/>
  <c r="H12" i="12"/>
  <c r="L12" i="12" s="1"/>
  <c r="Z20" i="12"/>
  <c r="Z36" i="12"/>
  <c r="Z47" i="12"/>
  <c r="Z55" i="12"/>
  <c r="N60" i="12"/>
  <c r="Z71" i="12"/>
  <c r="N76" i="12"/>
  <c r="Z79" i="12"/>
  <c r="Z87" i="12"/>
  <c r="N207" i="12"/>
  <c r="N229" i="12"/>
  <c r="X232" i="12"/>
  <c r="Z232" i="12" s="1"/>
  <c r="Z34" i="14"/>
  <c r="X34" i="14"/>
  <c r="D12" i="15"/>
  <c r="N15" i="15"/>
  <c r="Z21" i="15"/>
  <c r="N24" i="15"/>
  <c r="Z44" i="15"/>
  <c r="Z53" i="15"/>
  <c r="N56" i="15"/>
  <c r="N65" i="15"/>
  <c r="X67" i="15"/>
  <c r="Z67" i="15" s="1"/>
  <c r="N74" i="15"/>
  <c r="Z76" i="15"/>
  <c r="J101" i="15"/>
  <c r="J137" i="15"/>
  <c r="N152" i="15"/>
  <c r="J165" i="15"/>
  <c r="L169" i="15"/>
  <c r="N169" i="15" s="1"/>
  <c r="Z178" i="15"/>
  <c r="X178" i="15"/>
  <c r="L185" i="15"/>
  <c r="N185" i="15" s="1"/>
  <c r="J202" i="15"/>
  <c r="J20" i="16"/>
  <c r="Z32" i="18"/>
  <c r="Z87" i="18"/>
  <c r="X87" i="18"/>
  <c r="X171" i="18"/>
  <c r="Z171" i="18" s="1"/>
  <c r="Z12" i="4"/>
  <c r="F16" i="4"/>
  <c r="V16" i="4"/>
  <c r="F20" i="4"/>
  <c r="J24" i="4"/>
  <c r="J21" i="5"/>
  <c r="F27" i="5"/>
  <c r="V27" i="5"/>
  <c r="F31" i="5"/>
  <c r="V31" i="5"/>
  <c r="F34" i="5"/>
  <c r="J27" i="7"/>
  <c r="J31" i="7"/>
  <c r="J34" i="7"/>
  <c r="Z12" i="8"/>
  <c r="F16" i="8"/>
  <c r="V16" i="8"/>
  <c r="F20" i="8"/>
  <c r="J24" i="8"/>
  <c r="Z12" i="9"/>
  <c r="R14" i="9"/>
  <c r="J16" i="9"/>
  <c r="J20" i="9"/>
  <c r="F21" i="9"/>
  <c r="V24" i="9"/>
  <c r="R25" i="9"/>
  <c r="J28" i="9"/>
  <c r="F29" i="9"/>
  <c r="J32" i="9"/>
  <c r="F33" i="9"/>
  <c r="V36" i="9"/>
  <c r="R37" i="9"/>
  <c r="J38" i="9"/>
  <c r="F41" i="9"/>
  <c r="R42" i="9"/>
  <c r="F44" i="9"/>
  <c r="V44" i="9"/>
  <c r="R45" i="9"/>
  <c r="J46" i="9"/>
  <c r="F49" i="9"/>
  <c r="R50" i="9"/>
  <c r="F52" i="9"/>
  <c r="V52" i="9"/>
  <c r="R53" i="9"/>
  <c r="V56" i="9"/>
  <c r="J60" i="9"/>
  <c r="F61" i="9"/>
  <c r="J64" i="9"/>
  <c r="F65" i="9"/>
  <c r="F69" i="9"/>
  <c r="R70" i="9"/>
  <c r="J72" i="9"/>
  <c r="J76" i="9"/>
  <c r="F77" i="9"/>
  <c r="J80" i="9"/>
  <c r="F81" i="9"/>
  <c r="R82" i="9"/>
  <c r="F84" i="9"/>
  <c r="V84" i="9"/>
  <c r="R85" i="9"/>
  <c r="J88" i="9"/>
  <c r="R90" i="9"/>
  <c r="J94" i="9"/>
  <c r="R97" i="9"/>
  <c r="J16" i="10"/>
  <c r="R18" i="10"/>
  <c r="J27" i="11"/>
  <c r="J31" i="11"/>
  <c r="J34" i="11"/>
  <c r="P12" i="12"/>
  <c r="Z17" i="12"/>
  <c r="N27" i="12"/>
  <c r="N43" i="12"/>
  <c r="N59" i="12"/>
  <c r="X60" i="12"/>
  <c r="Z60" i="12" s="1"/>
  <c r="X68" i="12"/>
  <c r="Z68" i="12" s="1"/>
  <c r="N75" i="12"/>
  <c r="X76" i="12"/>
  <c r="Z76" i="12" s="1"/>
  <c r="N83" i="12"/>
  <c r="L134" i="12"/>
  <c r="N134" i="12" s="1"/>
  <c r="L135" i="12"/>
  <c r="N135" i="12" s="1"/>
  <c r="X178" i="12"/>
  <c r="Z178" i="12" s="1"/>
  <c r="L180" i="12"/>
  <c r="N180" i="12" s="1"/>
  <c r="P227" i="12"/>
  <c r="X227" i="12" s="1"/>
  <c r="X229" i="12"/>
  <c r="L15" i="15"/>
  <c r="X20" i="15"/>
  <c r="Z30" i="15"/>
  <c r="L32" i="15"/>
  <c r="Z43" i="15"/>
  <c r="L47" i="15"/>
  <c r="X52" i="15"/>
  <c r="Z62" i="15"/>
  <c r="L64" i="15"/>
  <c r="Z75" i="15"/>
  <c r="L79" i="15"/>
  <c r="J86" i="15"/>
  <c r="J109" i="15"/>
  <c r="N128" i="15"/>
  <c r="N160" i="15"/>
  <c r="L160" i="15"/>
  <c r="X166" i="15"/>
  <c r="Z166" i="15" s="1"/>
  <c r="F34" i="16"/>
  <c r="F20" i="16"/>
  <c r="F16" i="16"/>
  <c r="F33" i="16"/>
  <c r="F27" i="16"/>
  <c r="F24" i="16"/>
  <c r="F31" i="16"/>
  <c r="F21" i="16"/>
  <c r="F36" i="16"/>
  <c r="F18" i="16"/>
  <c r="F25" i="16"/>
  <c r="D18" i="16"/>
  <c r="F15" i="16"/>
  <c r="L12" i="16"/>
  <c r="Z15" i="16"/>
  <c r="X15" i="16"/>
  <c r="T18" i="16"/>
  <c r="X18" i="16" s="1"/>
  <c r="Z25" i="16"/>
  <c r="X25" i="16"/>
  <c r="N22" i="18"/>
  <c r="Z24" i="18"/>
  <c r="Z27" i="18"/>
  <c r="L59" i="18"/>
  <c r="N59" i="18" s="1"/>
  <c r="N22" i="20"/>
  <c r="L22" i="20"/>
  <c r="V161" i="28"/>
  <c r="V155" i="28"/>
  <c r="V127" i="28"/>
  <c r="V123" i="28"/>
  <c r="V115" i="28"/>
  <c r="V103" i="28"/>
  <c r="V99" i="28"/>
  <c r="V95" i="28"/>
  <c r="V87" i="28"/>
  <c r="V75" i="28"/>
  <c r="V67" i="28"/>
  <c r="V59" i="28"/>
  <c r="V158" i="28"/>
  <c r="V150" i="28"/>
  <c r="V126" i="28"/>
  <c r="V118" i="28"/>
  <c r="V114" i="28"/>
  <c r="V106" i="28"/>
  <c r="V98" i="28"/>
  <c r="V94" i="28"/>
  <c r="V82" i="28"/>
  <c r="V74" i="28"/>
  <c r="V66" i="28"/>
  <c r="V58" i="28"/>
  <c r="V167" i="28"/>
  <c r="V157" i="28"/>
  <c r="V149" i="28"/>
  <c r="V133" i="28"/>
  <c r="V129" i="28"/>
  <c r="V117" i="28"/>
  <c r="V105" i="28"/>
  <c r="V97" i="28"/>
  <c r="V93" i="28"/>
  <c r="V81" i="28"/>
  <c r="V73" i="28"/>
  <c r="V162" i="28"/>
  <c r="V152" i="28"/>
  <c r="V148" i="28"/>
  <c r="V140" i="28"/>
  <c r="V136" i="28"/>
  <c r="V132" i="28"/>
  <c r="V128" i="28"/>
  <c r="V120" i="28"/>
  <c r="V116" i="28"/>
  <c r="V108" i="28"/>
  <c r="V96" i="28"/>
  <c r="V92" i="28"/>
  <c r="V80" i="28"/>
  <c r="V72" i="28"/>
  <c r="V64" i="28"/>
  <c r="V56" i="28"/>
  <c r="V151" i="28"/>
  <c r="V147" i="28"/>
  <c r="V143" i="28"/>
  <c r="V139" i="28"/>
  <c r="V135" i="28"/>
  <c r="V131" i="28"/>
  <c r="V119" i="28"/>
  <c r="V111" i="28"/>
  <c r="V107" i="28"/>
  <c r="V91" i="28"/>
  <c r="V79" i="28"/>
  <c r="V71" i="28"/>
  <c r="V63" i="28"/>
  <c r="V154" i="28"/>
  <c r="V146" i="28"/>
  <c r="V142" i="28"/>
  <c r="V138" i="28"/>
  <c r="V134" i="28"/>
  <c r="V130" i="28"/>
  <c r="V122" i="28"/>
  <c r="V110" i="28"/>
  <c r="V102" i="28"/>
  <c r="V90" i="28"/>
  <c r="V86" i="28"/>
  <c r="V78" i="28"/>
  <c r="V70" i="28"/>
  <c r="V62" i="28"/>
  <c r="V163" i="28"/>
  <c r="V153" i="28"/>
  <c r="V145" i="28"/>
  <c r="V141" i="28"/>
  <c r="V137" i="28"/>
  <c r="V125" i="28"/>
  <c r="V121" i="28"/>
  <c r="V113" i="28"/>
  <c r="V109" i="28"/>
  <c r="V101" i="28"/>
  <c r="V89" i="28"/>
  <c r="T84" i="28"/>
  <c r="V77" i="28"/>
  <c r="V69" i="28"/>
  <c r="V61" i="28"/>
  <c r="V156" i="28"/>
  <c r="V104" i="28"/>
  <c r="V60" i="28"/>
  <c r="V144" i="28"/>
  <c r="V124" i="28"/>
  <c r="V112" i="28"/>
  <c r="V100" i="28"/>
  <c r="V88" i="28"/>
  <c r="V65" i="28"/>
  <c r="V76" i="28"/>
  <c r="V57" i="28"/>
  <c r="J27" i="4"/>
  <c r="J31" i="4"/>
  <c r="J34" i="4"/>
  <c r="F16" i="5"/>
  <c r="F20" i="5"/>
  <c r="J16" i="7"/>
  <c r="J20" i="7"/>
  <c r="J27" i="8"/>
  <c r="J31" i="8"/>
  <c r="J34" i="8"/>
  <c r="J21" i="9"/>
  <c r="F22" i="9"/>
  <c r="J29" i="9"/>
  <c r="F30" i="9"/>
  <c r="J33" i="9"/>
  <c r="F34" i="9"/>
  <c r="J41" i="9"/>
  <c r="J49" i="9"/>
  <c r="V53" i="9"/>
  <c r="R54" i="9"/>
  <c r="J55" i="9"/>
  <c r="F58" i="9"/>
  <c r="R59" i="9"/>
  <c r="J61" i="9"/>
  <c r="F62" i="9"/>
  <c r="R63" i="9"/>
  <c r="J65" i="9"/>
  <c r="F66" i="9"/>
  <c r="J69" i="9"/>
  <c r="F73" i="9"/>
  <c r="V73" i="9"/>
  <c r="R74" i="9"/>
  <c r="J77" i="9"/>
  <c r="F78" i="9"/>
  <c r="R79" i="9"/>
  <c r="J81" i="9"/>
  <c r="V85" i="9"/>
  <c r="R86" i="9"/>
  <c r="R92" i="9"/>
  <c r="R21" i="10"/>
  <c r="J16" i="11"/>
  <c r="J20" i="11"/>
  <c r="Z15" i="12"/>
  <c r="L22" i="12"/>
  <c r="N22" i="12" s="1"/>
  <c r="Z31" i="12"/>
  <c r="L38" i="12"/>
  <c r="N38" i="12" s="1"/>
  <c r="X154" i="12"/>
  <c r="Z154" i="12" s="1"/>
  <c r="N156" i="12"/>
  <c r="L156" i="12"/>
  <c r="X189" i="12"/>
  <c r="Z189" i="12" s="1"/>
  <c r="X198" i="12"/>
  <c r="Z198" i="12" s="1"/>
  <c r="L215" i="12"/>
  <c r="N215" i="12" s="1"/>
  <c r="N21" i="13"/>
  <c r="L21" i="13"/>
  <c r="N21" i="14"/>
  <c r="L21" i="14"/>
  <c r="Z20" i="15"/>
  <c r="N23" i="15"/>
  <c r="Z52" i="15"/>
  <c r="N55" i="15"/>
  <c r="J142" i="15"/>
  <c r="J160" i="15"/>
  <c r="L180" i="15"/>
  <c r="N180" i="15" s="1"/>
  <c r="J201" i="15"/>
  <c r="N219" i="15"/>
  <c r="L219" i="15"/>
  <c r="J24" i="16"/>
  <c r="J31" i="16"/>
  <c r="J21" i="16"/>
  <c r="J18" i="16"/>
  <c r="J36" i="16"/>
  <c r="J25" i="16"/>
  <c r="H18" i="16"/>
  <c r="J15" i="16"/>
  <c r="J29" i="16"/>
  <c r="J22" i="16"/>
  <c r="N12" i="16"/>
  <c r="J34" i="16"/>
  <c r="Z56" i="18"/>
  <c r="N29" i="19"/>
  <c r="L29" i="19"/>
  <c r="N33" i="19"/>
  <c r="L33" i="19"/>
  <c r="J16" i="4"/>
  <c r="J16" i="8"/>
  <c r="J22" i="9"/>
  <c r="J30" i="9"/>
  <c r="J34" i="9"/>
  <c r="J44" i="9"/>
  <c r="J52" i="9"/>
  <c r="J58" i="9"/>
  <c r="J62" i="9"/>
  <c r="J66" i="9"/>
  <c r="J78" i="9"/>
  <c r="J84" i="9"/>
  <c r="F90" i="9"/>
  <c r="F97" i="9"/>
  <c r="Z169" i="12"/>
  <c r="X169" i="12"/>
  <c r="Z229" i="12"/>
  <c r="Z16" i="13"/>
  <c r="X16" i="13"/>
  <c r="N24" i="13"/>
  <c r="L24" i="13"/>
  <c r="Z34" i="13"/>
  <c r="X34" i="13"/>
  <c r="J226" i="15"/>
  <c r="J220" i="15"/>
  <c r="J212" i="15"/>
  <c r="J200" i="15"/>
  <c r="J196" i="15"/>
  <c r="J192" i="15"/>
  <c r="J188" i="15"/>
  <c r="J184" i="15"/>
  <c r="J168" i="15"/>
  <c r="J162" i="15"/>
  <c r="J156" i="15"/>
  <c r="J140" i="15"/>
  <c r="J136" i="15"/>
  <c r="H125" i="15"/>
  <c r="J116" i="15"/>
  <c r="J108" i="15"/>
  <c r="J100" i="15"/>
  <c r="J92" i="15"/>
  <c r="J84" i="15"/>
  <c r="J215" i="15"/>
  <c r="J211" i="15"/>
  <c r="J205" i="15"/>
  <c r="J199" i="15"/>
  <c r="J195" i="15"/>
  <c r="J191" i="15"/>
  <c r="J187" i="15"/>
  <c r="J183" i="15"/>
  <c r="J179" i="15"/>
  <c r="J173" i="15"/>
  <c r="J167" i="15"/>
  <c r="J159" i="15"/>
  <c r="J155" i="15"/>
  <c r="J149" i="15"/>
  <c r="J135" i="15"/>
  <c r="J127" i="15"/>
  <c r="J123" i="15"/>
  <c r="J115" i="15"/>
  <c r="J107" i="15"/>
  <c r="J99" i="15"/>
  <c r="J91" i="15"/>
  <c r="J83" i="15"/>
  <c r="J218" i="15"/>
  <c r="J208" i="15"/>
  <c r="J198" i="15"/>
  <c r="J190" i="15"/>
  <c r="J186" i="15"/>
  <c r="J182" i="15"/>
  <c r="J176" i="15"/>
  <c r="J170" i="15"/>
  <c r="J164" i="15"/>
  <c r="J158" i="15"/>
  <c r="J152" i="15"/>
  <c r="J146" i="15"/>
  <c r="J134" i="15"/>
  <c r="J128" i="15"/>
  <c r="J122" i="15"/>
  <c r="J114" i="15"/>
  <c r="J106" i="15"/>
  <c r="J98" i="15"/>
  <c r="J90" i="15"/>
  <c r="J221" i="15"/>
  <c r="J181" i="15"/>
  <c r="J161" i="15"/>
  <c r="J145" i="15"/>
  <c r="J139" i="15"/>
  <c r="J133" i="15"/>
  <c r="J121" i="15"/>
  <c r="J113" i="15"/>
  <c r="J105" i="15"/>
  <c r="J97" i="15"/>
  <c r="J89" i="15"/>
  <c r="J214" i="15"/>
  <c r="J210" i="15"/>
  <c r="J204" i="15"/>
  <c r="J194" i="15"/>
  <c r="J178" i="15"/>
  <c r="J172" i="15"/>
  <c r="J166" i="15"/>
  <c r="J154" i="15"/>
  <c r="J148" i="15"/>
  <c r="J144" i="15"/>
  <c r="J132" i="15"/>
  <c r="J120" i="15"/>
  <c r="J112" i="15"/>
  <c r="J104" i="15"/>
  <c r="J96" i="15"/>
  <c r="J88" i="15"/>
  <c r="J82" i="15"/>
  <c r="J219" i="15"/>
  <c r="J207" i="15"/>
  <c r="J203" i="15"/>
  <c r="J197" i="15"/>
  <c r="J189" i="15"/>
  <c r="J185" i="15"/>
  <c r="J175" i="15"/>
  <c r="J169" i="15"/>
  <c r="J163" i="15"/>
  <c r="J157" i="15"/>
  <c r="J151" i="15"/>
  <c r="J143" i="15"/>
  <c r="J131" i="15"/>
  <c r="J119" i="15"/>
  <c r="J111" i="15"/>
  <c r="J103" i="15"/>
  <c r="J95" i="15"/>
  <c r="J87" i="15"/>
  <c r="J85" i="15"/>
  <c r="J118" i="15"/>
  <c r="J180" i="15"/>
  <c r="Z221" i="15"/>
  <c r="X221" i="15"/>
  <c r="P27" i="16"/>
  <c r="Z22" i="16"/>
  <c r="X22" i="16"/>
  <c r="P12" i="18"/>
  <c r="L73" i="18"/>
  <c r="N73" i="18" s="1"/>
  <c r="L12" i="4"/>
  <c r="F15" i="4"/>
  <c r="D18" i="4"/>
  <c r="F25" i="4"/>
  <c r="F29" i="4"/>
  <c r="F33" i="4"/>
  <c r="J16" i="5"/>
  <c r="F14" i="6"/>
  <c r="F18" i="6"/>
  <c r="F22" i="6"/>
  <c r="F28" i="6"/>
  <c r="N12" i="7"/>
  <c r="L12" i="8"/>
  <c r="F15" i="8"/>
  <c r="D18" i="8"/>
  <c r="F25" i="8"/>
  <c r="F29" i="8"/>
  <c r="F33" i="8"/>
  <c r="L12" i="9"/>
  <c r="F18" i="9"/>
  <c r="F19" i="9"/>
  <c r="J23" i="9"/>
  <c r="F24" i="9"/>
  <c r="F31" i="9"/>
  <c r="J35" i="9"/>
  <c r="F36" i="9"/>
  <c r="J39" i="9"/>
  <c r="J47" i="9"/>
  <c r="V51" i="9"/>
  <c r="F56" i="9"/>
  <c r="R57" i="9"/>
  <c r="F59" i="9"/>
  <c r="V59" i="9"/>
  <c r="R60" i="9"/>
  <c r="F63" i="9"/>
  <c r="V63" i="9"/>
  <c r="R64" i="9"/>
  <c r="J67" i="9"/>
  <c r="V71" i="9"/>
  <c r="R72" i="9"/>
  <c r="V75" i="9"/>
  <c r="R76" i="9"/>
  <c r="V79" i="9"/>
  <c r="R27" i="10"/>
  <c r="R31" i="10"/>
  <c r="J22" i="11"/>
  <c r="X24" i="12"/>
  <c r="Z24" i="12" s="1"/>
  <c r="X26" i="12"/>
  <c r="Z26" i="12" s="1"/>
  <c r="Z28" i="12"/>
  <c r="X40" i="12"/>
  <c r="Z40" i="12" s="1"/>
  <c r="X42" i="12"/>
  <c r="Z42" i="12" s="1"/>
  <c r="Z59" i="12"/>
  <c r="Z67" i="12"/>
  <c r="Z75" i="12"/>
  <c r="N87" i="12"/>
  <c r="X134" i="12"/>
  <c r="Z134" i="12" s="1"/>
  <c r="L159" i="12"/>
  <c r="N159" i="12" s="1"/>
  <c r="N187" i="12"/>
  <c r="Z227" i="12"/>
  <c r="Z24" i="14"/>
  <c r="X24" i="14"/>
  <c r="X19" i="15"/>
  <c r="Z19" i="15" s="1"/>
  <c r="N26" i="15"/>
  <c r="Z28" i="15"/>
  <c r="N31" i="15"/>
  <c r="Z37" i="15"/>
  <c r="N40" i="15"/>
  <c r="X51" i="15"/>
  <c r="Z51" i="15" s="1"/>
  <c r="Z60" i="15"/>
  <c r="Z69" i="15"/>
  <c r="N72" i="15"/>
  <c r="N82" i="15"/>
  <c r="Z128" i="15"/>
  <c r="J130" i="15"/>
  <c r="J141" i="15"/>
  <c r="J147" i="15"/>
  <c r="N154" i="15"/>
  <c r="N194" i="15"/>
  <c r="J213" i="15"/>
  <c r="N214" i="15"/>
  <c r="X218" i="15"/>
  <c r="Z218" i="15" s="1"/>
  <c r="P217" i="15"/>
  <c r="J18" i="17"/>
  <c r="J34" i="17"/>
  <c r="J24" i="17"/>
  <c r="J20" i="17"/>
  <c r="J33" i="17"/>
  <c r="J31" i="17"/>
  <c r="J22" i="17"/>
  <c r="H18" i="17"/>
  <c r="J16" i="17"/>
  <c r="J29" i="17"/>
  <c r="J27" i="17"/>
  <c r="Z33" i="17"/>
  <c r="X33" i="17"/>
  <c r="N36" i="18"/>
  <c r="X55" i="18"/>
  <c r="Z55" i="18" s="1"/>
  <c r="N91" i="18"/>
  <c r="Z93" i="18"/>
  <c r="Z152" i="18"/>
  <c r="R20" i="17"/>
  <c r="R16" i="17"/>
  <c r="R21" i="17"/>
  <c r="R24" i="17"/>
  <c r="R34" i="17"/>
  <c r="Z26" i="18"/>
  <c r="N35" i="18"/>
  <c r="Z40" i="18"/>
  <c r="Z48" i="18"/>
  <c r="N84" i="18"/>
  <c r="Z151" i="18"/>
  <c r="N188" i="18"/>
  <c r="N242" i="18"/>
  <c r="N247" i="18"/>
  <c r="L247" i="18"/>
  <c r="H12" i="21"/>
  <c r="N13" i="21"/>
  <c r="L32" i="21"/>
  <c r="D12" i="25"/>
  <c r="N50" i="28"/>
  <c r="L50" i="28"/>
  <c r="F164" i="34"/>
  <c r="F158" i="34"/>
  <c r="F155" i="34"/>
  <c r="F151" i="34"/>
  <c r="F143" i="34"/>
  <c r="F135" i="34"/>
  <c r="F131" i="34"/>
  <c r="F119" i="34"/>
  <c r="F114" i="34"/>
  <c r="F99" i="34"/>
  <c r="F95" i="34"/>
  <c r="F83" i="34"/>
  <c r="F75" i="34"/>
  <c r="F67" i="34"/>
  <c r="F59" i="34"/>
  <c r="F150" i="34"/>
  <c r="F146" i="34"/>
  <c r="F142" i="34"/>
  <c r="F138" i="34"/>
  <c r="F134" i="34"/>
  <c r="F125" i="34"/>
  <c r="F122" i="34"/>
  <c r="F110" i="34"/>
  <c r="F105" i="34"/>
  <c r="F94" i="34"/>
  <c r="F89" i="34"/>
  <c r="F88" i="34"/>
  <c r="F82" i="34"/>
  <c r="F74" i="34"/>
  <c r="F66" i="34"/>
  <c r="F160" i="34"/>
  <c r="F157" i="34"/>
  <c r="F149" i="34"/>
  <c r="F145" i="34"/>
  <c r="F141" i="34"/>
  <c r="F137" i="34"/>
  <c r="F133" i="34"/>
  <c r="F128" i="34"/>
  <c r="F116" i="34"/>
  <c r="F113" i="34"/>
  <c r="F93" i="34"/>
  <c r="F81" i="34"/>
  <c r="F73" i="34"/>
  <c r="F65" i="34"/>
  <c r="F159" i="34"/>
  <c r="F154" i="34"/>
  <c r="F163" i="34"/>
  <c r="F126" i="34"/>
  <c r="F121" i="34"/>
  <c r="F109" i="34"/>
  <c r="F106" i="34"/>
  <c r="F102" i="34"/>
  <c r="F90" i="34"/>
  <c r="F78" i="34"/>
  <c r="F70" i="34"/>
  <c r="F62" i="34"/>
  <c r="F148" i="34"/>
  <c r="F140" i="34"/>
  <c r="F124" i="34"/>
  <c r="F98" i="34"/>
  <c r="F92" i="34"/>
  <c r="F80" i="34"/>
  <c r="F64" i="34"/>
  <c r="F147" i="34"/>
  <c r="F139" i="34"/>
  <c r="F123" i="34"/>
  <c r="F104" i="34"/>
  <c r="F77" i="34"/>
  <c r="F76" i="34"/>
  <c r="F61" i="34"/>
  <c r="F60" i="34"/>
  <c r="F58" i="34"/>
  <c r="F107" i="34"/>
  <c r="F101" i="34"/>
  <c r="F100" i="34"/>
  <c r="F161" i="34"/>
  <c r="F129" i="34"/>
  <c r="F127" i="34"/>
  <c r="F112" i="34"/>
  <c r="F108" i="34"/>
  <c r="F71" i="34"/>
  <c r="F156" i="34"/>
  <c r="F132" i="34"/>
  <c r="F130" i="34"/>
  <c r="F117" i="34"/>
  <c r="F115" i="34"/>
  <c r="F72" i="34"/>
  <c r="F144" i="34"/>
  <c r="F91" i="34"/>
  <c r="D86" i="34"/>
  <c r="F79" i="34"/>
  <c r="F69" i="34"/>
  <c r="F68" i="34"/>
  <c r="F63" i="34"/>
  <c r="F166" i="34"/>
  <c r="F165" i="34"/>
  <c r="F153" i="34"/>
  <c r="F152" i="34"/>
  <c r="F136" i="34"/>
  <c r="F120" i="34"/>
  <c r="F103" i="34"/>
  <c r="F97" i="34"/>
  <c r="F96" i="34"/>
  <c r="F170" i="34"/>
  <c r="F118" i="34"/>
  <c r="F111" i="34"/>
  <c r="F84" i="34"/>
  <c r="F86" i="34"/>
  <c r="P18" i="13"/>
  <c r="J27" i="13"/>
  <c r="R29" i="13"/>
  <c r="J31" i="13"/>
  <c r="R33" i="13"/>
  <c r="J34" i="13"/>
  <c r="R36" i="13"/>
  <c r="F16" i="14"/>
  <c r="F20" i="14"/>
  <c r="J24" i="14"/>
  <c r="R24" i="16"/>
  <c r="R27" i="16"/>
  <c r="L33" i="17"/>
  <c r="D12" i="18"/>
  <c r="L15" i="18"/>
  <c r="N15" i="18" s="1"/>
  <c r="N17" i="18"/>
  <c r="L19" i="18"/>
  <c r="N19" i="18" s="1"/>
  <c r="Z23" i="18"/>
  <c r="X26" i="18"/>
  <c r="L31" i="18"/>
  <c r="N31" i="18" s="1"/>
  <c r="N33" i="18"/>
  <c r="L35" i="18"/>
  <c r="Z39" i="18"/>
  <c r="Z47" i="18"/>
  <c r="Z53" i="18"/>
  <c r="Z80" i="18"/>
  <c r="N83" i="18"/>
  <c r="N32" i="21"/>
  <c r="N59" i="21"/>
  <c r="Z65" i="21"/>
  <c r="N67" i="21"/>
  <c r="L86" i="21"/>
  <c r="N86" i="21" s="1"/>
  <c r="R108" i="25"/>
  <c r="R104" i="25"/>
  <c r="R88" i="25"/>
  <c r="R85" i="25"/>
  <c r="R68" i="25"/>
  <c r="R56" i="25"/>
  <c r="R48" i="25"/>
  <c r="R114" i="25"/>
  <c r="R107" i="25"/>
  <c r="R100" i="25"/>
  <c r="R96" i="25"/>
  <c r="R91" i="25"/>
  <c r="R79" i="25"/>
  <c r="R72" i="25"/>
  <c r="R67" i="25"/>
  <c r="R55" i="25"/>
  <c r="R47" i="25"/>
  <c r="R40" i="25"/>
  <c r="R106" i="25"/>
  <c r="R93" i="25"/>
  <c r="R81" i="25"/>
  <c r="R77" i="25"/>
  <c r="R65" i="25"/>
  <c r="R53" i="25"/>
  <c r="R45" i="25"/>
  <c r="R115" i="25"/>
  <c r="R112" i="25"/>
  <c r="R109" i="25"/>
  <c r="R89" i="25"/>
  <c r="R84" i="25"/>
  <c r="R76" i="25"/>
  <c r="R64" i="25"/>
  <c r="R59" i="25"/>
  <c r="R52" i="25"/>
  <c r="R44" i="25"/>
  <c r="X12" i="25"/>
  <c r="R121" i="25"/>
  <c r="R99" i="25"/>
  <c r="R95" i="25"/>
  <c r="R92" i="25"/>
  <c r="R83" i="25"/>
  <c r="R80" i="25"/>
  <c r="R75" i="25"/>
  <c r="R71" i="25"/>
  <c r="R63" i="25"/>
  <c r="R61" i="25"/>
  <c r="P59" i="25"/>
  <c r="R51" i="25"/>
  <c r="R43" i="25"/>
  <c r="R111" i="25"/>
  <c r="R102" i="25"/>
  <c r="R98" i="25"/>
  <c r="R86" i="25"/>
  <c r="R73" i="25"/>
  <c r="R62" i="25"/>
  <c r="R116" i="25"/>
  <c r="R105" i="25"/>
  <c r="R74" i="25"/>
  <c r="R82" i="25"/>
  <c r="R117" i="25"/>
  <c r="R110" i="25"/>
  <c r="R103" i="25"/>
  <c r="R70" i="25"/>
  <c r="R69" i="25"/>
  <c r="R66" i="25"/>
  <c r="R97" i="25"/>
  <c r="R78" i="25"/>
  <c r="R94" i="25"/>
  <c r="R90" i="25"/>
  <c r="R57" i="25"/>
  <c r="R49" i="25"/>
  <c r="R101" i="25"/>
  <c r="R87" i="25"/>
  <c r="R54" i="25"/>
  <c r="R50" i="25"/>
  <c r="R46" i="25"/>
  <c r="R42" i="25"/>
  <c r="R41" i="25"/>
  <c r="J16" i="13"/>
  <c r="J20" i="13"/>
  <c r="R33" i="16"/>
  <c r="X12" i="17"/>
  <c r="R15" i="17"/>
  <c r="R25" i="17"/>
  <c r="R36" i="17"/>
  <c r="H12" i="18"/>
  <c r="X22" i="18"/>
  <c r="Z22" i="18" s="1"/>
  <c r="N30" i="18"/>
  <c r="N43" i="18"/>
  <c r="L229" i="18"/>
  <c r="N229" i="18" s="1"/>
  <c r="P241" i="18"/>
  <c r="X241" i="18" s="1"/>
  <c r="Z241" i="18" s="1"/>
  <c r="N50" i="21"/>
  <c r="L50" i="21"/>
  <c r="N93" i="21"/>
  <c r="L93" i="21"/>
  <c r="Z22" i="26"/>
  <c r="X22" i="26"/>
  <c r="N42" i="28"/>
  <c r="L42" i="28"/>
  <c r="Z43" i="28"/>
  <c r="X43" i="28"/>
  <c r="L12" i="13"/>
  <c r="F15" i="13"/>
  <c r="D18" i="13"/>
  <c r="R21" i="13"/>
  <c r="F25" i="13"/>
  <c r="F29" i="13"/>
  <c r="F33" i="13"/>
  <c r="F36" i="13"/>
  <c r="J16" i="14"/>
  <c r="J20" i="14"/>
  <c r="F22" i="14"/>
  <c r="D217" i="15"/>
  <c r="T217" i="15"/>
  <c r="V34" i="16"/>
  <c r="V31" i="16"/>
  <c r="R16" i="16"/>
  <c r="R20" i="16"/>
  <c r="V24" i="16"/>
  <c r="V27" i="16"/>
  <c r="X13" i="17"/>
  <c r="R27" i="17"/>
  <c r="L14" i="18"/>
  <c r="N14" i="18" s="1"/>
  <c r="X16" i="18"/>
  <c r="Z16" i="18" s="1"/>
  <c r="Z21" i="18"/>
  <c r="L30" i="18"/>
  <c r="X32" i="18"/>
  <c r="Z37" i="18"/>
  <c r="L43" i="18"/>
  <c r="Z45" i="18"/>
  <c r="X64" i="18"/>
  <c r="Z64" i="18" s="1"/>
  <c r="L68" i="18"/>
  <c r="X72" i="18"/>
  <c r="L76" i="18"/>
  <c r="N76" i="18" s="1"/>
  <c r="X79" i="18"/>
  <c r="Z79" i="18" s="1"/>
  <c r="N152" i="18"/>
  <c r="Z204" i="18"/>
  <c r="N245" i="18"/>
  <c r="N15" i="19"/>
  <c r="L15" i="19"/>
  <c r="L13" i="20"/>
  <c r="Z32" i="21"/>
  <c r="Z59" i="21"/>
  <c r="Z67" i="21"/>
  <c r="Z86" i="21"/>
  <c r="X61" i="25"/>
  <c r="J22" i="13"/>
  <c r="F25" i="14"/>
  <c r="F29" i="14"/>
  <c r="F33" i="14"/>
  <c r="F36" i="14"/>
  <c r="X29" i="16"/>
  <c r="R34" i="16"/>
  <c r="R29" i="17"/>
  <c r="N68" i="18"/>
  <c r="Z71" i="18"/>
  <c r="Z72" i="18"/>
  <c r="Z21" i="19"/>
  <c r="X21" i="19"/>
  <c r="N21" i="22"/>
  <c r="L21" i="22"/>
  <c r="Z61" i="25"/>
  <c r="V20" i="26"/>
  <c r="V16" i="26"/>
  <c r="Z12" i="26"/>
  <c r="V34" i="26"/>
  <c r="V31" i="26"/>
  <c r="V27" i="26"/>
  <c r="X12" i="26"/>
  <c r="V21" i="26"/>
  <c r="V18" i="26"/>
  <c r="V36" i="26"/>
  <c r="V33" i="26"/>
  <c r="V29" i="26"/>
  <c r="V25" i="26"/>
  <c r="T18" i="26"/>
  <c r="V15" i="26"/>
  <c r="V22" i="26"/>
  <c r="N16" i="26"/>
  <c r="L16" i="26"/>
  <c r="J15" i="13"/>
  <c r="H18" i="13"/>
  <c r="J25" i="13"/>
  <c r="R27" i="13"/>
  <c r="J29" i="13"/>
  <c r="R31" i="13"/>
  <c r="J33" i="13"/>
  <c r="N12" i="14"/>
  <c r="H217" i="15"/>
  <c r="Z12" i="16"/>
  <c r="V16" i="16"/>
  <c r="V20" i="16"/>
  <c r="R22" i="16"/>
  <c r="R29" i="16"/>
  <c r="F24" i="17"/>
  <c r="F36" i="17"/>
  <c r="F33" i="17"/>
  <c r="F29" i="17"/>
  <c r="F25" i="17"/>
  <c r="D18" i="17"/>
  <c r="F15" i="17"/>
  <c r="L12" i="17"/>
  <c r="L15" i="17"/>
  <c r="P18" i="17"/>
  <c r="F21" i="17"/>
  <c r="X22" i="17"/>
  <c r="L25" i="17"/>
  <c r="R31" i="17"/>
  <c r="T12" i="18"/>
  <c r="Z15" i="18"/>
  <c r="X18" i="18"/>
  <c r="Z18" i="18" s="1"/>
  <c r="L23" i="18"/>
  <c r="N23" i="18" s="1"/>
  <c r="N25" i="18"/>
  <c r="L27" i="18"/>
  <c r="N27" i="18" s="1"/>
  <c r="Z31" i="18"/>
  <c r="X34" i="18"/>
  <c r="Z34" i="18" s="1"/>
  <c r="L39" i="18"/>
  <c r="N39" i="18" s="1"/>
  <c r="X56" i="18"/>
  <c r="L60" i="18"/>
  <c r="N60" i="18" s="1"/>
  <c r="Z63" i="18"/>
  <c r="N67" i="18"/>
  <c r="X71" i="18"/>
  <c r="N75" i="18"/>
  <c r="Z77" i="18"/>
  <c r="N81" i="18"/>
  <c r="X88" i="18"/>
  <c r="Z88" i="18" s="1"/>
  <c r="X95" i="18"/>
  <c r="L151" i="18"/>
  <c r="N151" i="18" s="1"/>
  <c r="Z184" i="18"/>
  <c r="Z246" i="18"/>
  <c r="N25" i="19"/>
  <c r="L25" i="19"/>
  <c r="L21" i="21"/>
  <c r="Z25" i="21"/>
  <c r="Z56" i="21"/>
  <c r="X56" i="21"/>
  <c r="N61" i="21"/>
  <c r="L20" i="22"/>
  <c r="Z72" i="25"/>
  <c r="V15" i="17"/>
  <c r="T18" i="17"/>
  <c r="V25" i="17"/>
  <c r="V29" i="17"/>
  <c r="V33" i="17"/>
  <c r="V36" i="17"/>
  <c r="J15" i="19"/>
  <c r="H18" i="19"/>
  <c r="F21" i="19"/>
  <c r="V21" i="19"/>
  <c r="J25" i="19"/>
  <c r="R27" i="19"/>
  <c r="J29" i="19"/>
  <c r="R31" i="19"/>
  <c r="J33" i="19"/>
  <c r="R34" i="19"/>
  <c r="J36" i="19"/>
  <c r="N12" i="20"/>
  <c r="F18" i="20"/>
  <c r="V18" i="20"/>
  <c r="J22" i="20"/>
  <c r="R24" i="20"/>
  <c r="L13" i="21"/>
  <c r="J22" i="23"/>
  <c r="N12" i="23"/>
  <c r="J34" i="23"/>
  <c r="J31" i="23"/>
  <c r="J27" i="23"/>
  <c r="J24" i="23"/>
  <c r="J21" i="23"/>
  <c r="J20" i="23"/>
  <c r="N21" i="23"/>
  <c r="L21" i="23"/>
  <c r="X29" i="23"/>
  <c r="L20" i="24"/>
  <c r="L25" i="24"/>
  <c r="L33" i="24"/>
  <c r="N16" i="25"/>
  <c r="N23" i="25"/>
  <c r="Z26" i="25"/>
  <c r="L114" i="25"/>
  <c r="P12" i="28"/>
  <c r="Z30" i="28"/>
  <c r="X30" i="28"/>
  <c r="Z51" i="28"/>
  <c r="X51" i="28"/>
  <c r="L103" i="28"/>
  <c r="N103" i="28" s="1"/>
  <c r="N144" i="28"/>
  <c r="Z153" i="28"/>
  <c r="X153" i="28"/>
  <c r="N155" i="28"/>
  <c r="L155" i="28"/>
  <c r="V88" i="31"/>
  <c r="V78" i="31"/>
  <c r="V74" i="31"/>
  <c r="V83" i="31"/>
  <c r="V77" i="31"/>
  <c r="V73" i="31"/>
  <c r="V69" i="31"/>
  <c r="V53" i="31"/>
  <c r="V80" i="31"/>
  <c r="V72" i="31"/>
  <c r="V79" i="31"/>
  <c r="V71" i="31"/>
  <c r="V59" i="31"/>
  <c r="V55" i="31"/>
  <c r="V47" i="31"/>
  <c r="V43" i="31"/>
  <c r="V84" i="31"/>
  <c r="V70" i="31"/>
  <c r="V76" i="31"/>
  <c r="V64" i="31"/>
  <c r="V60" i="31"/>
  <c r="V52" i="31"/>
  <c r="V75" i="31"/>
  <c r="V67" i="31"/>
  <c r="V63" i="31"/>
  <c r="V51" i="31"/>
  <c r="V37" i="31"/>
  <c r="T32" i="31"/>
  <c r="V57" i="31"/>
  <c r="V54" i="31"/>
  <c r="V36" i="31"/>
  <c r="V58" i="31"/>
  <c r="V35" i="31"/>
  <c r="V66" i="31"/>
  <c r="V61" i="31"/>
  <c r="V56" i="31"/>
  <c r="V46" i="31"/>
  <c r="V45" i="31"/>
  <c r="V44" i="31"/>
  <c r="V30" i="31"/>
  <c r="V68" i="31"/>
  <c r="V29" i="31"/>
  <c r="V49" i="31"/>
  <c r="V28" i="31"/>
  <c r="V65" i="31"/>
  <c r="V50" i="31"/>
  <c r="V42" i="31"/>
  <c r="V41" i="31"/>
  <c r="V40" i="31"/>
  <c r="V39" i="31"/>
  <c r="V27" i="31"/>
  <c r="Z21" i="31"/>
  <c r="L24" i="31"/>
  <c r="V32" i="31"/>
  <c r="V38" i="31"/>
  <c r="H241" i="18"/>
  <c r="L241" i="18" s="1"/>
  <c r="F24" i="19"/>
  <c r="V24" i="19"/>
  <c r="J15" i="20"/>
  <c r="H18" i="20"/>
  <c r="V21" i="20"/>
  <c r="J25" i="20"/>
  <c r="R27" i="20"/>
  <c r="J29" i="20"/>
  <c r="R31" i="20"/>
  <c r="J33" i="20"/>
  <c r="R34" i="20"/>
  <c r="J36" i="20"/>
  <c r="P12" i="21"/>
  <c r="Z16" i="22"/>
  <c r="X16" i="22"/>
  <c r="R24" i="23"/>
  <c r="R21" i="23"/>
  <c r="R36" i="23"/>
  <c r="R33" i="23"/>
  <c r="R29" i="23"/>
  <c r="R25" i="23"/>
  <c r="P18" i="23"/>
  <c r="R15" i="23"/>
  <c r="R22" i="23"/>
  <c r="X12" i="23"/>
  <c r="R27" i="23"/>
  <c r="R21" i="24"/>
  <c r="R18" i="24"/>
  <c r="R22" i="24"/>
  <c r="X12" i="24"/>
  <c r="R20" i="24"/>
  <c r="R16" i="24"/>
  <c r="F21" i="24"/>
  <c r="R36" i="24"/>
  <c r="Z18" i="25"/>
  <c r="N22" i="25"/>
  <c r="X23" i="25"/>
  <c r="Z23" i="25" s="1"/>
  <c r="N30" i="25"/>
  <c r="X31" i="25"/>
  <c r="L92" i="25"/>
  <c r="N92" i="25" s="1"/>
  <c r="N100" i="25"/>
  <c r="N103" i="25"/>
  <c r="L103" i="25"/>
  <c r="N117" i="25"/>
  <c r="L117" i="25"/>
  <c r="H114" i="25"/>
  <c r="R31" i="27"/>
  <c r="L15" i="28"/>
  <c r="N15" i="28" s="1"/>
  <c r="H12" i="28"/>
  <c r="L23" i="28"/>
  <c r="N23" i="28" s="1"/>
  <c r="Z38" i="28"/>
  <c r="X38" i="28"/>
  <c r="Z109" i="28"/>
  <c r="X109" i="28"/>
  <c r="X137" i="28"/>
  <c r="Z137" i="28" s="1"/>
  <c r="X34" i="30"/>
  <c r="N24" i="31"/>
  <c r="L78" i="18"/>
  <c r="N78" i="18" s="1"/>
  <c r="X82" i="18"/>
  <c r="Z82" i="18" s="1"/>
  <c r="L86" i="18"/>
  <c r="X90" i="18"/>
  <c r="Z90" i="18" s="1"/>
  <c r="L94" i="18"/>
  <c r="N94" i="18" s="1"/>
  <c r="X12" i="19"/>
  <c r="J21" i="19"/>
  <c r="F27" i="19"/>
  <c r="V27" i="19"/>
  <c r="F31" i="19"/>
  <c r="V31" i="19"/>
  <c r="F34" i="19"/>
  <c r="V34" i="19"/>
  <c r="R16" i="20"/>
  <c r="J18" i="20"/>
  <c r="R20" i="20"/>
  <c r="V24" i="20"/>
  <c r="T12" i="21"/>
  <c r="V15" i="22"/>
  <c r="V24" i="22"/>
  <c r="V27" i="22"/>
  <c r="V29" i="22"/>
  <c r="V18" i="23"/>
  <c r="V36" i="23"/>
  <c r="V33" i="23"/>
  <c r="V29" i="23"/>
  <c r="V25" i="23"/>
  <c r="T18" i="23"/>
  <c r="V15" i="23"/>
  <c r="V20" i="23"/>
  <c r="V16" i="23"/>
  <c r="Z12" i="23"/>
  <c r="V34" i="23"/>
  <c r="V31" i="23"/>
  <c r="V27" i="23"/>
  <c r="R20" i="23"/>
  <c r="Z31" i="25"/>
  <c r="N20" i="26"/>
  <c r="L20" i="26"/>
  <c r="N27" i="28"/>
  <c r="N44" i="28"/>
  <c r="X46" i="28"/>
  <c r="Z46" i="28" s="1"/>
  <c r="L163" i="28"/>
  <c r="N163" i="28" s="1"/>
  <c r="D160" i="28"/>
  <c r="Z16" i="29"/>
  <c r="X16" i="29"/>
  <c r="N34" i="31"/>
  <c r="Z12" i="19"/>
  <c r="F16" i="19"/>
  <c r="V16" i="19"/>
  <c r="F20" i="19"/>
  <c r="V20" i="19"/>
  <c r="J24" i="19"/>
  <c r="X12" i="20"/>
  <c r="J21" i="20"/>
  <c r="F27" i="20"/>
  <c r="V27" i="20"/>
  <c r="F31" i="20"/>
  <c r="V31" i="20"/>
  <c r="J15" i="23"/>
  <c r="R18" i="23"/>
  <c r="V21" i="23"/>
  <c r="R34" i="23"/>
  <c r="L15" i="24"/>
  <c r="N15" i="25"/>
  <c r="L27" i="25"/>
  <c r="L35" i="25"/>
  <c r="N61" i="25"/>
  <c r="N62" i="25"/>
  <c r="L72" i="25"/>
  <c r="X106" i="25"/>
  <c r="Z106" i="25" s="1"/>
  <c r="N21" i="26"/>
  <c r="Z24" i="27"/>
  <c r="N34" i="27"/>
  <c r="L34" i="27"/>
  <c r="Z15" i="28"/>
  <c r="N18" i="28"/>
  <c r="L18" i="28"/>
  <c r="X19" i="28"/>
  <c r="Z19" i="28" s="1"/>
  <c r="Z23" i="28"/>
  <c r="N31" i="28"/>
  <c r="L31" i="28"/>
  <c r="Z32" i="28"/>
  <c r="N52" i="28"/>
  <c r="N86" i="28"/>
  <c r="L87" i="28"/>
  <c r="N87" i="28" s="1"/>
  <c r="Z130" i="28"/>
  <c r="Z141" i="28"/>
  <c r="X141" i="28"/>
  <c r="Z20" i="31"/>
  <c r="V48" i="31"/>
  <c r="V21" i="22"/>
  <c r="V18" i="22"/>
  <c r="V22" i="22"/>
  <c r="V20" i="22"/>
  <c r="V16" i="22"/>
  <c r="Z12" i="22"/>
  <c r="Z20" i="22"/>
  <c r="X20" i="22"/>
  <c r="Z24" i="23"/>
  <c r="X24" i="23"/>
  <c r="Z34" i="23"/>
  <c r="X34" i="23"/>
  <c r="H18" i="24"/>
  <c r="X24" i="24"/>
  <c r="H12" i="25"/>
  <c r="N14" i="25"/>
  <c r="N35" i="25"/>
  <c r="F20" i="26"/>
  <c r="F16" i="26"/>
  <c r="F34" i="26"/>
  <c r="F31" i="26"/>
  <c r="F27" i="26"/>
  <c r="F21" i="26"/>
  <c r="F18" i="26"/>
  <c r="F36" i="26"/>
  <c r="F33" i="26"/>
  <c r="F29" i="26"/>
  <c r="F25" i="26"/>
  <c r="D18" i="26"/>
  <c r="F15" i="26"/>
  <c r="L12" i="26"/>
  <c r="F22" i="26"/>
  <c r="N26" i="28"/>
  <c r="L26" i="28"/>
  <c r="X27" i="28"/>
  <c r="Z27" i="28" s="1"/>
  <c r="N39" i="28"/>
  <c r="L39" i="28"/>
  <c r="Z54" i="28"/>
  <c r="X54" i="28"/>
  <c r="Z13" i="29"/>
  <c r="X13" i="29"/>
  <c r="Z20" i="29"/>
  <c r="X20" i="29"/>
  <c r="P12" i="31"/>
  <c r="X13" i="31"/>
  <c r="Z13" i="31" s="1"/>
  <c r="J16" i="19"/>
  <c r="F22" i="19"/>
  <c r="R15" i="20"/>
  <c r="P18" i="20"/>
  <c r="R25" i="20"/>
  <c r="J27" i="20"/>
  <c r="R29" i="20"/>
  <c r="J31" i="20"/>
  <c r="R33" i="20"/>
  <c r="J34" i="20"/>
  <c r="X14" i="21"/>
  <c r="Z14" i="21" s="1"/>
  <c r="L18" i="21"/>
  <c r="X22" i="21"/>
  <c r="X12" i="22"/>
  <c r="T18" i="22"/>
  <c r="L24" i="22"/>
  <c r="V25" i="22"/>
  <c r="Z34" i="22"/>
  <c r="X34" i="22"/>
  <c r="V24" i="23"/>
  <c r="R31" i="23"/>
  <c r="P18" i="24"/>
  <c r="X22" i="24"/>
  <c r="R24" i="24"/>
  <c r="L14" i="25"/>
  <c r="X15" i="25"/>
  <c r="Z15" i="25" s="1"/>
  <c r="T12" i="25"/>
  <c r="N19" i="25"/>
  <c r="L19" i="25"/>
  <c r="N26" i="25"/>
  <c r="X27" i="25"/>
  <c r="X35" i="25"/>
  <c r="L40" i="25"/>
  <c r="N40" i="25" s="1"/>
  <c r="X62" i="25"/>
  <c r="Z62" i="25" s="1"/>
  <c r="N72" i="25"/>
  <c r="X85" i="25"/>
  <c r="Z85" i="25" s="1"/>
  <c r="L87" i="25"/>
  <c r="Z89" i="25"/>
  <c r="Z92" i="25"/>
  <c r="Z34" i="26"/>
  <c r="L16" i="28"/>
  <c r="N16" i="28" s="1"/>
  <c r="D12" i="28"/>
  <c r="Z31" i="28"/>
  <c r="N43" i="28"/>
  <c r="L47" i="28"/>
  <c r="N47" i="28" s="1"/>
  <c r="Z48" i="28"/>
  <c r="X86" i="28"/>
  <c r="Z86" i="28" s="1"/>
  <c r="X121" i="28"/>
  <c r="Z121" i="28" s="1"/>
  <c r="L123" i="28"/>
  <c r="N123" i="28" s="1"/>
  <c r="X163" i="28"/>
  <c r="Z163" i="28" s="1"/>
  <c r="T160" i="28"/>
  <c r="V160" i="28" s="1"/>
  <c r="L16" i="31"/>
  <c r="X27" i="31"/>
  <c r="Z34" i="31"/>
  <c r="V62" i="31"/>
  <c r="L12" i="19"/>
  <c r="F15" i="19"/>
  <c r="D18" i="19"/>
  <c r="F25" i="19"/>
  <c r="F29" i="19"/>
  <c r="F33" i="19"/>
  <c r="J16" i="20"/>
  <c r="V34" i="22"/>
  <c r="X15" i="23"/>
  <c r="F36" i="24"/>
  <c r="F33" i="24"/>
  <c r="F29" i="24"/>
  <c r="F25" i="24"/>
  <c r="D18" i="24"/>
  <c r="F15" i="24"/>
  <c r="L12" i="24"/>
  <c r="F22" i="24"/>
  <c r="F20" i="24"/>
  <c r="F16" i="24"/>
  <c r="F34" i="24"/>
  <c r="F31" i="24"/>
  <c r="F27" i="24"/>
  <c r="F24" i="24"/>
  <c r="X19" i="25"/>
  <c r="Z19" i="25" s="1"/>
  <c r="Z27" i="25"/>
  <c r="Z35" i="25"/>
  <c r="Z80" i="25"/>
  <c r="N87" i="25"/>
  <c r="N94" i="25"/>
  <c r="Z114" i="25"/>
  <c r="P27" i="26"/>
  <c r="X12" i="27"/>
  <c r="R20" i="27"/>
  <c r="R16" i="27"/>
  <c r="R24" i="27"/>
  <c r="R21" i="27"/>
  <c r="R18" i="27"/>
  <c r="R36" i="27"/>
  <c r="R33" i="27"/>
  <c r="R29" i="27"/>
  <c r="R25" i="27"/>
  <c r="P18" i="27"/>
  <c r="R15" i="27"/>
  <c r="R27" i="27"/>
  <c r="R34" i="27"/>
  <c r="X14" i="28"/>
  <c r="Z14" i="28" s="1"/>
  <c r="Z22" i="28"/>
  <c r="X22" i="28"/>
  <c r="L34" i="28"/>
  <c r="N34" i="28" s="1"/>
  <c r="X35" i="28"/>
  <c r="Z35" i="28" s="1"/>
  <c r="H160" i="28"/>
  <c r="L161" i="28"/>
  <c r="N161" i="28" s="1"/>
  <c r="V21" i="30"/>
  <c r="V18" i="30"/>
  <c r="V36" i="30"/>
  <c r="V33" i="30"/>
  <c r="V29" i="30"/>
  <c r="V25" i="30"/>
  <c r="T18" i="30"/>
  <c r="V15" i="30"/>
  <c r="V22" i="30"/>
  <c r="V20" i="30"/>
  <c r="V16" i="30"/>
  <c r="Z12" i="30"/>
  <c r="V34" i="30"/>
  <c r="V31" i="30"/>
  <c r="V27" i="30"/>
  <c r="N15" i="31"/>
  <c r="J16" i="26"/>
  <c r="J20" i="26"/>
  <c r="F16" i="29"/>
  <c r="V16" i="29"/>
  <c r="F20" i="29"/>
  <c r="V20" i="29"/>
  <c r="X12" i="30"/>
  <c r="J21" i="30"/>
  <c r="F27" i="30"/>
  <c r="F31" i="30"/>
  <c r="F34" i="30"/>
  <c r="Z13" i="32"/>
  <c r="X13" i="32"/>
  <c r="P163" i="34"/>
  <c r="X163" i="34" s="1"/>
  <c r="Z163" i="34" s="1"/>
  <c r="X164" i="34"/>
  <c r="Z164" i="34" s="1"/>
  <c r="F16" i="22"/>
  <c r="F20" i="22"/>
  <c r="R22" i="22"/>
  <c r="J24" i="22"/>
  <c r="F27" i="23"/>
  <c r="F31" i="23"/>
  <c r="F34" i="23"/>
  <c r="J18" i="24"/>
  <c r="V24" i="24"/>
  <c r="J16" i="27"/>
  <c r="J20" i="27"/>
  <c r="F22" i="27"/>
  <c r="R25" i="29"/>
  <c r="J27" i="29"/>
  <c r="R29" i="29"/>
  <c r="J31" i="29"/>
  <c r="R33" i="29"/>
  <c r="J34" i="29"/>
  <c r="R36" i="29"/>
  <c r="F16" i="30"/>
  <c r="F20" i="30"/>
  <c r="R22" i="30"/>
  <c r="J24" i="30"/>
  <c r="N57" i="31"/>
  <c r="V22" i="33"/>
  <c r="V27" i="33"/>
  <c r="V21" i="33"/>
  <c r="V25" i="33"/>
  <c r="V20" i="33"/>
  <c r="V15" i="33"/>
  <c r="Z12" i="33"/>
  <c r="V34" i="33"/>
  <c r="V24" i="33"/>
  <c r="X12" i="33"/>
  <c r="V31" i="33"/>
  <c r="T18" i="33"/>
  <c r="V36" i="33"/>
  <c r="V29" i="33"/>
  <c r="L30" i="36"/>
  <c r="N30" i="36" s="1"/>
  <c r="V38" i="39"/>
  <c r="R15" i="22"/>
  <c r="P18" i="22"/>
  <c r="R25" i="22"/>
  <c r="J27" i="22"/>
  <c r="R29" i="22"/>
  <c r="J31" i="22"/>
  <c r="R33" i="22"/>
  <c r="J34" i="22"/>
  <c r="R36" i="22"/>
  <c r="F16" i="23"/>
  <c r="F20" i="23"/>
  <c r="J21" i="24"/>
  <c r="V27" i="24"/>
  <c r="V31" i="24"/>
  <c r="V34" i="24"/>
  <c r="L96" i="25"/>
  <c r="N96" i="25" s="1"/>
  <c r="N12" i="26"/>
  <c r="J22" i="26"/>
  <c r="R24" i="26"/>
  <c r="L12" i="27"/>
  <c r="F15" i="27"/>
  <c r="V15" i="27"/>
  <c r="D18" i="27"/>
  <c r="T18" i="27"/>
  <c r="F25" i="27"/>
  <c r="V25" i="27"/>
  <c r="F29" i="27"/>
  <c r="V29" i="27"/>
  <c r="F33" i="27"/>
  <c r="V33" i="27"/>
  <c r="F36" i="27"/>
  <c r="V36" i="27"/>
  <c r="J16" i="29"/>
  <c r="R18" i="29"/>
  <c r="J20" i="29"/>
  <c r="F22" i="29"/>
  <c r="V22" i="29"/>
  <c r="R15" i="30"/>
  <c r="P18" i="30"/>
  <c r="R25" i="30"/>
  <c r="J27" i="30"/>
  <c r="R29" i="30"/>
  <c r="J31" i="30"/>
  <c r="R33" i="30"/>
  <c r="J34" i="30"/>
  <c r="R36" i="30"/>
  <c r="D12" i="31"/>
  <c r="L53" i="31"/>
  <c r="N55" i="31"/>
  <c r="L57" i="31"/>
  <c r="X84" i="31"/>
  <c r="V33" i="33"/>
  <c r="J16" i="22"/>
  <c r="R18" i="22"/>
  <c r="J20" i="22"/>
  <c r="F22" i="22"/>
  <c r="Z12" i="24"/>
  <c r="V16" i="24"/>
  <c r="V20" i="24"/>
  <c r="J24" i="24"/>
  <c r="Z116" i="25"/>
  <c r="J15" i="26"/>
  <c r="H18" i="26"/>
  <c r="J25" i="26"/>
  <c r="R27" i="26"/>
  <c r="J29" i="26"/>
  <c r="R31" i="26"/>
  <c r="J33" i="26"/>
  <c r="J36" i="26"/>
  <c r="N12" i="27"/>
  <c r="F18" i="27"/>
  <c r="V18" i="27"/>
  <c r="J22" i="27"/>
  <c r="L12" i="29"/>
  <c r="F15" i="29"/>
  <c r="V15" i="29"/>
  <c r="D18" i="29"/>
  <c r="T18" i="29"/>
  <c r="F25" i="29"/>
  <c r="V25" i="29"/>
  <c r="F29" i="29"/>
  <c r="V29" i="29"/>
  <c r="F33" i="29"/>
  <c r="V33" i="29"/>
  <c r="F36" i="29"/>
  <c r="V36" i="29"/>
  <c r="J16" i="30"/>
  <c r="R18" i="30"/>
  <c r="J20" i="30"/>
  <c r="H12" i="31"/>
  <c r="L44" i="31"/>
  <c r="N44" i="31" s="1"/>
  <c r="Z80" i="36"/>
  <c r="X80" i="36"/>
  <c r="V102" i="39"/>
  <c r="V98" i="39"/>
  <c r="V82" i="39"/>
  <c r="V74" i="39"/>
  <c r="V66" i="39"/>
  <c r="V54" i="39"/>
  <c r="V115" i="39"/>
  <c r="V105" i="39"/>
  <c r="V97" i="39"/>
  <c r="V89" i="39"/>
  <c r="V81" i="39"/>
  <c r="V77" i="39"/>
  <c r="V108" i="39"/>
  <c r="V104" i="39"/>
  <c r="V96" i="39"/>
  <c r="V88" i="39"/>
  <c r="V84" i="39"/>
  <c r="V80" i="39"/>
  <c r="V76" i="39"/>
  <c r="V68" i="39"/>
  <c r="V56" i="39"/>
  <c r="V48" i="39"/>
  <c r="V44" i="39"/>
  <c r="V36" i="39"/>
  <c r="V110" i="39"/>
  <c r="V106" i="39"/>
  <c r="V94" i="39"/>
  <c r="V90" i="39"/>
  <c r="V86" i="39"/>
  <c r="V78" i="39"/>
  <c r="V70" i="39"/>
  <c r="V62" i="39"/>
  <c r="V58" i="39"/>
  <c r="V46" i="39"/>
  <c r="V42" i="39"/>
  <c r="V119" i="39"/>
  <c r="V109" i="39"/>
  <c r="V101" i="39"/>
  <c r="V93" i="39"/>
  <c r="V85" i="39"/>
  <c r="V73" i="39"/>
  <c r="V61" i="39"/>
  <c r="V53" i="39"/>
  <c r="V41" i="39"/>
  <c r="V29" i="39"/>
  <c r="V100" i="39"/>
  <c r="V99" i="39"/>
  <c r="V95" i="39"/>
  <c r="V40" i="39"/>
  <c r="V28" i="39"/>
  <c r="V107" i="39"/>
  <c r="V91" i="39"/>
  <c r="V75" i="39"/>
  <c r="V55" i="39"/>
  <c r="V67" i="39"/>
  <c r="T33" i="39"/>
  <c r="V30" i="39"/>
  <c r="V103" i="39"/>
  <c r="V83" i="39"/>
  <c r="V65" i="39"/>
  <c r="V60" i="39"/>
  <c r="V57" i="39"/>
  <c r="V43" i="39"/>
  <c r="V31" i="39"/>
  <c r="V87" i="39"/>
  <c r="V47" i="39"/>
  <c r="V45" i="39"/>
  <c r="V72" i="39"/>
  <c r="V69" i="39"/>
  <c r="V59" i="39"/>
  <c r="V49" i="39"/>
  <c r="V37" i="39"/>
  <c r="V35" i="39"/>
  <c r="V114" i="39"/>
  <c r="V113" i="39"/>
  <c r="V63" i="39"/>
  <c r="V79" i="39"/>
  <c r="V51" i="39"/>
  <c r="V39" i="39"/>
  <c r="V52" i="39"/>
  <c r="V71" i="39"/>
  <c r="V64" i="39"/>
  <c r="J18" i="47"/>
  <c r="J36" i="47"/>
  <c r="J33" i="47"/>
  <c r="J29" i="47"/>
  <c r="J25" i="47"/>
  <c r="H18" i="47"/>
  <c r="J15" i="47"/>
  <c r="J22" i="47"/>
  <c r="N12" i="47"/>
  <c r="J34" i="47"/>
  <c r="J31" i="47"/>
  <c r="J27" i="47"/>
  <c r="J24" i="47"/>
  <c r="J21" i="47"/>
  <c r="L12" i="47"/>
  <c r="J16" i="47"/>
  <c r="J20" i="47"/>
  <c r="N12" i="22"/>
  <c r="F18" i="22"/>
  <c r="J22" i="22"/>
  <c r="R24" i="22"/>
  <c r="L12" i="23"/>
  <c r="F15" i="23"/>
  <c r="D18" i="23"/>
  <c r="F25" i="23"/>
  <c r="F29" i="23"/>
  <c r="F33" i="23"/>
  <c r="F36" i="23"/>
  <c r="J16" i="24"/>
  <c r="V22" i="24"/>
  <c r="J21" i="26"/>
  <c r="J18" i="27"/>
  <c r="F24" i="27"/>
  <c r="V24" i="27"/>
  <c r="J15" i="29"/>
  <c r="H18" i="29"/>
  <c r="F21" i="29"/>
  <c r="V21" i="29"/>
  <c r="J25" i="29"/>
  <c r="R27" i="29"/>
  <c r="J29" i="29"/>
  <c r="R31" i="29"/>
  <c r="J33" i="29"/>
  <c r="N12" i="30"/>
  <c r="J22" i="30"/>
  <c r="R24" i="30"/>
  <c r="N51" i="31"/>
  <c r="Z83" i="31"/>
  <c r="X16" i="32"/>
  <c r="J15" i="22"/>
  <c r="H18" i="22"/>
  <c r="J25" i="22"/>
  <c r="R27" i="22"/>
  <c r="J29" i="22"/>
  <c r="R31" i="22"/>
  <c r="J33" i="22"/>
  <c r="V15" i="24"/>
  <c r="T18" i="24"/>
  <c r="V25" i="24"/>
  <c r="V29" i="24"/>
  <c r="V33" i="24"/>
  <c r="F27" i="27"/>
  <c r="V27" i="27"/>
  <c r="F31" i="27"/>
  <c r="V31" i="27"/>
  <c r="J15" i="30"/>
  <c r="H18" i="30"/>
  <c r="J25" i="30"/>
  <c r="R27" i="30"/>
  <c r="J29" i="30"/>
  <c r="R31" i="30"/>
  <c r="J33" i="30"/>
  <c r="Z55" i="31"/>
  <c r="L60" i="31"/>
  <c r="Z62" i="31"/>
  <c r="N82" i="31"/>
  <c r="X29" i="36"/>
  <c r="Z29" i="36"/>
  <c r="D82" i="31"/>
  <c r="L82" i="31" s="1"/>
  <c r="T82" i="31"/>
  <c r="J15" i="32"/>
  <c r="Z15" i="32"/>
  <c r="H18" i="32"/>
  <c r="V21" i="32"/>
  <c r="L22" i="32"/>
  <c r="J25" i="32"/>
  <c r="R27" i="32"/>
  <c r="J29" i="32"/>
  <c r="R31" i="32"/>
  <c r="J33" i="32"/>
  <c r="R34" i="32"/>
  <c r="J36" i="32"/>
  <c r="N12" i="33"/>
  <c r="J15" i="33"/>
  <c r="F21" i="33"/>
  <c r="X21" i="33"/>
  <c r="F25" i="33"/>
  <c r="L32" i="34"/>
  <c r="X52" i="34"/>
  <c r="L56" i="34"/>
  <c r="V71" i="34"/>
  <c r="L88" i="34"/>
  <c r="N88" i="34" s="1"/>
  <c r="V88" i="34"/>
  <c r="N98" i="34"/>
  <c r="V111" i="34"/>
  <c r="V112" i="34"/>
  <c r="N121" i="34"/>
  <c r="L123" i="34"/>
  <c r="N123" i="34" s="1"/>
  <c r="V127" i="34"/>
  <c r="X128" i="34"/>
  <c r="V130" i="34"/>
  <c r="L139" i="34"/>
  <c r="N139" i="34" s="1"/>
  <c r="Z144" i="34"/>
  <c r="L147" i="34"/>
  <c r="N147" i="34" s="1"/>
  <c r="V156" i="34"/>
  <c r="H163" i="34"/>
  <c r="L163" i="34" s="1"/>
  <c r="L164" i="34"/>
  <c r="N164" i="34" s="1"/>
  <c r="X13" i="35"/>
  <c r="N24" i="35"/>
  <c r="L24" i="35"/>
  <c r="T12" i="36"/>
  <c r="Z18" i="36"/>
  <c r="N54" i="36"/>
  <c r="Z57" i="36"/>
  <c r="Z63" i="36"/>
  <c r="Z65" i="36"/>
  <c r="Z71" i="36"/>
  <c r="Z73" i="36"/>
  <c r="L90" i="36"/>
  <c r="N90" i="36" s="1"/>
  <c r="N112" i="36"/>
  <c r="X33" i="41"/>
  <c r="Z33" i="41"/>
  <c r="J90" i="45"/>
  <c r="J84" i="45"/>
  <c r="J78" i="45"/>
  <c r="J74" i="45"/>
  <c r="J70" i="45"/>
  <c r="J66" i="45"/>
  <c r="J60" i="45"/>
  <c r="J52" i="45"/>
  <c r="J89" i="45"/>
  <c r="J77" i="45"/>
  <c r="J69" i="45"/>
  <c r="J65" i="45"/>
  <c r="J57" i="45"/>
  <c r="J93" i="45"/>
  <c r="J83" i="45"/>
  <c r="J80" i="45"/>
  <c r="J79" i="45"/>
  <c r="J58" i="45"/>
  <c r="J53" i="45"/>
  <c r="J44" i="45"/>
  <c r="J38" i="45"/>
  <c r="J34" i="45"/>
  <c r="H23" i="45"/>
  <c r="J75" i="45"/>
  <c r="J67" i="45"/>
  <c r="J64" i="45"/>
  <c r="J49" i="45"/>
  <c r="J37" i="45"/>
  <c r="J33" i="45"/>
  <c r="J25" i="45"/>
  <c r="J21" i="45"/>
  <c r="J91" i="45"/>
  <c r="J88" i="45"/>
  <c r="J46" i="45"/>
  <c r="J32" i="45"/>
  <c r="J26" i="45"/>
  <c r="J20" i="45"/>
  <c r="J63" i="45"/>
  <c r="J62" i="45"/>
  <c r="J56" i="45"/>
  <c r="J51" i="45"/>
  <c r="J43" i="45"/>
  <c r="J31" i="45"/>
  <c r="J61" i="45"/>
  <c r="J45" i="45"/>
  <c r="J41" i="45"/>
  <c r="J29" i="45"/>
  <c r="J19" i="45"/>
  <c r="J85" i="45"/>
  <c r="J59" i="45"/>
  <c r="J55" i="45"/>
  <c r="J54" i="45"/>
  <c r="J50" i="45"/>
  <c r="J40" i="45"/>
  <c r="J28" i="45"/>
  <c r="J97" i="45"/>
  <c r="J82" i="45"/>
  <c r="J81" i="45"/>
  <c r="J76" i="45"/>
  <c r="J72" i="45"/>
  <c r="J71" i="45"/>
  <c r="J68" i="45"/>
  <c r="J47" i="45"/>
  <c r="J39" i="45"/>
  <c r="J35" i="45"/>
  <c r="J27" i="45"/>
  <c r="J23" i="45"/>
  <c r="J30" i="45"/>
  <c r="J87" i="45"/>
  <c r="J36" i="45"/>
  <c r="J73" i="45"/>
  <c r="J48" i="45"/>
  <c r="J42" i="45"/>
  <c r="J86" i="45"/>
  <c r="L15" i="32"/>
  <c r="R16" i="32"/>
  <c r="J18" i="32"/>
  <c r="R20" i="32"/>
  <c r="F24" i="32"/>
  <c r="V24" i="32"/>
  <c r="R18" i="33"/>
  <c r="R36" i="33"/>
  <c r="R33" i="33"/>
  <c r="R29" i="33"/>
  <c r="R25" i="33"/>
  <c r="P18" i="33"/>
  <c r="R15" i="33"/>
  <c r="R34" i="33"/>
  <c r="R31" i="33"/>
  <c r="R27" i="33"/>
  <c r="R24" i="33"/>
  <c r="X34" i="33"/>
  <c r="Z17" i="34"/>
  <c r="Z25" i="34"/>
  <c r="Z33" i="34"/>
  <c r="Z41" i="34"/>
  <c r="Z49" i="34"/>
  <c r="Z107" i="34"/>
  <c r="L118" i="34"/>
  <c r="N118" i="34" s="1"/>
  <c r="V132" i="34"/>
  <c r="N136" i="34"/>
  <c r="V138" i="34"/>
  <c r="L158" i="34"/>
  <c r="N158" i="34" s="1"/>
  <c r="X160" i="34"/>
  <c r="Z160" i="34" s="1"/>
  <c r="N166" i="34"/>
  <c r="X13" i="36"/>
  <c r="Z13" i="36" s="1"/>
  <c r="L17" i="36"/>
  <c r="L21" i="36"/>
  <c r="N48" i="36"/>
  <c r="N59" i="36"/>
  <c r="N67" i="36"/>
  <c r="N75" i="36"/>
  <c r="N108" i="36"/>
  <c r="X112" i="36"/>
  <c r="Z112" i="36" s="1"/>
  <c r="P111" i="36"/>
  <c r="L25" i="37"/>
  <c r="N35" i="39"/>
  <c r="J24" i="32"/>
  <c r="D18" i="33"/>
  <c r="H12" i="34"/>
  <c r="N13" i="34"/>
  <c r="V58" i="34"/>
  <c r="V64" i="34"/>
  <c r="V74" i="34"/>
  <c r="V75" i="34"/>
  <c r="V80" i="34"/>
  <c r="V92" i="34"/>
  <c r="V103" i="34"/>
  <c r="V135" i="34"/>
  <c r="V140" i="34"/>
  <c r="V148" i="34"/>
  <c r="Z20" i="35"/>
  <c r="X20" i="35"/>
  <c r="L14" i="36"/>
  <c r="D12" i="36"/>
  <c r="Z17" i="36"/>
  <c r="Z23" i="36"/>
  <c r="N57" i="36"/>
  <c r="N65" i="36"/>
  <c r="N73" i="36"/>
  <c r="Z108" i="36"/>
  <c r="X108" i="36"/>
  <c r="R15" i="32"/>
  <c r="P18" i="32"/>
  <c r="R25" i="32"/>
  <c r="J27" i="32"/>
  <c r="R29" i="32"/>
  <c r="J31" i="32"/>
  <c r="R33" i="32"/>
  <c r="J34" i="32"/>
  <c r="R36" i="32"/>
  <c r="F18" i="33"/>
  <c r="L24" i="33"/>
  <c r="F31" i="33"/>
  <c r="F33" i="33"/>
  <c r="F36" i="33"/>
  <c r="L13" i="34"/>
  <c r="Z14" i="34"/>
  <c r="L21" i="34"/>
  <c r="N21" i="34" s="1"/>
  <c r="Z22" i="34"/>
  <c r="L29" i="34"/>
  <c r="N29" i="34" s="1"/>
  <c r="Z30" i="34"/>
  <c r="L37" i="34"/>
  <c r="N37" i="34" s="1"/>
  <c r="Z38" i="34"/>
  <c r="L45" i="34"/>
  <c r="N45" i="34" s="1"/>
  <c r="Z46" i="34"/>
  <c r="L53" i="34"/>
  <c r="N53" i="34" s="1"/>
  <c r="Z54" i="34"/>
  <c r="V63" i="34"/>
  <c r="V79" i="34"/>
  <c r="V91" i="34"/>
  <c r="V98" i="34"/>
  <c r="N109" i="34"/>
  <c r="L111" i="34"/>
  <c r="V123" i="34"/>
  <c r="N130" i="34"/>
  <c r="V134" i="34"/>
  <c r="V139" i="34"/>
  <c r="V147" i="34"/>
  <c r="V151" i="34"/>
  <c r="Z165" i="34"/>
  <c r="X166" i="34"/>
  <c r="Z166" i="34" s="1"/>
  <c r="L13" i="35"/>
  <c r="N34" i="35"/>
  <c r="N14" i="36"/>
  <c r="X48" i="36"/>
  <c r="Z48" i="36" s="1"/>
  <c r="L82" i="36"/>
  <c r="N82" i="36" s="1"/>
  <c r="N87" i="36"/>
  <c r="N15" i="37"/>
  <c r="H18" i="37"/>
  <c r="D27" i="37"/>
  <c r="N22" i="37"/>
  <c r="L22" i="37"/>
  <c r="N22" i="38"/>
  <c r="L22" i="38"/>
  <c r="X35" i="39"/>
  <c r="Z35" i="39" s="1"/>
  <c r="R22" i="41"/>
  <c r="X12" i="41"/>
  <c r="R20" i="41"/>
  <c r="R16" i="41"/>
  <c r="R24" i="41"/>
  <c r="R21" i="41"/>
  <c r="R34" i="41"/>
  <c r="R33" i="41"/>
  <c r="R31" i="41"/>
  <c r="R15" i="41"/>
  <c r="R36" i="41"/>
  <c r="R25" i="41"/>
  <c r="R18" i="41"/>
  <c r="P18" i="41"/>
  <c r="R29" i="41"/>
  <c r="R27" i="41"/>
  <c r="J16" i="32"/>
  <c r="J20" i="32"/>
  <c r="F24" i="33"/>
  <c r="X13" i="34"/>
  <c r="Z13" i="34" s="1"/>
  <c r="P12" i="34"/>
  <c r="X53" i="34"/>
  <c r="Z53" i="34" s="1"/>
  <c r="L58" i="34"/>
  <c r="T86" i="34"/>
  <c r="V86" i="34" s="1"/>
  <c r="X88" i="34"/>
  <c r="Z88" i="34" s="1"/>
  <c r="V95" i="34"/>
  <c r="N114" i="34"/>
  <c r="V119" i="34"/>
  <c r="V143" i="34"/>
  <c r="V165" i="34"/>
  <c r="V166" i="34"/>
  <c r="X15" i="35"/>
  <c r="P18" i="35"/>
  <c r="L13" i="36"/>
  <c r="P12" i="36"/>
  <c r="X14" i="36"/>
  <c r="Z14" i="36" s="1"/>
  <c r="L18" i="36"/>
  <c r="N18" i="36" s="1"/>
  <c r="Z104" i="36"/>
  <c r="X104" i="36"/>
  <c r="L113" i="36"/>
  <c r="X21" i="37"/>
  <c r="J22" i="38"/>
  <c r="J34" i="38"/>
  <c r="J31" i="38"/>
  <c r="J27" i="38"/>
  <c r="J25" i="38"/>
  <c r="H18" i="38"/>
  <c r="J33" i="38"/>
  <c r="J21" i="38"/>
  <c r="J16" i="38"/>
  <c r="J24" i="38"/>
  <c r="J29" i="38"/>
  <c r="J15" i="38"/>
  <c r="J20" i="38"/>
  <c r="N12" i="38"/>
  <c r="T112" i="39"/>
  <c r="X112" i="39" s="1"/>
  <c r="L44" i="42"/>
  <c r="N44" i="42" s="1"/>
  <c r="P82" i="31"/>
  <c r="L12" i="32"/>
  <c r="V25" i="32"/>
  <c r="V29" i="32"/>
  <c r="V33" i="32"/>
  <c r="J20" i="33"/>
  <c r="J34" i="33"/>
  <c r="J31" i="33"/>
  <c r="J27" i="33"/>
  <c r="J36" i="33"/>
  <c r="J33" i="33"/>
  <c r="J29" i="33"/>
  <c r="J25" i="33"/>
  <c r="F15" i="33"/>
  <c r="J18" i="33"/>
  <c r="F20" i="33"/>
  <c r="L33" i="33"/>
  <c r="F34" i="33"/>
  <c r="L17" i="34"/>
  <c r="X18" i="34"/>
  <c r="Z18" i="34" s="1"/>
  <c r="Z21" i="34"/>
  <c r="L25" i="34"/>
  <c r="X26" i="34"/>
  <c r="Z26" i="34" s="1"/>
  <c r="Z29" i="34"/>
  <c r="L33" i="34"/>
  <c r="X34" i="34"/>
  <c r="Z34" i="34" s="1"/>
  <c r="Z37" i="34"/>
  <c r="L41" i="34"/>
  <c r="N41" i="34" s="1"/>
  <c r="X42" i="34"/>
  <c r="Z45" i="34"/>
  <c r="L49" i="34"/>
  <c r="N49" i="34" s="1"/>
  <c r="X50" i="34"/>
  <c r="Z50" i="34" s="1"/>
  <c r="V67" i="34"/>
  <c r="V83" i="34"/>
  <c r="V110" i="34"/>
  <c r="V131" i="34"/>
  <c r="L154" i="34"/>
  <c r="N154" i="34" s="1"/>
  <c r="N13" i="36"/>
  <c r="H12" i="36"/>
  <c r="X40" i="36"/>
  <c r="N50" i="36"/>
  <c r="L50" i="36"/>
  <c r="X52" i="36"/>
  <c r="T27" i="37"/>
  <c r="Z18" i="37"/>
  <c r="J36" i="38"/>
  <c r="N12" i="32"/>
  <c r="L12" i="33"/>
  <c r="V164" i="34"/>
  <c r="V158" i="34"/>
  <c r="V126" i="34"/>
  <c r="V114" i="34"/>
  <c r="V106" i="34"/>
  <c r="V102" i="34"/>
  <c r="V90" i="34"/>
  <c r="V78" i="34"/>
  <c r="V70" i="34"/>
  <c r="V62" i="34"/>
  <c r="V161" i="34"/>
  <c r="V153" i="34"/>
  <c r="V129" i="34"/>
  <c r="V125" i="34"/>
  <c r="V117" i="34"/>
  <c r="V105" i="34"/>
  <c r="V101" i="34"/>
  <c r="V97" i="34"/>
  <c r="V89" i="34"/>
  <c r="V77" i="34"/>
  <c r="V69" i="34"/>
  <c r="V61" i="34"/>
  <c r="V170" i="34"/>
  <c r="V160" i="34"/>
  <c r="V152" i="34"/>
  <c r="V128" i="34"/>
  <c r="V120" i="34"/>
  <c r="V116" i="34"/>
  <c r="V108" i="34"/>
  <c r="V100" i="34"/>
  <c r="V96" i="34"/>
  <c r="V84" i="34"/>
  <c r="V76" i="34"/>
  <c r="V68" i="34"/>
  <c r="V60" i="34"/>
  <c r="V154" i="34"/>
  <c r="V163" i="34"/>
  <c r="V157" i="34"/>
  <c r="V149" i="34"/>
  <c r="V145" i="34"/>
  <c r="V141" i="34"/>
  <c r="V137" i="34"/>
  <c r="V133" i="34"/>
  <c r="V121" i="34"/>
  <c r="V113" i="34"/>
  <c r="V109" i="34"/>
  <c r="V93" i="34"/>
  <c r="V81" i="34"/>
  <c r="V73" i="34"/>
  <c r="V65" i="34"/>
  <c r="N16" i="34"/>
  <c r="N17" i="34"/>
  <c r="Z20" i="34"/>
  <c r="N24" i="34"/>
  <c r="Z28" i="34"/>
  <c r="Z36" i="34"/>
  <c r="N40" i="34"/>
  <c r="Z44" i="34"/>
  <c r="N48" i="34"/>
  <c r="N58" i="34"/>
  <c r="V66" i="34"/>
  <c r="V72" i="34"/>
  <c r="V82" i="34"/>
  <c r="V94" i="34"/>
  <c r="V115" i="34"/>
  <c r="V118" i="34"/>
  <c r="Z130" i="34"/>
  <c r="V142" i="34"/>
  <c r="V144" i="34"/>
  <c r="V150" i="34"/>
  <c r="V155" i="34"/>
  <c r="X156" i="34"/>
  <c r="Z156" i="34" s="1"/>
  <c r="Z16" i="35"/>
  <c r="X16" i="35"/>
  <c r="Z40" i="36"/>
  <c r="Z52" i="36"/>
  <c r="N113" i="36"/>
  <c r="L46" i="39"/>
  <c r="N46" i="39" s="1"/>
  <c r="J27" i="35"/>
  <c r="J31" i="35"/>
  <c r="J34" i="35"/>
  <c r="R36" i="35"/>
  <c r="R27" i="37"/>
  <c r="R31" i="37"/>
  <c r="R34" i="37"/>
  <c r="L24" i="38"/>
  <c r="X24" i="38"/>
  <c r="L13" i="39"/>
  <c r="D12" i="39"/>
  <c r="N28" i="39"/>
  <c r="Z72" i="39"/>
  <c r="N21" i="40"/>
  <c r="L21" i="40"/>
  <c r="N20" i="42"/>
  <c r="J27" i="42"/>
  <c r="F30" i="42"/>
  <c r="F34" i="42"/>
  <c r="F43" i="42"/>
  <c r="X50" i="42"/>
  <c r="Z50" i="42" s="1"/>
  <c r="F99" i="42"/>
  <c r="N22" i="43"/>
  <c r="L22" i="43"/>
  <c r="Z15" i="44"/>
  <c r="X15" i="44"/>
  <c r="X16" i="45"/>
  <c r="J16" i="35"/>
  <c r="J20" i="35"/>
  <c r="F22" i="35"/>
  <c r="R16" i="37"/>
  <c r="J18" i="37"/>
  <c r="R20" i="37"/>
  <c r="V24" i="37"/>
  <c r="R24" i="38"/>
  <c r="R36" i="38"/>
  <c r="R33" i="38"/>
  <c r="R29" i="38"/>
  <c r="R25" i="38"/>
  <c r="P18" i="38"/>
  <c r="R15" i="38"/>
  <c r="R18" i="38"/>
  <c r="V21" i="38"/>
  <c r="F24" i="38"/>
  <c r="X25" i="38"/>
  <c r="F31" i="38"/>
  <c r="V33" i="38"/>
  <c r="R34" i="38"/>
  <c r="H12" i="39"/>
  <c r="N17" i="39"/>
  <c r="N25" i="39"/>
  <c r="L58" i="39"/>
  <c r="N58" i="39" s="1"/>
  <c r="X60" i="39"/>
  <c r="L63" i="39"/>
  <c r="Z78" i="39"/>
  <c r="N102" i="39"/>
  <c r="J34" i="40"/>
  <c r="J31" i="40"/>
  <c r="J27" i="40"/>
  <c r="J24" i="40"/>
  <c r="J21" i="40"/>
  <c r="J36" i="40"/>
  <c r="J33" i="40"/>
  <c r="J29" i="40"/>
  <c r="J25" i="40"/>
  <c r="H18" i="40"/>
  <c r="J15" i="40"/>
  <c r="J22" i="40"/>
  <c r="N12" i="40"/>
  <c r="X15" i="42"/>
  <c r="J20" i="42"/>
  <c r="N26" i="42"/>
  <c r="J30" i="42"/>
  <c r="J33" i="42"/>
  <c r="F42" i="42"/>
  <c r="N48" i="42"/>
  <c r="Z57" i="42"/>
  <c r="Z65" i="42"/>
  <c r="Z74" i="42"/>
  <c r="X74" i="42"/>
  <c r="Z18" i="43"/>
  <c r="J18" i="44"/>
  <c r="J36" i="44"/>
  <c r="J33" i="44"/>
  <c r="J29" i="44"/>
  <c r="J25" i="44"/>
  <c r="H18" i="44"/>
  <c r="J15" i="44"/>
  <c r="J22" i="44"/>
  <c r="N12" i="44"/>
  <c r="J34" i="44"/>
  <c r="J31" i="44"/>
  <c r="J27" i="44"/>
  <c r="J24" i="44"/>
  <c r="J21" i="44"/>
  <c r="Z25" i="44"/>
  <c r="X25" i="44"/>
  <c r="L13" i="45"/>
  <c r="N13" i="45" s="1"/>
  <c r="D12" i="45"/>
  <c r="Z16" i="45"/>
  <c r="N25" i="45"/>
  <c r="V16" i="38"/>
  <c r="T18" i="38"/>
  <c r="Z60" i="39"/>
  <c r="Z70" i="39"/>
  <c r="T18" i="40"/>
  <c r="F108" i="42"/>
  <c r="F93" i="42"/>
  <c r="F90" i="42"/>
  <c r="F82" i="42"/>
  <c r="F65" i="42"/>
  <c r="F62" i="42"/>
  <c r="F57" i="42"/>
  <c r="F54" i="42"/>
  <c r="F102" i="42"/>
  <c r="F89" i="42"/>
  <c r="F72" i="42"/>
  <c r="F48" i="42"/>
  <c r="F45" i="42"/>
  <c r="F41" i="42"/>
  <c r="F29" i="42"/>
  <c r="F20" i="42"/>
  <c r="F95" i="42"/>
  <c r="F92" i="42"/>
  <c r="F88" i="42"/>
  <c r="F79" i="42"/>
  <c r="F67" i="42"/>
  <c r="F64" i="42"/>
  <c r="F59" i="42"/>
  <c r="F56" i="42"/>
  <c r="F40" i="42"/>
  <c r="F36" i="42"/>
  <c r="F28" i="42"/>
  <c r="F98" i="42"/>
  <c r="F87" i="42"/>
  <c r="F74" i="42"/>
  <c r="F71" i="42"/>
  <c r="F50" i="42"/>
  <c r="F47" i="42"/>
  <c r="F39" i="42"/>
  <c r="F35" i="42"/>
  <c r="F97" i="42"/>
  <c r="F85" i="42"/>
  <c r="F77" i="42"/>
  <c r="F73" i="42"/>
  <c r="F69" i="42"/>
  <c r="F49" i="42"/>
  <c r="F44" i="42"/>
  <c r="F33" i="42"/>
  <c r="F21" i="42"/>
  <c r="F101" i="42"/>
  <c r="F96" i="42"/>
  <c r="F91" i="42"/>
  <c r="F84" i="42"/>
  <c r="F80" i="42"/>
  <c r="F76" i="42"/>
  <c r="F68" i="42"/>
  <c r="F63" i="42"/>
  <c r="F60" i="42"/>
  <c r="F55" i="42"/>
  <c r="F52" i="42"/>
  <c r="F32" i="42"/>
  <c r="F27" i="42"/>
  <c r="F26" i="42"/>
  <c r="L12" i="42"/>
  <c r="N12" i="42" s="1"/>
  <c r="F37" i="42"/>
  <c r="F38" i="42"/>
  <c r="F51" i="42"/>
  <c r="F78" i="42"/>
  <c r="F83" i="42"/>
  <c r="F86" i="42"/>
  <c r="F94" i="42"/>
  <c r="F103" i="42"/>
  <c r="Z29" i="44"/>
  <c r="X29" i="44"/>
  <c r="Z33" i="44"/>
  <c r="X33" i="44"/>
  <c r="N33" i="49"/>
  <c r="L33" i="49"/>
  <c r="N12" i="35"/>
  <c r="F18" i="35"/>
  <c r="V18" i="35"/>
  <c r="J22" i="35"/>
  <c r="R24" i="35"/>
  <c r="D111" i="36"/>
  <c r="T111" i="36"/>
  <c r="X13" i="37"/>
  <c r="R22" i="37"/>
  <c r="J24" i="37"/>
  <c r="X12" i="38"/>
  <c r="R22" i="38"/>
  <c r="V25" i="38"/>
  <c r="V34" i="38"/>
  <c r="P12" i="39"/>
  <c r="X36" i="39"/>
  <c r="Z36" i="39" s="1"/>
  <c r="N54" i="39"/>
  <c r="N74" i="39"/>
  <c r="N92" i="39"/>
  <c r="Z104" i="39"/>
  <c r="X104" i="39"/>
  <c r="N112" i="39"/>
  <c r="Z34" i="40"/>
  <c r="X34" i="40"/>
  <c r="Z29" i="41"/>
  <c r="J95" i="42"/>
  <c r="J89" i="42"/>
  <c r="J79" i="42"/>
  <c r="J67" i="42"/>
  <c r="J59" i="42"/>
  <c r="J45" i="42"/>
  <c r="J98" i="42"/>
  <c r="J92" i="42"/>
  <c r="J88" i="42"/>
  <c r="J74" i="42"/>
  <c r="J64" i="42"/>
  <c r="J56" i="42"/>
  <c r="J50" i="42"/>
  <c r="J40" i="42"/>
  <c r="J36" i="42"/>
  <c r="J28" i="42"/>
  <c r="J24" i="42"/>
  <c r="J103" i="42"/>
  <c r="J87" i="42"/>
  <c r="J81" i="42"/>
  <c r="J71" i="42"/>
  <c r="J61" i="42"/>
  <c r="J53" i="42"/>
  <c r="J47" i="42"/>
  <c r="J39" i="42"/>
  <c r="J35" i="42"/>
  <c r="H24" i="42"/>
  <c r="J94" i="42"/>
  <c r="J86" i="42"/>
  <c r="J78" i="42"/>
  <c r="J70" i="42"/>
  <c r="J66" i="42"/>
  <c r="J58" i="42"/>
  <c r="J44" i="42"/>
  <c r="J38" i="42"/>
  <c r="J34" i="42"/>
  <c r="J26" i="42"/>
  <c r="J22" i="42"/>
  <c r="J104" i="42"/>
  <c r="J96" i="42"/>
  <c r="J84" i="42"/>
  <c r="J80" i="42"/>
  <c r="J76" i="42"/>
  <c r="J68" i="42"/>
  <c r="J60" i="42"/>
  <c r="J52" i="42"/>
  <c r="J46" i="42"/>
  <c r="J32" i="42"/>
  <c r="J99" i="42"/>
  <c r="J93" i="42"/>
  <c r="J83" i="42"/>
  <c r="J75" i="42"/>
  <c r="J65" i="42"/>
  <c r="J57" i="42"/>
  <c r="J51" i="42"/>
  <c r="J43" i="42"/>
  <c r="J37" i="42"/>
  <c r="J31" i="42"/>
  <c r="D24" i="42"/>
  <c r="F24" i="42" s="1"/>
  <c r="J41" i="42"/>
  <c r="F46" i="42"/>
  <c r="F70" i="42"/>
  <c r="F75" i="42"/>
  <c r="N102" i="42"/>
  <c r="P12" i="45"/>
  <c r="J15" i="35"/>
  <c r="H18" i="35"/>
  <c r="F21" i="35"/>
  <c r="V21" i="35"/>
  <c r="J25" i="35"/>
  <c r="R27" i="35"/>
  <c r="J29" i="35"/>
  <c r="R31" i="35"/>
  <c r="J33" i="35"/>
  <c r="R34" i="35"/>
  <c r="J36" i="35"/>
  <c r="R15" i="37"/>
  <c r="P18" i="37"/>
  <c r="R25" i="37"/>
  <c r="J27" i="37"/>
  <c r="R29" i="37"/>
  <c r="J31" i="37"/>
  <c r="R33" i="37"/>
  <c r="J34" i="37"/>
  <c r="R36" i="37"/>
  <c r="Z12" i="38"/>
  <c r="X15" i="38"/>
  <c r="D18" i="38"/>
  <c r="R20" i="38"/>
  <c r="F25" i="38"/>
  <c r="V27" i="38"/>
  <c r="X29" i="38"/>
  <c r="F34" i="38"/>
  <c r="X34" i="38"/>
  <c r="V36" i="38"/>
  <c r="Z21" i="39"/>
  <c r="Z46" i="39"/>
  <c r="N90" i="39"/>
  <c r="L90" i="39"/>
  <c r="N106" i="39"/>
  <c r="L106" i="39"/>
  <c r="V20" i="40"/>
  <c r="V16" i="40"/>
  <c r="Z12" i="40"/>
  <c r="V34" i="40"/>
  <c r="V31" i="40"/>
  <c r="V27" i="40"/>
  <c r="V21" i="40"/>
  <c r="V18" i="40"/>
  <c r="R94" i="42"/>
  <c r="R91" i="42"/>
  <c r="R86" i="42"/>
  <c r="R78" i="42"/>
  <c r="R70" i="42"/>
  <c r="R66" i="42"/>
  <c r="R63" i="42"/>
  <c r="R58" i="42"/>
  <c r="R55" i="42"/>
  <c r="R104" i="42"/>
  <c r="R97" i="42"/>
  <c r="R85" i="42"/>
  <c r="R77" i="42"/>
  <c r="R73" i="42"/>
  <c r="R69" i="42"/>
  <c r="R49" i="42"/>
  <c r="R46" i="42"/>
  <c r="R33" i="42"/>
  <c r="R21" i="42"/>
  <c r="R96" i="42"/>
  <c r="R93" i="42"/>
  <c r="R84" i="42"/>
  <c r="R80" i="42"/>
  <c r="R76" i="42"/>
  <c r="R68" i="42"/>
  <c r="R65" i="42"/>
  <c r="R60" i="42"/>
  <c r="R57" i="42"/>
  <c r="R52" i="42"/>
  <c r="R37" i="42"/>
  <c r="R32" i="42"/>
  <c r="R102" i="42"/>
  <c r="R99" i="42"/>
  <c r="R83" i="42"/>
  <c r="R75" i="42"/>
  <c r="R72" i="42"/>
  <c r="R51" i="42"/>
  <c r="R48" i="42"/>
  <c r="R43" i="42"/>
  <c r="R31" i="42"/>
  <c r="R20" i="42"/>
  <c r="R98" i="42"/>
  <c r="R89" i="42"/>
  <c r="R74" i="42"/>
  <c r="R50" i="42"/>
  <c r="R45" i="42"/>
  <c r="R41" i="42"/>
  <c r="R29" i="42"/>
  <c r="R103" i="42"/>
  <c r="R92" i="42"/>
  <c r="R88" i="42"/>
  <c r="R81" i="42"/>
  <c r="R64" i="42"/>
  <c r="R61" i="42"/>
  <c r="R56" i="42"/>
  <c r="R53" i="42"/>
  <c r="R40" i="42"/>
  <c r="R36" i="42"/>
  <c r="R28" i="42"/>
  <c r="R26" i="42"/>
  <c r="P24" i="42"/>
  <c r="R24" i="42" s="1"/>
  <c r="Z26" i="42"/>
  <c r="Z27" i="42"/>
  <c r="R30" i="42"/>
  <c r="N37" i="42"/>
  <c r="R38" i="42"/>
  <c r="N46" i="42"/>
  <c r="R47" i="42"/>
  <c r="J54" i="42"/>
  <c r="J55" i="42"/>
  <c r="F58" i="42"/>
  <c r="J62" i="42"/>
  <c r="J63" i="42"/>
  <c r="F66" i="42"/>
  <c r="R71" i="42"/>
  <c r="J82" i="42"/>
  <c r="R90" i="42"/>
  <c r="J102" i="42"/>
  <c r="N34" i="43"/>
  <c r="J16" i="44"/>
  <c r="T12" i="45"/>
  <c r="Z19" i="45"/>
  <c r="Z25" i="45"/>
  <c r="N68" i="45"/>
  <c r="H12" i="48"/>
  <c r="T16" i="54"/>
  <c r="V31" i="54"/>
  <c r="V28" i="54"/>
  <c r="V24" i="54"/>
  <c r="V22" i="54"/>
  <c r="V18" i="54"/>
  <c r="V14" i="54"/>
  <c r="Z12" i="54"/>
  <c r="V16" i="54"/>
  <c r="V29" i="54"/>
  <c r="V20" i="54"/>
  <c r="V26" i="54"/>
  <c r="D26" i="54"/>
  <c r="R16" i="35"/>
  <c r="H111" i="36"/>
  <c r="J16" i="37"/>
  <c r="L21" i="38"/>
  <c r="V22" i="38"/>
  <c r="R31" i="38"/>
  <c r="N65" i="39"/>
  <c r="N72" i="39"/>
  <c r="X76" i="39"/>
  <c r="Z76" i="39" s="1"/>
  <c r="L114" i="39"/>
  <c r="N114" i="39" s="1"/>
  <c r="F20" i="41"/>
  <c r="F16" i="41"/>
  <c r="F34" i="41"/>
  <c r="F31" i="41"/>
  <c r="F27" i="41"/>
  <c r="F24" i="41"/>
  <c r="F18" i="41"/>
  <c r="F36" i="41"/>
  <c r="F33" i="41"/>
  <c r="F29" i="41"/>
  <c r="F25" i="41"/>
  <c r="D18" i="41"/>
  <c r="F15" i="41"/>
  <c r="L12" i="41"/>
  <c r="X15" i="41"/>
  <c r="Z24" i="41"/>
  <c r="X24" i="41"/>
  <c r="F22" i="42"/>
  <c r="F53" i="42"/>
  <c r="J77" i="42"/>
  <c r="J85" i="42"/>
  <c r="R95" i="42"/>
  <c r="J97" i="42"/>
  <c r="X102" i="42"/>
  <c r="Z102" i="42" s="1"/>
  <c r="P101" i="42"/>
  <c r="X101" i="42" s="1"/>
  <c r="Z101" i="42" s="1"/>
  <c r="R108" i="42"/>
  <c r="N16" i="46"/>
  <c r="L16" i="46"/>
  <c r="X15" i="47"/>
  <c r="P18" i="47"/>
  <c r="Z20" i="53"/>
  <c r="X20" i="53"/>
  <c r="F36" i="38"/>
  <c r="X16" i="39"/>
  <c r="Z16" i="39" s="1"/>
  <c r="X24" i="39"/>
  <c r="Z24" i="39" s="1"/>
  <c r="X56" i="39"/>
  <c r="Z56" i="39" s="1"/>
  <c r="N70" i="39"/>
  <c r="N78" i="39"/>
  <c r="L78" i="39"/>
  <c r="Z92" i="39"/>
  <c r="X114" i="39"/>
  <c r="Z114" i="39" s="1"/>
  <c r="L13" i="40"/>
  <c r="L22" i="40"/>
  <c r="V24" i="40"/>
  <c r="J24" i="41"/>
  <c r="J21" i="41"/>
  <c r="J18" i="41"/>
  <c r="J22" i="41"/>
  <c r="N12" i="41"/>
  <c r="J29" i="41"/>
  <c r="N14" i="42"/>
  <c r="X16" i="42"/>
  <c r="Z16" i="42" s="1"/>
  <c r="Z37" i="42"/>
  <c r="R59" i="42"/>
  <c r="F61" i="42"/>
  <c r="R67" i="42"/>
  <c r="J69" i="42"/>
  <c r="F81" i="42"/>
  <c r="Z98" i="42"/>
  <c r="X98" i="42"/>
  <c r="J101" i="42"/>
  <c r="L56" i="45"/>
  <c r="N56" i="45" s="1"/>
  <c r="P18" i="46"/>
  <c r="X15" i="46"/>
  <c r="N15" i="49"/>
  <c r="L15" i="49"/>
  <c r="H18" i="49"/>
  <c r="J35" i="61"/>
  <c r="J21" i="61"/>
  <c r="J50" i="61"/>
  <c r="J44" i="61"/>
  <c r="J40" i="61"/>
  <c r="J32" i="61"/>
  <c r="J20" i="61"/>
  <c r="J16" i="61"/>
  <c r="J37" i="61"/>
  <c r="J31" i="61"/>
  <c r="J27" i="61"/>
  <c r="H16" i="61"/>
  <c r="J48" i="61"/>
  <c r="J42" i="61"/>
  <c r="J34" i="61"/>
  <c r="J30" i="61"/>
  <c r="J26" i="61"/>
  <c r="J18" i="61"/>
  <c r="J39" i="61"/>
  <c r="J29" i="61"/>
  <c r="J25" i="61"/>
  <c r="J19" i="61"/>
  <c r="J53" i="61"/>
  <c r="J46" i="61"/>
  <c r="J36" i="61"/>
  <c r="J24" i="61"/>
  <c r="J14" i="61"/>
  <c r="N12" i="61"/>
  <c r="J41" i="61"/>
  <c r="J33" i="61"/>
  <c r="J23" i="61"/>
  <c r="L12" i="61"/>
  <c r="J22" i="61"/>
  <c r="J28" i="61"/>
  <c r="X15" i="40"/>
  <c r="F18" i="40"/>
  <c r="R24" i="40"/>
  <c r="V15" i="41"/>
  <c r="T18" i="41"/>
  <c r="V25" i="41"/>
  <c r="V29" i="41"/>
  <c r="V33" i="41"/>
  <c r="V36" i="41"/>
  <c r="R15" i="43"/>
  <c r="P18" i="43"/>
  <c r="R25" i="43"/>
  <c r="J27" i="43"/>
  <c r="R29" i="43"/>
  <c r="J31" i="43"/>
  <c r="R33" i="43"/>
  <c r="J34" i="43"/>
  <c r="R36" i="43"/>
  <c r="Z12" i="44"/>
  <c r="F16" i="44"/>
  <c r="V16" i="44"/>
  <c r="F20" i="44"/>
  <c r="V20" i="44"/>
  <c r="R22" i="44"/>
  <c r="X13" i="45"/>
  <c r="X52" i="45"/>
  <c r="Z52" i="45" s="1"/>
  <c r="L62" i="45"/>
  <c r="N62" i="45" s="1"/>
  <c r="X73" i="45"/>
  <c r="Z73" i="45" s="1"/>
  <c r="F34" i="46"/>
  <c r="F31" i="46"/>
  <c r="F27" i="46"/>
  <c r="F24" i="46"/>
  <c r="F21" i="46"/>
  <c r="F15" i="46"/>
  <c r="T18" i="46"/>
  <c r="F22" i="46"/>
  <c r="F33" i="46"/>
  <c r="Z16" i="47"/>
  <c r="Z20" i="47"/>
  <c r="X29" i="47"/>
  <c r="Z19" i="48"/>
  <c r="N30" i="48"/>
  <c r="L61" i="48"/>
  <c r="N29" i="49"/>
  <c r="L29" i="49"/>
  <c r="Z13" i="51"/>
  <c r="Z28" i="51"/>
  <c r="L54" i="51"/>
  <c r="N54" i="51" s="1"/>
  <c r="Z65" i="51"/>
  <c r="Z19" i="55"/>
  <c r="Z21" i="55"/>
  <c r="X21" i="55"/>
  <c r="V16" i="56"/>
  <c r="Z37" i="56"/>
  <c r="V41" i="56"/>
  <c r="F21" i="40"/>
  <c r="R27" i="40"/>
  <c r="R31" i="40"/>
  <c r="R34" i="40"/>
  <c r="H101" i="42"/>
  <c r="J16" i="43"/>
  <c r="R18" i="43"/>
  <c r="J20" i="43"/>
  <c r="R25" i="44"/>
  <c r="R29" i="44"/>
  <c r="R33" i="44"/>
  <c r="R36" i="44"/>
  <c r="Z13" i="45"/>
  <c r="J21" i="46"/>
  <c r="J18" i="46"/>
  <c r="J36" i="46"/>
  <c r="J33" i="46"/>
  <c r="J29" i="46"/>
  <c r="J25" i="46"/>
  <c r="H18" i="46"/>
  <c r="J15" i="46"/>
  <c r="J34" i="46"/>
  <c r="L13" i="47"/>
  <c r="D18" i="47"/>
  <c r="L13" i="48"/>
  <c r="N13" i="48" s="1"/>
  <c r="T12" i="51"/>
  <c r="Z73" i="51"/>
  <c r="Z98" i="51"/>
  <c r="X15" i="52"/>
  <c r="P18" i="52"/>
  <c r="Z16" i="53"/>
  <c r="X16" i="53"/>
  <c r="X16" i="55"/>
  <c r="P30" i="55"/>
  <c r="Z16" i="55"/>
  <c r="L18" i="56"/>
  <c r="N18" i="56" s="1"/>
  <c r="Z28" i="56"/>
  <c r="L62" i="56"/>
  <c r="N62" i="56" s="1"/>
  <c r="X12" i="40"/>
  <c r="F27" i="40"/>
  <c r="F31" i="40"/>
  <c r="T12" i="42"/>
  <c r="N12" i="43"/>
  <c r="V18" i="43"/>
  <c r="J22" i="43"/>
  <c r="R24" i="43"/>
  <c r="L12" i="44"/>
  <c r="F15" i="44"/>
  <c r="V15" i="44"/>
  <c r="D18" i="44"/>
  <c r="T18" i="44"/>
  <c r="R21" i="44"/>
  <c r="F25" i="44"/>
  <c r="V25" i="44"/>
  <c r="F29" i="44"/>
  <c r="V29" i="44"/>
  <c r="F33" i="44"/>
  <c r="V33" i="44"/>
  <c r="F36" i="44"/>
  <c r="V36" i="44"/>
  <c r="X60" i="45"/>
  <c r="Z60" i="45" s="1"/>
  <c r="N12" i="46"/>
  <c r="J16" i="46"/>
  <c r="D18" i="46"/>
  <c r="J24" i="46"/>
  <c r="L25" i="46"/>
  <c r="R66" i="48"/>
  <c r="R52" i="48"/>
  <c r="R41" i="48"/>
  <c r="R36" i="48"/>
  <c r="R55" i="48"/>
  <c r="R51" i="48"/>
  <c r="R47" i="48"/>
  <c r="R44" i="48"/>
  <c r="R35" i="48"/>
  <c r="R23" i="48"/>
  <c r="R61" i="48"/>
  <c r="R54" i="48"/>
  <c r="R50" i="48"/>
  <c r="R38" i="48"/>
  <c r="R34" i="48"/>
  <c r="R22" i="48"/>
  <c r="R57" i="48"/>
  <c r="R49" i="48"/>
  <c r="R46" i="48"/>
  <c r="R33" i="48"/>
  <c r="R29" i="48"/>
  <c r="R21" i="48"/>
  <c r="R19" i="48"/>
  <c r="P17" i="48"/>
  <c r="R53" i="48"/>
  <c r="R40" i="48"/>
  <c r="R37" i="48"/>
  <c r="R32" i="48"/>
  <c r="R28" i="48"/>
  <c r="R62" i="48"/>
  <c r="R59" i="48"/>
  <c r="R56" i="48"/>
  <c r="R48" i="48"/>
  <c r="R43" i="48"/>
  <c r="R31" i="48"/>
  <c r="R27" i="48"/>
  <c r="R20" i="48"/>
  <c r="R42" i="48"/>
  <c r="R39" i="48"/>
  <c r="R26" i="48"/>
  <c r="R15" i="48"/>
  <c r="N19" i="48"/>
  <c r="Z30" i="48"/>
  <c r="X41" i="48"/>
  <c r="Z41" i="48" s="1"/>
  <c r="Z21" i="49"/>
  <c r="X21" i="49"/>
  <c r="X18" i="51"/>
  <c r="Z18" i="51" s="1"/>
  <c r="P12" i="51"/>
  <c r="L21" i="51"/>
  <c r="N29" i="51"/>
  <c r="N33" i="51"/>
  <c r="Z54" i="51"/>
  <c r="Z55" i="51"/>
  <c r="N101" i="51"/>
  <c r="T37" i="55"/>
  <c r="X57" i="56"/>
  <c r="Z57" i="56" s="1"/>
  <c r="J25" i="43"/>
  <c r="R27" i="43"/>
  <c r="J29" i="43"/>
  <c r="R31" i="43"/>
  <c r="J33" i="43"/>
  <c r="R34" i="43"/>
  <c r="J36" i="43"/>
  <c r="V18" i="44"/>
  <c r="Z84" i="45"/>
  <c r="J27" i="46"/>
  <c r="L22" i="47"/>
  <c r="T12" i="48"/>
  <c r="N22" i="50"/>
  <c r="L22" i="50"/>
  <c r="N21" i="51"/>
  <c r="X33" i="51"/>
  <c r="Z33" i="51" s="1"/>
  <c r="N24" i="53"/>
  <c r="L24" i="53"/>
  <c r="L23" i="55"/>
  <c r="N23" i="55" s="1"/>
  <c r="X18" i="56"/>
  <c r="Z18" i="56" s="1"/>
  <c r="Z45" i="56"/>
  <c r="J38" i="61"/>
  <c r="R25" i="40"/>
  <c r="R29" i="40"/>
  <c r="R33" i="40"/>
  <c r="R16" i="43"/>
  <c r="V21" i="44"/>
  <c r="R27" i="44"/>
  <c r="R31" i="44"/>
  <c r="L54" i="45"/>
  <c r="J20" i="46"/>
  <c r="X13" i="47"/>
  <c r="T18" i="47"/>
  <c r="X13" i="48"/>
  <c r="Z13" i="48" s="1"/>
  <c r="N61" i="48"/>
  <c r="Z62" i="48"/>
  <c r="D12" i="51"/>
  <c r="N17" i="51"/>
  <c r="N28" i="51"/>
  <c r="Z29" i="51"/>
  <c r="L86" i="51"/>
  <c r="N86" i="51" s="1"/>
  <c r="V53" i="56"/>
  <c r="V49" i="56"/>
  <c r="V45" i="56"/>
  <c r="V37" i="56"/>
  <c r="V71" i="56"/>
  <c r="V65" i="56"/>
  <c r="V59" i="56"/>
  <c r="V55" i="56"/>
  <c r="V51" i="56"/>
  <c r="V47" i="56"/>
  <c r="V39" i="56"/>
  <c r="V31" i="56"/>
  <c r="V69" i="56"/>
  <c r="V62" i="56"/>
  <c r="V42" i="56"/>
  <c r="V34" i="56"/>
  <c r="V33" i="56"/>
  <c r="V21" i="56"/>
  <c r="T16" i="56"/>
  <c r="V63" i="56"/>
  <c r="V56" i="56"/>
  <c r="V52" i="56"/>
  <c r="V20" i="56"/>
  <c r="V54" i="56"/>
  <c r="V50" i="56"/>
  <c r="V48" i="56"/>
  <c r="V40" i="56"/>
  <c r="V27" i="56"/>
  <c r="V19" i="56"/>
  <c r="V46" i="56"/>
  <c r="V38" i="56"/>
  <c r="V26" i="56"/>
  <c r="V14" i="56"/>
  <c r="V61" i="56"/>
  <c r="V60" i="56"/>
  <c r="V32" i="56"/>
  <c r="V30" i="56"/>
  <c r="V29" i="56"/>
  <c r="V25" i="56"/>
  <c r="V44" i="56"/>
  <c r="V43" i="56"/>
  <c r="V36" i="56"/>
  <c r="V35" i="56"/>
  <c r="V28" i="56"/>
  <c r="V24" i="56"/>
  <c r="Z12" i="56"/>
  <c r="V74" i="56"/>
  <c r="V57" i="56"/>
  <c r="V23" i="56"/>
  <c r="N16" i="57"/>
  <c r="H62" i="57"/>
  <c r="N25" i="49"/>
  <c r="L25" i="49"/>
  <c r="H12" i="51"/>
  <c r="N13" i="51"/>
  <c r="X17" i="51"/>
  <c r="Z17" i="51" s="1"/>
  <c r="N20" i="51"/>
  <c r="N23" i="51"/>
  <c r="Z84" i="51"/>
  <c r="X84" i="51"/>
  <c r="N34" i="52"/>
  <c r="L34" i="52"/>
  <c r="H34" i="55"/>
  <c r="L18" i="58"/>
  <c r="N18" i="58" s="1"/>
  <c r="T50" i="61"/>
  <c r="D12" i="48"/>
  <c r="X44" i="48"/>
  <c r="Z44" i="48" s="1"/>
  <c r="L46" i="48"/>
  <c r="N46" i="48" s="1"/>
  <c r="V21" i="49"/>
  <c r="L22" i="49"/>
  <c r="R27" i="49"/>
  <c r="R31" i="49"/>
  <c r="R34" i="49"/>
  <c r="N12" i="50"/>
  <c r="X15" i="50"/>
  <c r="V18" i="50"/>
  <c r="J22" i="50"/>
  <c r="R24" i="50"/>
  <c r="X25" i="50"/>
  <c r="X29" i="50"/>
  <c r="X33" i="50"/>
  <c r="L13" i="51"/>
  <c r="Z16" i="51"/>
  <c r="L77" i="51"/>
  <c r="N77" i="51" s="1"/>
  <c r="L93" i="51"/>
  <c r="N93" i="51" s="1"/>
  <c r="L99" i="51"/>
  <c r="N99" i="51" s="1"/>
  <c r="X101" i="51"/>
  <c r="Z101" i="51" s="1"/>
  <c r="X16" i="52"/>
  <c r="X20" i="52"/>
  <c r="L24" i="52"/>
  <c r="J27" i="52"/>
  <c r="J31" i="52"/>
  <c r="J34" i="52"/>
  <c r="Z12" i="53"/>
  <c r="F16" i="53"/>
  <c r="V16" i="53"/>
  <c r="F20" i="53"/>
  <c r="V20" i="53"/>
  <c r="L21" i="53"/>
  <c r="J24" i="53"/>
  <c r="X34" i="53"/>
  <c r="X12" i="54"/>
  <c r="H16" i="54"/>
  <c r="L16" i="54" s="1"/>
  <c r="X20" i="54"/>
  <c r="X29" i="54"/>
  <c r="Z29" i="54" s="1"/>
  <c r="F21" i="55"/>
  <c r="J23" i="55"/>
  <c r="F26" i="55"/>
  <c r="F32" i="55"/>
  <c r="X12" i="56"/>
  <c r="H16" i="56"/>
  <c r="F20" i="56"/>
  <c r="R24" i="56"/>
  <c r="J27" i="56"/>
  <c r="R36" i="56"/>
  <c r="J38" i="56"/>
  <c r="F40" i="56"/>
  <c r="R44" i="56"/>
  <c r="J46" i="56"/>
  <c r="F48" i="56"/>
  <c r="F49" i="56"/>
  <c r="F50" i="56"/>
  <c r="F54" i="56"/>
  <c r="R60" i="56"/>
  <c r="J62" i="56"/>
  <c r="D67" i="56"/>
  <c r="V18" i="57"/>
  <c r="R19" i="57"/>
  <c r="Z36" i="57"/>
  <c r="N38" i="57"/>
  <c r="R71" i="58"/>
  <c r="R65" i="58"/>
  <c r="R62" i="58"/>
  <c r="R45" i="58"/>
  <c r="R42" i="58"/>
  <c r="R37" i="58"/>
  <c r="R33" i="58"/>
  <c r="R29" i="58"/>
  <c r="R21" i="58"/>
  <c r="R16" i="58"/>
  <c r="R76" i="58"/>
  <c r="R69" i="58"/>
  <c r="R48" i="58"/>
  <c r="R32" i="58"/>
  <c r="R28" i="58"/>
  <c r="R20" i="58"/>
  <c r="R18" i="58"/>
  <c r="P16" i="58"/>
  <c r="R64" i="58"/>
  <c r="R59" i="58"/>
  <c r="R51" i="58"/>
  <c r="R47" i="58"/>
  <c r="R44" i="58"/>
  <c r="R39" i="58"/>
  <c r="R36" i="58"/>
  <c r="R31" i="58"/>
  <c r="R27" i="58"/>
  <c r="R58" i="58"/>
  <c r="R54" i="58"/>
  <c r="R50" i="58"/>
  <c r="R26" i="58"/>
  <c r="R19" i="58"/>
  <c r="R61" i="58"/>
  <c r="R57" i="58"/>
  <c r="R53" i="58"/>
  <c r="R46" i="58"/>
  <c r="R41" i="58"/>
  <c r="R38" i="58"/>
  <c r="R30" i="58"/>
  <c r="R25" i="58"/>
  <c r="R14" i="58"/>
  <c r="R73" i="58"/>
  <c r="R67" i="58"/>
  <c r="R56" i="58"/>
  <c r="R49" i="58"/>
  <c r="R24" i="58"/>
  <c r="X12" i="58"/>
  <c r="R63" i="58"/>
  <c r="R60" i="58"/>
  <c r="R52" i="58"/>
  <c r="R43" i="58"/>
  <c r="R40" i="58"/>
  <c r="R35" i="58"/>
  <c r="R23" i="58"/>
  <c r="Z42" i="58"/>
  <c r="N44" i="58"/>
  <c r="R55" i="58"/>
  <c r="Z64" i="58"/>
  <c r="N18" i="59"/>
  <c r="N29" i="59"/>
  <c r="Z37" i="59"/>
  <c r="Z19" i="60"/>
  <c r="L18" i="61"/>
  <c r="N18" i="61" s="1"/>
  <c r="N19" i="61"/>
  <c r="X39" i="61"/>
  <c r="L41" i="61"/>
  <c r="X20" i="62"/>
  <c r="Z21" i="62"/>
  <c r="Z47" i="62"/>
  <c r="X57" i="62"/>
  <c r="L59" i="62"/>
  <c r="Z15" i="65"/>
  <c r="X15" i="65"/>
  <c r="V24" i="49"/>
  <c r="J15" i="50"/>
  <c r="H18" i="50"/>
  <c r="J25" i="50"/>
  <c r="R27" i="50"/>
  <c r="J29" i="50"/>
  <c r="R31" i="50"/>
  <c r="J33" i="50"/>
  <c r="R34" i="50"/>
  <c r="J36" i="50"/>
  <c r="H98" i="51"/>
  <c r="L98" i="51" s="1"/>
  <c r="J16" i="52"/>
  <c r="J20" i="52"/>
  <c r="J27" i="53"/>
  <c r="J31" i="53"/>
  <c r="J34" i="53"/>
  <c r="R14" i="54"/>
  <c r="R18" i="54"/>
  <c r="R22" i="54"/>
  <c r="R28" i="54"/>
  <c r="R31" i="54"/>
  <c r="N16" i="55"/>
  <c r="J26" i="55"/>
  <c r="J32" i="55"/>
  <c r="R14" i="56"/>
  <c r="R25" i="56"/>
  <c r="R29" i="56"/>
  <c r="R30" i="56"/>
  <c r="J40" i="56"/>
  <c r="F41" i="56"/>
  <c r="J48" i="56"/>
  <c r="J49" i="56"/>
  <c r="J50" i="56"/>
  <c r="F52" i="56"/>
  <c r="F53" i="56"/>
  <c r="J54" i="56"/>
  <c r="F56" i="56"/>
  <c r="R61" i="56"/>
  <c r="R39" i="57"/>
  <c r="R36" i="57"/>
  <c r="R31" i="57"/>
  <c r="R27" i="57"/>
  <c r="R64" i="57"/>
  <c r="R69" i="57"/>
  <c r="R62" i="57"/>
  <c r="R45" i="57"/>
  <c r="R38" i="57"/>
  <c r="R33" i="57"/>
  <c r="R29" i="57"/>
  <c r="R25" i="57"/>
  <c r="R14" i="57"/>
  <c r="R57" i="57"/>
  <c r="R52" i="57"/>
  <c r="R48" i="57"/>
  <c r="R44" i="57"/>
  <c r="R41" i="57"/>
  <c r="R24" i="57"/>
  <c r="R51" i="57"/>
  <c r="R35" i="57"/>
  <c r="R32" i="57"/>
  <c r="R54" i="57"/>
  <c r="R50" i="57"/>
  <c r="R47" i="57"/>
  <c r="R43" i="57"/>
  <c r="R66" i="57"/>
  <c r="R60" i="57"/>
  <c r="R37" i="57"/>
  <c r="R34" i="57"/>
  <c r="R21" i="57"/>
  <c r="P16" i="57"/>
  <c r="R30" i="57"/>
  <c r="D69" i="58"/>
  <c r="L16" i="58"/>
  <c r="N41" i="61"/>
  <c r="Z20" i="62"/>
  <c r="Z57" i="62"/>
  <c r="N59" i="62"/>
  <c r="Z67" i="62"/>
  <c r="X12" i="49"/>
  <c r="V27" i="49"/>
  <c r="V31" i="49"/>
  <c r="V34" i="49"/>
  <c r="R16" i="50"/>
  <c r="J18" i="50"/>
  <c r="R20" i="50"/>
  <c r="V24" i="50"/>
  <c r="L15" i="51"/>
  <c r="N15" i="51" s="1"/>
  <c r="X19" i="51"/>
  <c r="L23" i="51"/>
  <c r="X27" i="51"/>
  <c r="Z27" i="51" s="1"/>
  <c r="L31" i="51"/>
  <c r="L12" i="52"/>
  <c r="F15" i="52"/>
  <c r="D18" i="52"/>
  <c r="T18" i="52"/>
  <c r="F25" i="52"/>
  <c r="F29" i="52"/>
  <c r="F33" i="52"/>
  <c r="F36" i="52"/>
  <c r="J16" i="53"/>
  <c r="J20" i="53"/>
  <c r="F22" i="53"/>
  <c r="V22" i="53"/>
  <c r="R24" i="54"/>
  <c r="L12" i="55"/>
  <c r="X14" i="55"/>
  <c r="F18" i="55"/>
  <c r="F19" i="55"/>
  <c r="J21" i="55"/>
  <c r="F24" i="55"/>
  <c r="F58" i="56"/>
  <c r="F45" i="56"/>
  <c r="F42" i="56"/>
  <c r="F37" i="56"/>
  <c r="F71" i="56"/>
  <c r="F65" i="56"/>
  <c r="F55" i="56"/>
  <c r="F51" i="56"/>
  <c r="F47" i="56"/>
  <c r="F44" i="56"/>
  <c r="F39" i="56"/>
  <c r="F36" i="56"/>
  <c r="R19" i="56"/>
  <c r="J21" i="56"/>
  <c r="F22" i="56"/>
  <c r="R26" i="56"/>
  <c r="R31" i="56"/>
  <c r="J34" i="56"/>
  <c r="N41" i="56"/>
  <c r="J42" i="56"/>
  <c r="L51" i="56"/>
  <c r="N51" i="56" s="1"/>
  <c r="J52" i="56"/>
  <c r="J53" i="56"/>
  <c r="L55" i="56"/>
  <c r="N55" i="56" s="1"/>
  <c r="F57" i="56"/>
  <c r="F63" i="56"/>
  <c r="L65" i="56"/>
  <c r="F69" i="56"/>
  <c r="F74" i="56"/>
  <c r="V69" i="57"/>
  <c r="V64" i="57"/>
  <c r="V62" i="57"/>
  <c r="V58" i="57"/>
  <c r="V46" i="57"/>
  <c r="V42" i="57"/>
  <c r="V38" i="57"/>
  <c r="V30" i="57"/>
  <c r="V26" i="57"/>
  <c r="V14" i="57"/>
  <c r="V52" i="57"/>
  <c r="V48" i="57"/>
  <c r="V44" i="57"/>
  <c r="V32" i="57"/>
  <c r="V28" i="57"/>
  <c r="V24" i="57"/>
  <c r="Z12" i="57"/>
  <c r="V51" i="57"/>
  <c r="V47" i="57"/>
  <c r="V43" i="57"/>
  <c r="V35" i="57"/>
  <c r="V23" i="57"/>
  <c r="V66" i="57"/>
  <c r="V60" i="57"/>
  <c r="V54" i="57"/>
  <c r="V50" i="57"/>
  <c r="V34" i="57"/>
  <c r="V53" i="57"/>
  <c r="V49" i="57"/>
  <c r="V37" i="57"/>
  <c r="V56" i="57"/>
  <c r="V40" i="57"/>
  <c r="V36" i="57"/>
  <c r="V20" i="57"/>
  <c r="R16" i="57"/>
  <c r="V19" i="57"/>
  <c r="R23" i="57"/>
  <c r="L28" i="57"/>
  <c r="N28" i="57" s="1"/>
  <c r="V29" i="57"/>
  <c r="V41" i="57"/>
  <c r="V45" i="57"/>
  <c r="Z37" i="60"/>
  <c r="Z41" i="60"/>
  <c r="Z19" i="61"/>
  <c r="X97" i="62"/>
  <c r="R27" i="46"/>
  <c r="R31" i="46"/>
  <c r="R34" i="46"/>
  <c r="F18" i="47"/>
  <c r="P61" i="48"/>
  <c r="X61" i="48" s="1"/>
  <c r="Z12" i="49"/>
  <c r="V16" i="49"/>
  <c r="V20" i="49"/>
  <c r="R22" i="49"/>
  <c r="X12" i="50"/>
  <c r="J21" i="50"/>
  <c r="V27" i="50"/>
  <c r="V31" i="50"/>
  <c r="V34" i="50"/>
  <c r="N12" i="52"/>
  <c r="F18" i="52"/>
  <c r="J22" i="52"/>
  <c r="L12" i="53"/>
  <c r="F15" i="53"/>
  <c r="V15" i="53"/>
  <c r="D18" i="53"/>
  <c r="T18" i="53"/>
  <c r="F25" i="53"/>
  <c r="V25" i="53"/>
  <c r="F29" i="53"/>
  <c r="V29" i="53"/>
  <c r="F33" i="53"/>
  <c r="V33" i="53"/>
  <c r="F36" i="53"/>
  <c r="V36" i="53"/>
  <c r="F28" i="54"/>
  <c r="F31" i="54"/>
  <c r="N12" i="55"/>
  <c r="J14" i="55"/>
  <c r="J24" i="55"/>
  <c r="J28" i="55"/>
  <c r="J34" i="55"/>
  <c r="J71" i="56"/>
  <c r="J65" i="56"/>
  <c r="J61" i="56"/>
  <c r="J55" i="56"/>
  <c r="J51" i="56"/>
  <c r="J47" i="56"/>
  <c r="J39" i="56"/>
  <c r="J69" i="56"/>
  <c r="J63" i="56"/>
  <c r="J57" i="56"/>
  <c r="J41" i="56"/>
  <c r="J33" i="56"/>
  <c r="J22" i="56"/>
  <c r="F23" i="56"/>
  <c r="R27" i="56"/>
  <c r="J28" i="56"/>
  <c r="F35" i="56"/>
  <c r="F43" i="56"/>
  <c r="J58" i="56"/>
  <c r="F59" i="56"/>
  <c r="F60" i="56"/>
  <c r="X60" i="56"/>
  <c r="Z60" i="56" s="1"/>
  <c r="J67" i="56"/>
  <c r="X12" i="57"/>
  <c r="T16" i="57"/>
  <c r="X18" i="57"/>
  <c r="Z18" i="57" s="1"/>
  <c r="R22" i="57"/>
  <c r="R55" i="57"/>
  <c r="R56" i="57"/>
  <c r="R58" i="57"/>
  <c r="T69" i="58"/>
  <c r="Z16" i="58"/>
  <c r="X18" i="58"/>
  <c r="Z18" i="58" s="1"/>
  <c r="Z60" i="58"/>
  <c r="Z18" i="59"/>
  <c r="Z35" i="59"/>
  <c r="P12" i="64"/>
  <c r="X57" i="65"/>
  <c r="R57" i="65"/>
  <c r="R16" i="46"/>
  <c r="R20" i="46"/>
  <c r="V24" i="46"/>
  <c r="F21" i="47"/>
  <c r="V21" i="47"/>
  <c r="R27" i="47"/>
  <c r="R31" i="47"/>
  <c r="R15" i="49"/>
  <c r="P18" i="49"/>
  <c r="R25" i="49"/>
  <c r="J27" i="49"/>
  <c r="R29" i="49"/>
  <c r="J31" i="49"/>
  <c r="R33" i="49"/>
  <c r="J34" i="49"/>
  <c r="R36" i="49"/>
  <c r="Z12" i="50"/>
  <c r="F16" i="50"/>
  <c r="V16" i="50"/>
  <c r="R22" i="50"/>
  <c r="J24" i="50"/>
  <c r="J15" i="52"/>
  <c r="H18" i="52"/>
  <c r="F21" i="52"/>
  <c r="V21" i="52"/>
  <c r="J25" i="52"/>
  <c r="R27" i="52"/>
  <c r="J29" i="52"/>
  <c r="R31" i="52"/>
  <c r="J33" i="52"/>
  <c r="R34" i="52"/>
  <c r="J36" i="52"/>
  <c r="N12" i="53"/>
  <c r="F18" i="53"/>
  <c r="V18" i="53"/>
  <c r="J22" i="53"/>
  <c r="R24" i="53"/>
  <c r="P16" i="54"/>
  <c r="D16" i="55"/>
  <c r="J19" i="55"/>
  <c r="F22" i="55"/>
  <c r="R23" i="55"/>
  <c r="F25" i="55"/>
  <c r="V25" i="55"/>
  <c r="R26" i="55"/>
  <c r="L12" i="56"/>
  <c r="P16" i="56"/>
  <c r="F18" i="56"/>
  <c r="R18" i="56"/>
  <c r="F19" i="56"/>
  <c r="R20" i="56"/>
  <c r="J23" i="56"/>
  <c r="F24" i="56"/>
  <c r="R33" i="56"/>
  <c r="N35" i="56"/>
  <c r="R39" i="56"/>
  <c r="R47" i="56"/>
  <c r="R49" i="56"/>
  <c r="R53" i="56"/>
  <c r="J59" i="56"/>
  <c r="R62" i="56"/>
  <c r="R63" i="56"/>
  <c r="J74" i="56"/>
  <c r="V16" i="57"/>
  <c r="N19" i="57"/>
  <c r="V22" i="57"/>
  <c r="V27" i="57"/>
  <c r="R28" i="57"/>
  <c r="N32" i="57"/>
  <c r="V33" i="57"/>
  <c r="X38" i="57"/>
  <c r="Z38" i="57" s="1"/>
  <c r="N16" i="58"/>
  <c r="H69" i="58"/>
  <c r="L36" i="58"/>
  <c r="Z40" i="58"/>
  <c r="D46" i="61"/>
  <c r="Z18" i="61"/>
  <c r="N45" i="62"/>
  <c r="Z63" i="62"/>
  <c r="V27" i="46"/>
  <c r="V31" i="46"/>
  <c r="T61" i="48"/>
  <c r="J16" i="49"/>
  <c r="V22" i="49"/>
  <c r="R15" i="50"/>
  <c r="P18" i="50"/>
  <c r="R25" i="50"/>
  <c r="J27" i="50"/>
  <c r="R29" i="50"/>
  <c r="J31" i="50"/>
  <c r="R33" i="50"/>
  <c r="J34" i="50"/>
  <c r="R16" i="52"/>
  <c r="J18" i="52"/>
  <c r="J15" i="53"/>
  <c r="H18" i="53"/>
  <c r="F21" i="53"/>
  <c r="V21" i="53"/>
  <c r="J25" i="53"/>
  <c r="R27" i="53"/>
  <c r="J29" i="53"/>
  <c r="R31" i="53"/>
  <c r="J33" i="53"/>
  <c r="N12" i="54"/>
  <c r="J14" i="54"/>
  <c r="R16" i="54"/>
  <c r="J18" i="54"/>
  <c r="R20" i="54"/>
  <c r="J22" i="54"/>
  <c r="R26" i="54"/>
  <c r="J28" i="54"/>
  <c r="F16" i="55"/>
  <c r="V16" i="55"/>
  <c r="J18" i="55"/>
  <c r="V18" i="55"/>
  <c r="J22" i="55"/>
  <c r="V26" i="55"/>
  <c r="F30" i="55"/>
  <c r="V30" i="55"/>
  <c r="V32" i="55"/>
  <c r="N12" i="56"/>
  <c r="J14" i="56"/>
  <c r="R16" i="56"/>
  <c r="R21" i="56"/>
  <c r="J24" i="56"/>
  <c r="F25" i="56"/>
  <c r="F29" i="56"/>
  <c r="F30" i="56"/>
  <c r="Z33" i="56"/>
  <c r="R34" i="56"/>
  <c r="J35" i="56"/>
  <c r="J36" i="56"/>
  <c r="R41" i="56"/>
  <c r="R42" i="56"/>
  <c r="J43" i="56"/>
  <c r="J44" i="56"/>
  <c r="Z47" i="56"/>
  <c r="R51" i="56"/>
  <c r="R55" i="56"/>
  <c r="J60" i="56"/>
  <c r="R65" i="56"/>
  <c r="F69" i="57"/>
  <c r="F62" i="57"/>
  <c r="F51" i="57"/>
  <c r="F38" i="57"/>
  <c r="F35" i="57"/>
  <c r="F23" i="57"/>
  <c r="F14" i="57"/>
  <c r="F37" i="57"/>
  <c r="F32" i="57"/>
  <c r="F28" i="57"/>
  <c r="F21" i="57"/>
  <c r="F56" i="57"/>
  <c r="F47" i="57"/>
  <c r="F43" i="57"/>
  <c r="F40" i="57"/>
  <c r="F20" i="57"/>
  <c r="F66" i="57"/>
  <c r="F60" i="57"/>
  <c r="F39" i="57"/>
  <c r="F34" i="57"/>
  <c r="F31" i="57"/>
  <c r="F64" i="57"/>
  <c r="F58" i="57"/>
  <c r="F53" i="57"/>
  <c r="F49" i="57"/>
  <c r="F46" i="57"/>
  <c r="F42" i="57"/>
  <c r="F30" i="57"/>
  <c r="F45" i="57"/>
  <c r="F36" i="57"/>
  <c r="F33" i="57"/>
  <c r="F29" i="57"/>
  <c r="F25" i="57"/>
  <c r="D16" i="57"/>
  <c r="L18" i="57"/>
  <c r="N18" i="57" s="1"/>
  <c r="R18" i="57"/>
  <c r="R26" i="57"/>
  <c r="Z28" i="57"/>
  <c r="R49" i="57"/>
  <c r="F52" i="57"/>
  <c r="V55" i="57"/>
  <c r="R22" i="58"/>
  <c r="N46" i="58"/>
  <c r="X62" i="58"/>
  <c r="L64" i="58"/>
  <c r="L20" i="62"/>
  <c r="N20" i="62" s="1"/>
  <c r="X45" i="62"/>
  <c r="L47" i="62"/>
  <c r="Z55" i="62"/>
  <c r="N35" i="66"/>
  <c r="L35" i="66"/>
  <c r="V25" i="49"/>
  <c r="V29" i="49"/>
  <c r="V33" i="49"/>
  <c r="J16" i="50"/>
  <c r="R74" i="56"/>
  <c r="R67" i="56"/>
  <c r="R54" i="56"/>
  <c r="R50" i="56"/>
  <c r="R46" i="56"/>
  <c r="R43" i="56"/>
  <c r="R38" i="56"/>
  <c r="R35" i="56"/>
  <c r="R56" i="56"/>
  <c r="R52" i="56"/>
  <c r="R48" i="56"/>
  <c r="R45" i="56"/>
  <c r="R40" i="56"/>
  <c r="R37" i="56"/>
  <c r="R32" i="56"/>
  <c r="J19" i="56"/>
  <c r="R22" i="56"/>
  <c r="J25" i="56"/>
  <c r="F26" i="56"/>
  <c r="J29" i="56"/>
  <c r="J30" i="56"/>
  <c r="F31" i="56"/>
  <c r="F32" i="56"/>
  <c r="Z41" i="56"/>
  <c r="Z51" i="56"/>
  <c r="Z55" i="56"/>
  <c r="R57" i="56"/>
  <c r="R58" i="56"/>
  <c r="F61" i="56"/>
  <c r="F62" i="56"/>
  <c r="R71" i="56"/>
  <c r="V21" i="57"/>
  <c r="V25" i="57"/>
  <c r="R40" i="57"/>
  <c r="R53" i="57"/>
  <c r="Z62" i="58"/>
  <c r="L19" i="59"/>
  <c r="N19" i="59" s="1"/>
  <c r="L39" i="59"/>
  <c r="N39" i="59" s="1"/>
  <c r="L33" i="61"/>
  <c r="Z45" i="62"/>
  <c r="N47" i="62"/>
  <c r="X65" i="62"/>
  <c r="L67" i="62"/>
  <c r="N67" i="62" s="1"/>
  <c r="H12" i="64"/>
  <c r="N24" i="64"/>
  <c r="J52" i="57"/>
  <c r="J62" i="57"/>
  <c r="J69" i="57"/>
  <c r="N14" i="58"/>
  <c r="F16" i="58"/>
  <c r="V16" i="58"/>
  <c r="V18" i="58"/>
  <c r="V22" i="58"/>
  <c r="F27" i="58"/>
  <c r="F31" i="58"/>
  <c r="V34" i="58"/>
  <c r="F39" i="58"/>
  <c r="F42" i="58"/>
  <c r="V42" i="58"/>
  <c r="F47" i="58"/>
  <c r="F51" i="58"/>
  <c r="J58" i="58"/>
  <c r="F59" i="58"/>
  <c r="F62" i="58"/>
  <c r="V62" i="58"/>
  <c r="J64" i="58"/>
  <c r="J19" i="59"/>
  <c r="V21" i="59"/>
  <c r="R22" i="59"/>
  <c r="J25" i="59"/>
  <c r="R35" i="59"/>
  <c r="V37" i="59"/>
  <c r="R38" i="59"/>
  <c r="J39" i="59"/>
  <c r="V41" i="59"/>
  <c r="R42" i="59"/>
  <c r="V45" i="59"/>
  <c r="R51" i="59"/>
  <c r="J21" i="60"/>
  <c r="F22" i="60"/>
  <c r="V25" i="60"/>
  <c r="V29" i="60"/>
  <c r="J33" i="60"/>
  <c r="F37" i="60"/>
  <c r="V37" i="60"/>
  <c r="F41" i="60"/>
  <c r="V41" i="60"/>
  <c r="P16" i="61"/>
  <c r="R18" i="61"/>
  <c r="R20" i="61"/>
  <c r="V27" i="61"/>
  <c r="V31" i="61"/>
  <c r="R32" i="61"/>
  <c r="R37" i="61"/>
  <c r="V39" i="61"/>
  <c r="R40" i="61"/>
  <c r="R91" i="62"/>
  <c r="R86" i="62"/>
  <c r="R102" i="62"/>
  <c r="R88" i="62"/>
  <c r="P18" i="62"/>
  <c r="R20" i="62"/>
  <c r="R22" i="62"/>
  <c r="J25" i="62"/>
  <c r="R30" i="62"/>
  <c r="R34" i="62"/>
  <c r="J37" i="62"/>
  <c r="J41" i="62"/>
  <c r="V45" i="62"/>
  <c r="R46" i="62"/>
  <c r="J47" i="62"/>
  <c r="V49" i="62"/>
  <c r="R55" i="62"/>
  <c r="V57" i="62"/>
  <c r="R58" i="62"/>
  <c r="J59" i="62"/>
  <c r="R63" i="62"/>
  <c r="V65" i="62"/>
  <c r="R66" i="62"/>
  <c r="J67" i="62"/>
  <c r="V73" i="62"/>
  <c r="V77" i="62"/>
  <c r="J81" i="62"/>
  <c r="F82" i="62"/>
  <c r="R87" i="62"/>
  <c r="V88" i="62"/>
  <c r="R97" i="62"/>
  <c r="J100" i="62"/>
  <c r="J102" i="62"/>
  <c r="F107" i="62"/>
  <c r="T12" i="64"/>
  <c r="Z13" i="64"/>
  <c r="D12" i="66"/>
  <c r="N23" i="66"/>
  <c r="J55" i="57"/>
  <c r="F20" i="58"/>
  <c r="V23" i="58"/>
  <c r="F28" i="58"/>
  <c r="F32" i="58"/>
  <c r="V35" i="58"/>
  <c r="V43" i="58"/>
  <c r="F48" i="58"/>
  <c r="F55" i="58"/>
  <c r="V55" i="58"/>
  <c r="J59" i="58"/>
  <c r="V63" i="58"/>
  <c r="J69" i="58"/>
  <c r="J76" i="58"/>
  <c r="V16" i="59"/>
  <c r="J18" i="59"/>
  <c r="V18" i="59"/>
  <c r="V22" i="59"/>
  <c r="R23" i="59"/>
  <c r="J26" i="59"/>
  <c r="J30" i="59"/>
  <c r="J34" i="59"/>
  <c r="V38" i="59"/>
  <c r="V42" i="59"/>
  <c r="R43" i="59"/>
  <c r="J44" i="59"/>
  <c r="J50" i="59"/>
  <c r="J54" i="59"/>
  <c r="R56" i="59"/>
  <c r="J60" i="59"/>
  <c r="R63" i="59"/>
  <c r="F14" i="60"/>
  <c r="V14" i="60"/>
  <c r="J22" i="60"/>
  <c r="F23" i="60"/>
  <c r="V26" i="60"/>
  <c r="J28" i="60"/>
  <c r="F31" i="60"/>
  <c r="F34" i="60"/>
  <c r="V34" i="60"/>
  <c r="V38" i="60"/>
  <c r="R39" i="60"/>
  <c r="V42" i="60"/>
  <c r="F46" i="60"/>
  <c r="V46" i="60"/>
  <c r="V48" i="60"/>
  <c r="F53" i="60"/>
  <c r="V53" i="60"/>
  <c r="R16" i="61"/>
  <c r="V20" i="61"/>
  <c r="R21" i="61"/>
  <c r="V32" i="61"/>
  <c r="V40" i="61"/>
  <c r="R44" i="61"/>
  <c r="R50" i="61"/>
  <c r="V85" i="62"/>
  <c r="V97" i="62"/>
  <c r="V87" i="62"/>
  <c r="R18" i="62"/>
  <c r="V22" i="62"/>
  <c r="R23" i="62"/>
  <c r="J26" i="62"/>
  <c r="V30" i="62"/>
  <c r="R31" i="62"/>
  <c r="J32" i="62"/>
  <c r="V34" i="62"/>
  <c r="R35" i="62"/>
  <c r="J38" i="62"/>
  <c r="R40" i="62"/>
  <c r="V42" i="62"/>
  <c r="R43" i="62"/>
  <c r="V46" i="62"/>
  <c r="J54" i="62"/>
  <c r="V58" i="62"/>
  <c r="J62" i="62"/>
  <c r="V66" i="62"/>
  <c r="J70" i="62"/>
  <c r="F71" i="62"/>
  <c r="F75" i="62"/>
  <c r="F79" i="62"/>
  <c r="R80" i="62"/>
  <c r="J82" i="62"/>
  <c r="F83" i="62"/>
  <c r="Z87" i="62"/>
  <c r="R89" i="62"/>
  <c r="R90" i="62"/>
  <c r="J91" i="62"/>
  <c r="J92" i="62"/>
  <c r="F93" i="62"/>
  <c r="F94" i="62"/>
  <c r="V94" i="62"/>
  <c r="T97" i="62"/>
  <c r="J104" i="62"/>
  <c r="J107" i="62"/>
  <c r="L22" i="64"/>
  <c r="Z27" i="64"/>
  <c r="Z49" i="64"/>
  <c r="Z75" i="64"/>
  <c r="N25" i="65"/>
  <c r="L25" i="65"/>
  <c r="H12" i="66"/>
  <c r="L23" i="66"/>
  <c r="J58" i="57"/>
  <c r="J64" i="57"/>
  <c r="F33" i="58"/>
  <c r="F37" i="58"/>
  <c r="F40" i="58"/>
  <c r="V40" i="58"/>
  <c r="F45" i="58"/>
  <c r="F52" i="58"/>
  <c r="V52" i="58"/>
  <c r="V56" i="58"/>
  <c r="F60" i="58"/>
  <c r="V60" i="58"/>
  <c r="F65" i="58"/>
  <c r="F71" i="58"/>
  <c r="H16" i="59"/>
  <c r="J27" i="59"/>
  <c r="R29" i="59"/>
  <c r="J31" i="59"/>
  <c r="R33" i="59"/>
  <c r="R36" i="59"/>
  <c r="J37" i="59"/>
  <c r="V43" i="59"/>
  <c r="J47" i="59"/>
  <c r="R49" i="59"/>
  <c r="V51" i="59"/>
  <c r="R52" i="59"/>
  <c r="D56" i="59"/>
  <c r="T56" i="59"/>
  <c r="R58" i="59"/>
  <c r="V19" i="60"/>
  <c r="V27" i="60"/>
  <c r="V35" i="60"/>
  <c r="V39" i="60"/>
  <c r="R22" i="61"/>
  <c r="R35" i="61"/>
  <c r="V37" i="61"/>
  <c r="R38" i="61"/>
  <c r="J15" i="62"/>
  <c r="D100" i="62"/>
  <c r="T100" i="62"/>
  <c r="J21" i="62"/>
  <c r="V23" i="62"/>
  <c r="R24" i="62"/>
  <c r="J27" i="62"/>
  <c r="V31" i="62"/>
  <c r="L32" i="62"/>
  <c r="N32" i="62" s="1"/>
  <c r="V35" i="62"/>
  <c r="R36" i="62"/>
  <c r="J39" i="62"/>
  <c r="X42" i="62"/>
  <c r="Z42" i="62" s="1"/>
  <c r="V43" i="62"/>
  <c r="R44" i="62"/>
  <c r="J45" i="62"/>
  <c r="J51" i="62"/>
  <c r="F52" i="62"/>
  <c r="R53" i="62"/>
  <c r="F55" i="62"/>
  <c r="V55" i="62"/>
  <c r="R56" i="62"/>
  <c r="J57" i="62"/>
  <c r="F60" i="62"/>
  <c r="R61" i="62"/>
  <c r="F63" i="62"/>
  <c r="V63" i="62"/>
  <c r="R64" i="62"/>
  <c r="J65" i="62"/>
  <c r="F68" i="62"/>
  <c r="R69" i="62"/>
  <c r="J71" i="62"/>
  <c r="F72" i="62"/>
  <c r="J75" i="62"/>
  <c r="F76" i="62"/>
  <c r="J79" i="62"/>
  <c r="J83" i="62"/>
  <c r="F84" i="62"/>
  <c r="Z89" i="62"/>
  <c r="V90" i="62"/>
  <c r="L91" i="62"/>
  <c r="R98" i="62"/>
  <c r="L16" i="64"/>
  <c r="L41" i="64"/>
  <c r="N41" i="64" s="1"/>
  <c r="Z63" i="64"/>
  <c r="X82" i="64"/>
  <c r="Z82" i="64" s="1"/>
  <c r="N16" i="66"/>
  <c r="J49" i="57"/>
  <c r="J53" i="57"/>
  <c r="F22" i="58"/>
  <c r="V25" i="58"/>
  <c r="F34" i="58"/>
  <c r="V41" i="58"/>
  <c r="F49" i="58"/>
  <c r="V49" i="58"/>
  <c r="V53" i="58"/>
  <c r="J55" i="58"/>
  <c r="V57" i="58"/>
  <c r="V61" i="58"/>
  <c r="J65" i="58"/>
  <c r="F67" i="58"/>
  <c r="V67" i="58"/>
  <c r="J71" i="58"/>
  <c r="F73" i="58"/>
  <c r="V73" i="58"/>
  <c r="Z12" i="59"/>
  <c r="R14" i="59"/>
  <c r="J16" i="59"/>
  <c r="J20" i="59"/>
  <c r="V24" i="59"/>
  <c r="R25" i="59"/>
  <c r="J28" i="59"/>
  <c r="J32" i="59"/>
  <c r="V36" i="59"/>
  <c r="J40" i="59"/>
  <c r="R46" i="59"/>
  <c r="J48" i="59"/>
  <c r="V52" i="59"/>
  <c r="F56" i="59"/>
  <c r="V56" i="59"/>
  <c r="V58" i="59"/>
  <c r="F63" i="59"/>
  <c r="V63" i="59"/>
  <c r="N12" i="60"/>
  <c r="J14" i="60"/>
  <c r="V20" i="60"/>
  <c r="J24" i="60"/>
  <c r="F25" i="60"/>
  <c r="F29" i="60"/>
  <c r="F32" i="60"/>
  <c r="V32" i="60"/>
  <c r="J34" i="60"/>
  <c r="V36" i="60"/>
  <c r="V40" i="60"/>
  <c r="J46" i="60"/>
  <c r="J53" i="60"/>
  <c r="V16" i="61"/>
  <c r="V18" i="61"/>
  <c r="V22" i="61"/>
  <c r="R23" i="61"/>
  <c r="R28" i="61"/>
  <c r="V38" i="61"/>
  <c r="V44" i="61"/>
  <c r="V50" i="61"/>
  <c r="R14" i="62"/>
  <c r="J16" i="62"/>
  <c r="J20" i="62"/>
  <c r="R25" i="62"/>
  <c r="J28" i="62"/>
  <c r="V36" i="62"/>
  <c r="R37" i="62"/>
  <c r="V40" i="62"/>
  <c r="R41" i="62"/>
  <c r="J42" i="62"/>
  <c r="V44" i="62"/>
  <c r="J48" i="62"/>
  <c r="R50" i="62"/>
  <c r="J52" i="62"/>
  <c r="V56" i="62"/>
  <c r="J60" i="62"/>
  <c r="V64" i="62"/>
  <c r="J68" i="62"/>
  <c r="J72" i="62"/>
  <c r="F73" i="62"/>
  <c r="R74" i="62"/>
  <c r="J76" i="62"/>
  <c r="F77" i="62"/>
  <c r="R78" i="62"/>
  <c r="F80" i="62"/>
  <c r="V80" i="62"/>
  <c r="R81" i="62"/>
  <c r="J84" i="62"/>
  <c r="F85" i="62"/>
  <c r="V89" i="62"/>
  <c r="J94" i="62"/>
  <c r="V102" i="62"/>
  <c r="R104" i="62"/>
  <c r="D12" i="64"/>
  <c r="Z23" i="64"/>
  <c r="F48" i="65"/>
  <c r="F44" i="65"/>
  <c r="F57" i="65"/>
  <c r="F43" i="65"/>
  <c r="F50" i="65"/>
  <c r="F47" i="65"/>
  <c r="F28" i="65"/>
  <c r="F61" i="65"/>
  <c r="F55" i="65"/>
  <c r="F49" i="65"/>
  <c r="F39" i="65"/>
  <c r="F36" i="65"/>
  <c r="F31" i="65"/>
  <c r="F27" i="65"/>
  <c r="F18" i="65"/>
  <c r="F46" i="65"/>
  <c r="F41" i="65"/>
  <c r="F38" i="65"/>
  <c r="F33" i="65"/>
  <c r="F30" i="65"/>
  <c r="F26" i="65"/>
  <c r="F54" i="65"/>
  <c r="F53" i="65"/>
  <c r="F45" i="65"/>
  <c r="F29" i="65"/>
  <c r="F22" i="65"/>
  <c r="F40" i="65"/>
  <c r="F35" i="65"/>
  <c r="F32" i="65"/>
  <c r="D22" i="65"/>
  <c r="F20" i="65"/>
  <c r="L12" i="65"/>
  <c r="R22" i="65"/>
  <c r="Z35" i="65"/>
  <c r="X35" i="65"/>
  <c r="F37" i="65"/>
  <c r="F42" i="65"/>
  <c r="L27" i="66"/>
  <c r="J16" i="57"/>
  <c r="J20" i="57"/>
  <c r="J34" i="57"/>
  <c r="J40" i="57"/>
  <c r="J56" i="57"/>
  <c r="J60" i="57"/>
  <c r="J66" i="57"/>
  <c r="F14" i="58"/>
  <c r="V14" i="58"/>
  <c r="J22" i="58"/>
  <c r="F23" i="58"/>
  <c r="V26" i="58"/>
  <c r="F30" i="58"/>
  <c r="V30" i="58"/>
  <c r="J34" i="58"/>
  <c r="F35" i="58"/>
  <c r="F38" i="58"/>
  <c r="V38" i="58"/>
  <c r="J40" i="58"/>
  <c r="F43" i="58"/>
  <c r="F46" i="58"/>
  <c r="V46" i="58"/>
  <c r="V50" i="58"/>
  <c r="J52" i="58"/>
  <c r="V54" i="58"/>
  <c r="V58" i="58"/>
  <c r="J60" i="58"/>
  <c r="F63" i="58"/>
  <c r="R19" i="59"/>
  <c r="J21" i="59"/>
  <c r="F22" i="59"/>
  <c r="V25" i="59"/>
  <c r="R26" i="59"/>
  <c r="F29" i="59"/>
  <c r="V29" i="59"/>
  <c r="R30" i="59"/>
  <c r="F33" i="59"/>
  <c r="V33" i="59"/>
  <c r="R34" i="59"/>
  <c r="J35" i="59"/>
  <c r="F38" i="59"/>
  <c r="R39" i="59"/>
  <c r="J41" i="59"/>
  <c r="F42" i="59"/>
  <c r="J45" i="59"/>
  <c r="F49" i="59"/>
  <c r="V49" i="59"/>
  <c r="R50" i="59"/>
  <c r="J51" i="59"/>
  <c r="D16" i="60"/>
  <c r="T16" i="60"/>
  <c r="J19" i="60"/>
  <c r="V21" i="60"/>
  <c r="R22" i="60"/>
  <c r="J25" i="60"/>
  <c r="F26" i="60"/>
  <c r="J29" i="60"/>
  <c r="V33" i="60"/>
  <c r="F38" i="60"/>
  <c r="F42" i="60"/>
  <c r="F48" i="60"/>
  <c r="X12" i="61"/>
  <c r="F20" i="61"/>
  <c r="V23" i="61"/>
  <c r="R24" i="61"/>
  <c r="F32" i="61"/>
  <c r="R33" i="61"/>
  <c r="F35" i="61"/>
  <c r="V35" i="61"/>
  <c r="R36" i="61"/>
  <c r="F40" i="61"/>
  <c r="R41" i="61"/>
  <c r="F90" i="62"/>
  <c r="F97" i="62"/>
  <c r="F92" i="62"/>
  <c r="F87" i="62"/>
  <c r="H18" i="62"/>
  <c r="F22" i="62"/>
  <c r="V25" i="62"/>
  <c r="R26" i="62"/>
  <c r="J29" i="62"/>
  <c r="F30" i="62"/>
  <c r="J33" i="62"/>
  <c r="F34" i="62"/>
  <c r="V37" i="62"/>
  <c r="R38" i="62"/>
  <c r="V41" i="62"/>
  <c r="F46" i="62"/>
  <c r="R47" i="62"/>
  <c r="J49" i="62"/>
  <c r="F53" i="62"/>
  <c r="V53" i="62"/>
  <c r="R54" i="62"/>
  <c r="J55" i="62"/>
  <c r="F58" i="62"/>
  <c r="R59" i="62"/>
  <c r="F61" i="62"/>
  <c r="V61" i="62"/>
  <c r="R62" i="62"/>
  <c r="J63" i="62"/>
  <c r="F66" i="62"/>
  <c r="R67" i="62"/>
  <c r="F69" i="62"/>
  <c r="V69" i="62"/>
  <c r="R70" i="62"/>
  <c r="J73" i="62"/>
  <c r="J77" i="62"/>
  <c r="V81" i="62"/>
  <c r="R82" i="62"/>
  <c r="J85" i="62"/>
  <c r="F88" i="62"/>
  <c r="R92" i="62"/>
  <c r="R93" i="62"/>
  <c r="V98" i="62"/>
  <c r="R100" i="62"/>
  <c r="Z21" i="64"/>
  <c r="J51" i="65"/>
  <c r="J47" i="65"/>
  <c r="J61" i="65"/>
  <c r="J55" i="65"/>
  <c r="J49" i="65"/>
  <c r="J66" i="65"/>
  <c r="J59" i="65"/>
  <c r="J36" i="65"/>
  <c r="J18" i="65"/>
  <c r="J63" i="65"/>
  <c r="J57" i="65"/>
  <c r="J48" i="65"/>
  <c r="J46" i="65"/>
  <c r="J41" i="65"/>
  <c r="J33" i="65"/>
  <c r="J27" i="65"/>
  <c r="J54" i="65"/>
  <c r="J38" i="65"/>
  <c r="J30" i="65"/>
  <c r="J26" i="65"/>
  <c r="J22" i="65"/>
  <c r="J53" i="65"/>
  <c r="J45" i="65"/>
  <c r="J44" i="65"/>
  <c r="J35" i="65"/>
  <c r="J29" i="65"/>
  <c r="H22" i="65"/>
  <c r="J43" i="65"/>
  <c r="J40" i="65"/>
  <c r="J32" i="65"/>
  <c r="J24" i="65"/>
  <c r="J20" i="65"/>
  <c r="N12" i="65"/>
  <c r="J52" i="65"/>
  <c r="J37" i="65"/>
  <c r="J25" i="65"/>
  <c r="J19" i="65"/>
  <c r="L24" i="65"/>
  <c r="N24" i="65" s="1"/>
  <c r="Z24" i="65"/>
  <c r="J31" i="65"/>
  <c r="L37" i="65"/>
  <c r="N37" i="65" s="1"/>
  <c r="J42" i="65"/>
  <c r="Z43" i="65"/>
  <c r="P59" i="65"/>
  <c r="N15" i="66"/>
  <c r="N20" i="66"/>
  <c r="L36" i="66"/>
  <c r="N36" i="66" s="1"/>
  <c r="X62" i="66"/>
  <c r="Z62" i="66" s="1"/>
  <c r="J146" i="69"/>
  <c r="J136" i="69"/>
  <c r="J124" i="69"/>
  <c r="J118" i="69"/>
  <c r="J106" i="69"/>
  <c r="J98" i="69"/>
  <c r="J94" i="69"/>
  <c r="J141" i="69"/>
  <c r="J127" i="69"/>
  <c r="J117" i="69"/>
  <c r="J111" i="69"/>
  <c r="J105" i="69"/>
  <c r="J97" i="69"/>
  <c r="J93" i="69"/>
  <c r="J85" i="69"/>
  <c r="J81" i="69"/>
  <c r="J73" i="69"/>
  <c r="J65" i="69"/>
  <c r="J57" i="69"/>
  <c r="J150" i="69"/>
  <c r="J144" i="69"/>
  <c r="J138" i="69"/>
  <c r="J130" i="69"/>
  <c r="J120" i="69"/>
  <c r="J114" i="69"/>
  <c r="J108" i="69"/>
  <c r="J102" i="69"/>
  <c r="J96" i="69"/>
  <c r="J92" i="69"/>
  <c r="J86" i="69"/>
  <c r="J140" i="69"/>
  <c r="J134" i="69"/>
  <c r="J126" i="69"/>
  <c r="J122" i="69"/>
  <c r="J116" i="69"/>
  <c r="J110" i="69"/>
  <c r="J104" i="69"/>
  <c r="J90" i="69"/>
  <c r="J78" i="69"/>
  <c r="J70" i="69"/>
  <c r="J62" i="69"/>
  <c r="J56" i="69"/>
  <c r="J145" i="69"/>
  <c r="J137" i="69"/>
  <c r="J133" i="69"/>
  <c r="J129" i="69"/>
  <c r="J125" i="69"/>
  <c r="J119" i="69"/>
  <c r="J113" i="69"/>
  <c r="J107" i="69"/>
  <c r="J101" i="69"/>
  <c r="J95" i="69"/>
  <c r="J89" i="69"/>
  <c r="J77" i="69"/>
  <c r="J69" i="69"/>
  <c r="J61" i="69"/>
  <c r="J115" i="69"/>
  <c r="J103" i="69"/>
  <c r="H83" i="69"/>
  <c r="J74" i="69"/>
  <c r="J66" i="69"/>
  <c r="J59" i="69"/>
  <c r="J132" i="69"/>
  <c r="J75" i="69"/>
  <c r="J67" i="69"/>
  <c r="J60" i="69"/>
  <c r="J99" i="69"/>
  <c r="J128" i="69"/>
  <c r="J121" i="69"/>
  <c r="J87" i="69"/>
  <c r="J76" i="69"/>
  <c r="J68" i="69"/>
  <c r="J139" i="69"/>
  <c r="J109" i="69"/>
  <c r="J100" i="69"/>
  <c r="J91" i="69"/>
  <c r="J112" i="69"/>
  <c r="J88" i="69"/>
  <c r="J63" i="69"/>
  <c r="J123" i="69"/>
  <c r="J72" i="69"/>
  <c r="J64" i="69"/>
  <c r="J71" i="69"/>
  <c r="J135" i="69"/>
  <c r="J83" i="69"/>
  <c r="J79" i="69"/>
  <c r="J131" i="69"/>
  <c r="J80" i="69"/>
  <c r="J58" i="69"/>
  <c r="R76" i="70"/>
  <c r="R72" i="70"/>
  <c r="R52" i="70"/>
  <c r="R49" i="70"/>
  <c r="R36" i="70"/>
  <c r="R71" i="70"/>
  <c r="R67" i="70"/>
  <c r="R64" i="70"/>
  <c r="R60" i="70"/>
  <c r="R35" i="70"/>
  <c r="R30" i="70"/>
  <c r="R81" i="70"/>
  <c r="R78" i="70"/>
  <c r="R75" i="70"/>
  <c r="R70" i="70"/>
  <c r="R54" i="70"/>
  <c r="R51" i="70"/>
  <c r="R46" i="70"/>
  <c r="R34" i="70"/>
  <c r="R32" i="70"/>
  <c r="P30" i="70"/>
  <c r="R69" i="70"/>
  <c r="R66" i="70"/>
  <c r="R57" i="70"/>
  <c r="R45" i="70"/>
  <c r="R41" i="70"/>
  <c r="R77" i="70"/>
  <c r="R56" i="70"/>
  <c r="R53" i="70"/>
  <c r="R48" i="70"/>
  <c r="R44" i="70"/>
  <c r="R40" i="70"/>
  <c r="R33" i="70"/>
  <c r="R28" i="70"/>
  <c r="R85" i="70"/>
  <c r="R68" i="70"/>
  <c r="R63" i="70"/>
  <c r="R59" i="70"/>
  <c r="R43" i="70"/>
  <c r="R39" i="70"/>
  <c r="R74" i="70"/>
  <c r="R62" i="70"/>
  <c r="R55" i="70"/>
  <c r="R50" i="70"/>
  <c r="R47" i="70"/>
  <c r="R38" i="70"/>
  <c r="R27" i="70"/>
  <c r="R61" i="70"/>
  <c r="R37" i="70"/>
  <c r="R65" i="70"/>
  <c r="R58" i="70"/>
  <c r="R80" i="70"/>
  <c r="R73" i="70"/>
  <c r="R42" i="70"/>
  <c r="F56" i="58"/>
  <c r="V59" i="58"/>
  <c r="J22" i="59"/>
  <c r="J38" i="59"/>
  <c r="J42" i="59"/>
  <c r="R44" i="59"/>
  <c r="V46" i="59"/>
  <c r="R47" i="59"/>
  <c r="V50" i="59"/>
  <c r="R54" i="59"/>
  <c r="J56" i="59"/>
  <c r="R60" i="59"/>
  <c r="J63" i="59"/>
  <c r="V16" i="60"/>
  <c r="V18" i="60"/>
  <c r="V22" i="60"/>
  <c r="V30" i="60"/>
  <c r="F44" i="60"/>
  <c r="V44" i="60"/>
  <c r="J48" i="60"/>
  <c r="F50" i="60"/>
  <c r="V50" i="60"/>
  <c r="R14" i="61"/>
  <c r="Z16" i="61"/>
  <c r="R25" i="61"/>
  <c r="R29" i="61"/>
  <c r="R46" i="61"/>
  <c r="R53" i="61"/>
  <c r="J97" i="62"/>
  <c r="J93" i="62"/>
  <c r="J87" i="62"/>
  <c r="J95" i="62"/>
  <c r="J89" i="62"/>
  <c r="J18" i="62"/>
  <c r="J22" i="62"/>
  <c r="J30" i="62"/>
  <c r="J34" i="62"/>
  <c r="R39" i="62"/>
  <c r="J40" i="62"/>
  <c r="J46" i="62"/>
  <c r="R51" i="62"/>
  <c r="J58" i="62"/>
  <c r="V62" i="62"/>
  <c r="J66" i="62"/>
  <c r="V70" i="62"/>
  <c r="R71" i="62"/>
  <c r="V74" i="62"/>
  <c r="R75" i="62"/>
  <c r="V78" i="62"/>
  <c r="R79" i="62"/>
  <c r="J80" i="62"/>
  <c r="V82" i="62"/>
  <c r="R83" i="62"/>
  <c r="J88" i="62"/>
  <c r="V91" i="62"/>
  <c r="V92" i="62"/>
  <c r="V93" i="62"/>
  <c r="V100" i="62"/>
  <c r="V104" i="62"/>
  <c r="R107" i="62"/>
  <c r="L49" i="64"/>
  <c r="Z54" i="64"/>
  <c r="X54" i="64"/>
  <c r="J22" i="57"/>
  <c r="J28" i="57"/>
  <c r="J32" i="57"/>
  <c r="J50" i="57"/>
  <c r="N12" i="58"/>
  <c r="J14" i="58"/>
  <c r="V20" i="58"/>
  <c r="J24" i="58"/>
  <c r="F25" i="58"/>
  <c r="V28" i="58"/>
  <c r="J30" i="58"/>
  <c r="V32" i="58"/>
  <c r="F36" i="58"/>
  <c r="V36" i="58"/>
  <c r="J38" i="58"/>
  <c r="F41" i="58"/>
  <c r="F44" i="58"/>
  <c r="V44" i="58"/>
  <c r="J46" i="58"/>
  <c r="V48" i="58"/>
  <c r="F53" i="58"/>
  <c r="F57" i="58"/>
  <c r="F61" i="58"/>
  <c r="L12" i="59"/>
  <c r="P16" i="59"/>
  <c r="F18" i="59"/>
  <c r="R18" i="59"/>
  <c r="F19" i="59"/>
  <c r="V19" i="59"/>
  <c r="R20" i="59"/>
  <c r="J23" i="59"/>
  <c r="F24" i="59"/>
  <c r="V27" i="59"/>
  <c r="R28" i="59"/>
  <c r="J29" i="59"/>
  <c r="V31" i="59"/>
  <c r="R32" i="59"/>
  <c r="J33" i="59"/>
  <c r="F36" i="59"/>
  <c r="R37" i="59"/>
  <c r="F39" i="59"/>
  <c r="V39" i="59"/>
  <c r="R40" i="59"/>
  <c r="J43" i="59"/>
  <c r="F52" i="59"/>
  <c r="X12" i="60"/>
  <c r="H16" i="60"/>
  <c r="X16" i="60"/>
  <c r="F20" i="60"/>
  <c r="V23" i="60"/>
  <c r="R24" i="60"/>
  <c r="J27" i="60"/>
  <c r="J35" i="60"/>
  <c r="F36" i="60"/>
  <c r="R37" i="60"/>
  <c r="L16" i="61"/>
  <c r="R19" i="61"/>
  <c r="F22" i="61"/>
  <c r="V25" i="61"/>
  <c r="R26" i="61"/>
  <c r="V29" i="61"/>
  <c r="R30" i="61"/>
  <c r="F33" i="61"/>
  <c r="V33" i="61"/>
  <c r="R34" i="61"/>
  <c r="F38" i="61"/>
  <c r="R39" i="61"/>
  <c r="R42" i="61"/>
  <c r="L12" i="62"/>
  <c r="V15" i="62"/>
  <c r="R16" i="62"/>
  <c r="L18" i="62"/>
  <c r="R21" i="62"/>
  <c r="J23" i="62"/>
  <c r="F24" i="62"/>
  <c r="V27" i="62"/>
  <c r="R28" i="62"/>
  <c r="J31" i="62"/>
  <c r="J35" i="62"/>
  <c r="F36" i="62"/>
  <c r="V39" i="62"/>
  <c r="J43" i="62"/>
  <c r="F44" i="62"/>
  <c r="R45" i="62"/>
  <c r="F47" i="62"/>
  <c r="V47" i="62"/>
  <c r="R48" i="62"/>
  <c r="V51" i="62"/>
  <c r="R52" i="62"/>
  <c r="J53" i="62"/>
  <c r="F56" i="62"/>
  <c r="R57" i="62"/>
  <c r="F59" i="62"/>
  <c r="V59" i="62"/>
  <c r="R60" i="62"/>
  <c r="J61" i="62"/>
  <c r="F64" i="62"/>
  <c r="R65" i="62"/>
  <c r="F67" i="62"/>
  <c r="V67" i="62"/>
  <c r="R68" i="62"/>
  <c r="J69" i="62"/>
  <c r="V71" i="62"/>
  <c r="R72" i="62"/>
  <c r="V75" i="62"/>
  <c r="R76" i="62"/>
  <c r="V79" i="62"/>
  <c r="V83" i="62"/>
  <c r="R84" i="62"/>
  <c r="J90" i="62"/>
  <c r="V107" i="62"/>
  <c r="X19" i="64"/>
  <c r="Z19" i="64" s="1"/>
  <c r="L24" i="64"/>
  <c r="L27" i="64"/>
  <c r="N27" i="64" s="1"/>
  <c r="Z41" i="64"/>
  <c r="N56" i="64"/>
  <c r="L56" i="64"/>
  <c r="R49" i="65"/>
  <c r="R48" i="65"/>
  <c r="R44" i="65"/>
  <c r="R45" i="65"/>
  <c r="R43" i="65"/>
  <c r="R29" i="65"/>
  <c r="R53" i="65"/>
  <c r="R40" i="65"/>
  <c r="R37" i="65"/>
  <c r="R32" i="65"/>
  <c r="R25" i="65"/>
  <c r="R20" i="65"/>
  <c r="R52" i="65"/>
  <c r="R28" i="65"/>
  <c r="R19" i="65"/>
  <c r="R42" i="65"/>
  <c r="R39" i="65"/>
  <c r="R34" i="65"/>
  <c r="R31" i="65"/>
  <c r="R51" i="65"/>
  <c r="R50" i="65"/>
  <c r="R18" i="65"/>
  <c r="R59" i="65"/>
  <c r="R47" i="65"/>
  <c r="R46" i="65"/>
  <c r="R41" i="65"/>
  <c r="R36" i="65"/>
  <c r="R33" i="65"/>
  <c r="X16" i="65"/>
  <c r="F24" i="65"/>
  <c r="F51" i="65"/>
  <c r="L52" i="65"/>
  <c r="N52" i="65" s="1"/>
  <c r="N19" i="66"/>
  <c r="V41" i="66"/>
  <c r="V57" i="66"/>
  <c r="L61" i="66"/>
  <c r="N61" i="66" s="1"/>
  <c r="V62" i="66"/>
  <c r="N72" i="66"/>
  <c r="N80" i="66"/>
  <c r="N92" i="66"/>
  <c r="V121" i="66"/>
  <c r="Z41" i="67"/>
  <c r="N16" i="69"/>
  <c r="N28" i="69"/>
  <c r="X33" i="69"/>
  <c r="P12" i="66"/>
  <c r="V51" i="66"/>
  <c r="V67" i="66"/>
  <c r="X92" i="66"/>
  <c r="Z92" i="66" s="1"/>
  <c r="L94" i="66"/>
  <c r="N94" i="66" s="1"/>
  <c r="H114" i="66"/>
  <c r="N116" i="66"/>
  <c r="L14" i="67"/>
  <c r="X16" i="69"/>
  <c r="L20" i="69"/>
  <c r="N27" i="69"/>
  <c r="Z33" i="69"/>
  <c r="L40" i="69"/>
  <c r="V116" i="66"/>
  <c r="V102" i="66"/>
  <c r="V98" i="66"/>
  <c r="V94" i="66"/>
  <c r="V86" i="66"/>
  <c r="V105" i="66"/>
  <c r="V101" i="66"/>
  <c r="V97" i="66"/>
  <c r="V85" i="66"/>
  <c r="V73" i="66"/>
  <c r="V114" i="66"/>
  <c r="V108" i="66"/>
  <c r="V104" i="66"/>
  <c r="V100" i="66"/>
  <c r="V96" i="66"/>
  <c r="V88" i="66"/>
  <c r="V72" i="66"/>
  <c r="V68" i="66"/>
  <c r="V56" i="66"/>
  <c r="V48" i="66"/>
  <c r="V40" i="66"/>
  <c r="V117" i="66"/>
  <c r="V107" i="66"/>
  <c r="V103" i="66"/>
  <c r="V91" i="66"/>
  <c r="V87" i="66"/>
  <c r="V79" i="66"/>
  <c r="V110" i="66"/>
  <c r="V106" i="66"/>
  <c r="V90" i="66"/>
  <c r="V78" i="66"/>
  <c r="V66" i="66"/>
  <c r="V54" i="66"/>
  <c r="V46" i="66"/>
  <c r="V115" i="66"/>
  <c r="V109" i="66"/>
  <c r="V93" i="66"/>
  <c r="V89" i="66"/>
  <c r="V81" i="66"/>
  <c r="V77" i="66"/>
  <c r="V65" i="66"/>
  <c r="V61" i="66"/>
  <c r="V53" i="66"/>
  <c r="V45" i="66"/>
  <c r="V112" i="66"/>
  <c r="V92" i="66"/>
  <c r="V84" i="66"/>
  <c r="V80" i="66"/>
  <c r="V76" i="66"/>
  <c r="V64" i="66"/>
  <c r="T59" i="66"/>
  <c r="V59" i="66" s="1"/>
  <c r="V52" i="66"/>
  <c r="V44" i="66"/>
  <c r="Z16" i="66"/>
  <c r="Z20" i="66"/>
  <c r="Z24" i="66"/>
  <c r="Z32" i="66"/>
  <c r="Z36" i="66"/>
  <c r="V50" i="66"/>
  <c r="D12" i="67"/>
  <c r="D12" i="69"/>
  <c r="L13" i="69"/>
  <c r="N13" i="69" s="1"/>
  <c r="Z16" i="69"/>
  <c r="N20" i="69"/>
  <c r="N114" i="69"/>
  <c r="L114" i="69"/>
  <c r="T12" i="65"/>
  <c r="X12" i="65" s="1"/>
  <c r="V55" i="66"/>
  <c r="V71" i="66"/>
  <c r="Z80" i="66"/>
  <c r="Z116" i="66"/>
  <c r="H12" i="67"/>
  <c r="Z33" i="67"/>
  <c r="N19" i="69"/>
  <c r="N39" i="69"/>
  <c r="V49" i="66"/>
  <c r="V70" i="66"/>
  <c r="V75" i="66"/>
  <c r="T12" i="69"/>
  <c r="Z32" i="69"/>
  <c r="X32" i="69"/>
  <c r="L13" i="66"/>
  <c r="N13" i="66" s="1"/>
  <c r="L17" i="66"/>
  <c r="L21" i="66"/>
  <c r="L25" i="66"/>
  <c r="N25" i="66" s="1"/>
  <c r="L29" i="66"/>
  <c r="N29" i="66" s="1"/>
  <c r="L33" i="66"/>
  <c r="L37" i="66"/>
  <c r="N40" i="66"/>
  <c r="V43" i="66"/>
  <c r="X61" i="66"/>
  <c r="Z61" i="66" s="1"/>
  <c r="N62" i="66"/>
  <c r="Z72" i="66"/>
  <c r="V74" i="66"/>
  <c r="V83" i="66"/>
  <c r="V99" i="66"/>
  <c r="Z106" i="66"/>
  <c r="Z111" i="66"/>
  <c r="R44" i="67"/>
  <c r="R41" i="67"/>
  <c r="R36" i="67"/>
  <c r="R33" i="67"/>
  <c r="R28" i="67"/>
  <c r="R27" i="67"/>
  <c r="R52" i="67"/>
  <c r="R46" i="67"/>
  <c r="R43" i="67"/>
  <c r="R38" i="67"/>
  <c r="R35" i="67"/>
  <c r="R26" i="67"/>
  <c r="R21" i="67"/>
  <c r="R57" i="67"/>
  <c r="R50" i="67"/>
  <c r="R25" i="67"/>
  <c r="R23" i="67"/>
  <c r="P21" i="67"/>
  <c r="R45" i="67"/>
  <c r="R40" i="67"/>
  <c r="R37" i="67"/>
  <c r="R32" i="67"/>
  <c r="R31" i="67"/>
  <c r="R24" i="67"/>
  <c r="R19" i="67"/>
  <c r="R42" i="67"/>
  <c r="R39" i="67"/>
  <c r="R34" i="67"/>
  <c r="R30" i="67"/>
  <c r="Z23" i="67"/>
  <c r="Z35" i="67"/>
  <c r="Z39" i="67"/>
  <c r="X24" i="69"/>
  <c r="Z24" i="69" s="1"/>
  <c r="X34" i="69"/>
  <c r="Z34" i="69" s="1"/>
  <c r="N37" i="69"/>
  <c r="L85" i="69"/>
  <c r="N85" i="69" s="1"/>
  <c r="F105" i="71"/>
  <c r="F86" i="71"/>
  <c r="F83" i="71"/>
  <c r="F67" i="71"/>
  <c r="F63" i="71"/>
  <c r="F43" i="71"/>
  <c r="F99" i="71"/>
  <c r="F93" i="71"/>
  <c r="F77" i="71"/>
  <c r="F74" i="71"/>
  <c r="F66" i="71"/>
  <c r="F62" i="71"/>
  <c r="F88" i="71"/>
  <c r="F85" i="71"/>
  <c r="F80" i="71"/>
  <c r="F61" i="71"/>
  <c r="F100" i="71"/>
  <c r="F91" i="71"/>
  <c r="F87" i="71"/>
  <c r="F82" i="71"/>
  <c r="F79" i="71"/>
  <c r="F59" i="71"/>
  <c r="F94" i="71"/>
  <c r="F90" i="71"/>
  <c r="F78" i="71"/>
  <c r="F73" i="71"/>
  <c r="F70" i="71"/>
  <c r="F65" i="71"/>
  <c r="F58" i="71"/>
  <c r="F46" i="71"/>
  <c r="F38" i="71"/>
  <c r="F81" i="71"/>
  <c r="F60" i="71"/>
  <c r="F54" i="71"/>
  <c r="D52" i="71"/>
  <c r="F37" i="71"/>
  <c r="F101" i="71"/>
  <c r="F76" i="71"/>
  <c r="F69" i="71"/>
  <c r="F68" i="71"/>
  <c r="F64" i="71"/>
  <c r="F39" i="71"/>
  <c r="F92" i="71"/>
  <c r="F89" i="71"/>
  <c r="F75" i="71"/>
  <c r="F42" i="71"/>
  <c r="F41" i="71"/>
  <c r="F40" i="71"/>
  <c r="F36" i="71"/>
  <c r="F95" i="71"/>
  <c r="F84" i="71"/>
  <c r="F55" i="71"/>
  <c r="F45" i="71"/>
  <c r="F44" i="71"/>
  <c r="L12" i="71"/>
  <c r="F96" i="71"/>
  <c r="F71" i="71"/>
  <c r="F56" i="71"/>
  <c r="F50" i="71"/>
  <c r="F49" i="71"/>
  <c r="F47" i="71"/>
  <c r="F98" i="71"/>
  <c r="F48" i="71"/>
  <c r="F72" i="71"/>
  <c r="F57" i="71"/>
  <c r="L85" i="66"/>
  <c r="N13" i="67"/>
  <c r="Z15" i="69"/>
  <c r="L102" i="69"/>
  <c r="N102" i="69" s="1"/>
  <c r="X104" i="69"/>
  <c r="L119" i="69"/>
  <c r="X144" i="69"/>
  <c r="Z144" i="69" s="1"/>
  <c r="X146" i="69"/>
  <c r="Z146" i="69" s="1"/>
  <c r="Z13" i="70"/>
  <c r="X13" i="70"/>
  <c r="T12" i="70"/>
  <c r="X12" i="70" s="1"/>
  <c r="N75" i="70"/>
  <c r="X19" i="74"/>
  <c r="Z19" i="74" s="1"/>
  <c r="P114" i="66"/>
  <c r="X114" i="66" s="1"/>
  <c r="Z114" i="66" s="1"/>
  <c r="T12" i="67"/>
  <c r="L54" i="69"/>
  <c r="L95" i="69"/>
  <c r="N95" i="69" s="1"/>
  <c r="X116" i="69"/>
  <c r="L130" i="69"/>
  <c r="N130" i="69" s="1"/>
  <c r="L17" i="70"/>
  <c r="N17" i="70" s="1"/>
  <c r="X18" i="70"/>
  <c r="X32" i="70"/>
  <c r="N53" i="70"/>
  <c r="V37" i="74"/>
  <c r="V29" i="74"/>
  <c r="V21" i="74"/>
  <c r="V39" i="74"/>
  <c r="V31" i="74"/>
  <c r="V15" i="74"/>
  <c r="V34" i="74"/>
  <c r="V30" i="74"/>
  <c r="V33" i="74"/>
  <c r="V36" i="74"/>
  <c r="V51" i="74"/>
  <c r="V42" i="74"/>
  <c r="V20" i="74"/>
  <c r="V38" i="74"/>
  <c r="V25" i="74"/>
  <c r="V24" i="74"/>
  <c r="V23" i="74"/>
  <c r="V22" i="74"/>
  <c r="V40" i="74"/>
  <c r="V32" i="74"/>
  <c r="V28" i="74"/>
  <c r="V44" i="74"/>
  <c r="V17" i="74"/>
  <c r="V14" i="74"/>
  <c r="T17" i="74"/>
  <c r="Z12" i="74"/>
  <c r="V48" i="74"/>
  <c r="V46" i="74"/>
  <c r="V26" i="74"/>
  <c r="V19" i="74"/>
  <c r="X12" i="74"/>
  <c r="V27" i="74"/>
  <c r="V35" i="74"/>
  <c r="P12" i="69"/>
  <c r="Z37" i="69"/>
  <c r="L50" i="69"/>
  <c r="L86" i="69"/>
  <c r="N86" i="69" s="1"/>
  <c r="Z116" i="69"/>
  <c r="Z136" i="69"/>
  <c r="D143" i="69"/>
  <c r="L143" i="69" s="1"/>
  <c r="L14" i="70"/>
  <c r="N14" i="70" s="1"/>
  <c r="L22" i="70"/>
  <c r="Z25" i="70"/>
  <c r="Z75" i="70"/>
  <c r="L81" i="70"/>
  <c r="Z15" i="71"/>
  <c r="N49" i="69"/>
  <c r="N138" i="69"/>
  <c r="L138" i="69"/>
  <c r="N22" i="70"/>
  <c r="Z32" i="70"/>
  <c r="N81" i="70"/>
  <c r="H80" i="70"/>
  <c r="R98" i="71"/>
  <c r="R91" i="71"/>
  <c r="R87" i="71"/>
  <c r="R84" i="71"/>
  <c r="R79" i="71"/>
  <c r="R59" i="71"/>
  <c r="R47" i="71"/>
  <c r="R39" i="71"/>
  <c r="R101" i="71"/>
  <c r="R94" i="71"/>
  <c r="R90" i="71"/>
  <c r="R78" i="71"/>
  <c r="R75" i="71"/>
  <c r="R70" i="71"/>
  <c r="R58" i="71"/>
  <c r="R89" i="71"/>
  <c r="R86" i="71"/>
  <c r="R81" i="71"/>
  <c r="R69" i="71"/>
  <c r="R57" i="71"/>
  <c r="R99" i="71"/>
  <c r="R105" i="71"/>
  <c r="R88" i="71"/>
  <c r="R83" i="71"/>
  <c r="R80" i="71"/>
  <c r="R67" i="71"/>
  <c r="R63" i="71"/>
  <c r="R95" i="71"/>
  <c r="R74" i="71"/>
  <c r="R71" i="71"/>
  <c r="R66" i="71"/>
  <c r="R62" i="71"/>
  <c r="R55" i="71"/>
  <c r="R50" i="71"/>
  <c r="R42" i="71"/>
  <c r="R92" i="71"/>
  <c r="R40" i="71"/>
  <c r="R44" i="71"/>
  <c r="R96" i="71"/>
  <c r="R56" i="71"/>
  <c r="R49" i="71"/>
  <c r="R46" i="71"/>
  <c r="R45" i="71"/>
  <c r="R43" i="71"/>
  <c r="R85" i="71"/>
  <c r="R72" i="71"/>
  <c r="R48" i="71"/>
  <c r="R73" i="71"/>
  <c r="R54" i="71"/>
  <c r="R77" i="71"/>
  <c r="P52" i="71"/>
  <c r="R93" i="71"/>
  <c r="R68" i="71"/>
  <c r="R64" i="71"/>
  <c r="R60" i="71"/>
  <c r="R38" i="71"/>
  <c r="R37" i="71"/>
  <c r="R36" i="71"/>
  <c r="R61" i="71"/>
  <c r="R100" i="71"/>
  <c r="X40" i="69"/>
  <c r="L49" i="69"/>
  <c r="Z124" i="69"/>
  <c r="H143" i="69"/>
  <c r="L144" i="69"/>
  <c r="N144" i="69" s="1"/>
  <c r="D12" i="70"/>
  <c r="X17" i="70"/>
  <c r="Z17" i="70" s="1"/>
  <c r="N49" i="70"/>
  <c r="L51" i="70"/>
  <c r="Z14" i="71"/>
  <c r="N18" i="71"/>
  <c r="R76" i="71"/>
  <c r="V25" i="73"/>
  <c r="X46" i="69"/>
  <c r="Z46" i="69" s="1"/>
  <c r="X51" i="69"/>
  <c r="Z51" i="69" s="1"/>
  <c r="Z56" i="69"/>
  <c r="X56" i="69"/>
  <c r="X140" i="69"/>
  <c r="X143" i="69"/>
  <c r="Z143" i="69" s="1"/>
  <c r="H12" i="70"/>
  <c r="N13" i="70"/>
  <c r="N21" i="70"/>
  <c r="L32" i="70"/>
  <c r="N32" i="70" s="1"/>
  <c r="X49" i="70"/>
  <c r="Z81" i="70"/>
  <c r="T12" i="71"/>
  <c r="R65" i="71"/>
  <c r="R82" i="71"/>
  <c r="Z45" i="69"/>
  <c r="Z53" i="69"/>
  <c r="Z140" i="69"/>
  <c r="Z49" i="70"/>
  <c r="X23" i="71"/>
  <c r="Z23" i="71" s="1"/>
  <c r="N54" i="71"/>
  <c r="Z145" i="69"/>
  <c r="D80" i="70"/>
  <c r="L80" i="70" s="1"/>
  <c r="T80" i="70"/>
  <c r="X80" i="70" s="1"/>
  <c r="H12" i="71"/>
  <c r="Z30" i="71"/>
  <c r="L86" i="71"/>
  <c r="N86" i="71" s="1"/>
  <c r="X88" i="71"/>
  <c r="Z88" i="71" s="1"/>
  <c r="X18" i="73"/>
  <c r="Z18" i="73" s="1"/>
  <c r="J43" i="73"/>
  <c r="F46" i="73"/>
  <c r="J51" i="73"/>
  <c r="J57" i="73"/>
  <c r="Z58" i="73"/>
  <c r="X58" i="73"/>
  <c r="L145" i="69"/>
  <c r="N145" i="69" s="1"/>
  <c r="Z33" i="71"/>
  <c r="V73" i="73"/>
  <c r="V72" i="73"/>
  <c r="V52" i="73"/>
  <c r="V44" i="73"/>
  <c r="V40" i="73"/>
  <c r="V28" i="73"/>
  <c r="T23" i="73"/>
  <c r="V67" i="73"/>
  <c r="V55" i="73"/>
  <c r="V51" i="73"/>
  <c r="V43" i="73"/>
  <c r="V39" i="73"/>
  <c r="V35" i="73"/>
  <c r="V27" i="73"/>
  <c r="V79" i="73"/>
  <c r="V66" i="73"/>
  <c r="V54" i="73"/>
  <c r="V46" i="73"/>
  <c r="V38" i="73"/>
  <c r="V34" i="73"/>
  <c r="V26" i="73"/>
  <c r="V69" i="73"/>
  <c r="V65" i="73"/>
  <c r="V61" i="73"/>
  <c r="V57" i="73"/>
  <c r="V53" i="73"/>
  <c r="V45" i="73"/>
  <c r="V37" i="73"/>
  <c r="V33" i="73"/>
  <c r="V21" i="73"/>
  <c r="V75" i="73"/>
  <c r="V68" i="73"/>
  <c r="V64" i="73"/>
  <c r="V60" i="73"/>
  <c r="V56" i="73"/>
  <c r="V48" i="73"/>
  <c r="V36" i="73"/>
  <c r="V32" i="73"/>
  <c r="V20" i="73"/>
  <c r="Z12" i="73"/>
  <c r="V71" i="73"/>
  <c r="V63" i="73"/>
  <c r="V59" i="73"/>
  <c r="V47" i="73"/>
  <c r="V31" i="73"/>
  <c r="V19" i="73"/>
  <c r="V70" i="73"/>
  <c r="V62" i="73"/>
  <c r="V58" i="73"/>
  <c r="V50" i="73"/>
  <c r="V42" i="73"/>
  <c r="V30" i="73"/>
  <c r="V18" i="73"/>
  <c r="J77" i="73"/>
  <c r="R70" i="73"/>
  <c r="R62" i="73"/>
  <c r="R58" i="73"/>
  <c r="R41" i="73"/>
  <c r="R29" i="73"/>
  <c r="R18" i="73"/>
  <c r="R73" i="73"/>
  <c r="R52" i="73"/>
  <c r="R49" i="73"/>
  <c r="R44" i="73"/>
  <c r="R40" i="73"/>
  <c r="R28" i="73"/>
  <c r="R72" i="73"/>
  <c r="R67" i="73"/>
  <c r="R55" i="73"/>
  <c r="R39" i="73"/>
  <c r="R35" i="73"/>
  <c r="R27" i="73"/>
  <c r="R25" i="73"/>
  <c r="P23" i="73"/>
  <c r="R79" i="73"/>
  <c r="R66" i="73"/>
  <c r="R54" i="73"/>
  <c r="R51" i="73"/>
  <c r="R46" i="73"/>
  <c r="R43" i="73"/>
  <c r="R38" i="73"/>
  <c r="R34" i="73"/>
  <c r="R69" i="73"/>
  <c r="R65" i="73"/>
  <c r="R61" i="73"/>
  <c r="R57" i="73"/>
  <c r="R37" i="73"/>
  <c r="R33" i="73"/>
  <c r="R26" i="73"/>
  <c r="R21" i="73"/>
  <c r="R64" i="73"/>
  <c r="R60" i="73"/>
  <c r="R53" i="73"/>
  <c r="R48" i="73"/>
  <c r="R45" i="73"/>
  <c r="R32" i="73"/>
  <c r="R20" i="73"/>
  <c r="X12" i="73"/>
  <c r="R75" i="73"/>
  <c r="R71" i="73"/>
  <c r="R68" i="73"/>
  <c r="R63" i="73"/>
  <c r="R59" i="73"/>
  <c r="R56" i="73"/>
  <c r="R36" i="73"/>
  <c r="R31" i="73"/>
  <c r="R19" i="73"/>
  <c r="R30" i="73"/>
  <c r="R42" i="73"/>
  <c r="R50" i="73"/>
  <c r="J61" i="73"/>
  <c r="X21" i="70"/>
  <c r="Z21" i="70" s="1"/>
  <c r="L25" i="70"/>
  <c r="X36" i="71"/>
  <c r="Z36" i="71" s="1"/>
  <c r="F72" i="73"/>
  <c r="F69" i="73"/>
  <c r="F65" i="73"/>
  <c r="F61" i="73"/>
  <c r="F57" i="73"/>
  <c r="F37" i="73"/>
  <c r="F33" i="73"/>
  <c r="D23" i="73"/>
  <c r="F21" i="73"/>
  <c r="F64" i="73"/>
  <c r="F60" i="73"/>
  <c r="F51" i="73"/>
  <c r="F48" i="73"/>
  <c r="F43" i="73"/>
  <c r="F32" i="73"/>
  <c r="F20" i="73"/>
  <c r="L12" i="73"/>
  <c r="F71" i="73"/>
  <c r="F63" i="73"/>
  <c r="F59" i="73"/>
  <c r="F31" i="73"/>
  <c r="F26" i="73"/>
  <c r="F25" i="73"/>
  <c r="F19" i="73"/>
  <c r="F53" i="73"/>
  <c r="F50" i="73"/>
  <c r="F45" i="73"/>
  <c r="F42" i="73"/>
  <c r="F30" i="73"/>
  <c r="F75" i="73"/>
  <c r="F68" i="73"/>
  <c r="F56" i="73"/>
  <c r="F41" i="73"/>
  <c r="F36" i="73"/>
  <c r="F29" i="73"/>
  <c r="F73" i="73"/>
  <c r="F52" i="73"/>
  <c r="F47" i="73"/>
  <c r="F44" i="73"/>
  <c r="F40" i="73"/>
  <c r="F28" i="73"/>
  <c r="F70" i="73"/>
  <c r="F67" i="73"/>
  <c r="F62" i="73"/>
  <c r="F58" i="73"/>
  <c r="F55" i="73"/>
  <c r="F39" i="73"/>
  <c r="F35" i="73"/>
  <c r="F27" i="73"/>
  <c r="F18" i="73"/>
  <c r="J21" i="73"/>
  <c r="N25" i="73"/>
  <c r="Z36" i="73"/>
  <c r="Z62" i="73"/>
  <c r="X62" i="73"/>
  <c r="X14" i="74"/>
  <c r="P17" i="74"/>
  <c r="N56" i="76"/>
  <c r="L58" i="70"/>
  <c r="X68" i="70"/>
  <c r="Z68" i="70" s="1"/>
  <c r="L30" i="71"/>
  <c r="N65" i="71"/>
  <c r="Z71" i="71"/>
  <c r="Z73" i="71"/>
  <c r="Z80" i="71"/>
  <c r="X80" i="71"/>
  <c r="J25" i="73"/>
  <c r="V29" i="73"/>
  <c r="F34" i="73"/>
  <c r="V41" i="73"/>
  <c r="F66" i="73"/>
  <c r="J69" i="73"/>
  <c r="Z70" i="73"/>
  <c r="X70" i="73"/>
  <c r="L72" i="73"/>
  <c r="N72" i="73" s="1"/>
  <c r="Z37" i="74"/>
  <c r="N29" i="71"/>
  <c r="L82" i="71"/>
  <c r="N82" i="71" s="1"/>
  <c r="X84" i="71"/>
  <c r="Z84" i="71" s="1"/>
  <c r="N101" i="71"/>
  <c r="L101" i="71"/>
  <c r="X25" i="73"/>
  <c r="Z25" i="73" s="1"/>
  <c r="Z49" i="73"/>
  <c r="Z14" i="74"/>
  <c r="J64" i="73"/>
  <c r="J60" i="73"/>
  <c r="J48" i="73"/>
  <c r="J32" i="73"/>
  <c r="J26" i="73"/>
  <c r="J20" i="73"/>
  <c r="N12" i="73"/>
  <c r="J71" i="73"/>
  <c r="J63" i="73"/>
  <c r="J59" i="73"/>
  <c r="J53" i="73"/>
  <c r="J45" i="73"/>
  <c r="J31" i="73"/>
  <c r="J19" i="73"/>
  <c r="J75" i="73"/>
  <c r="J68" i="73"/>
  <c r="J56" i="73"/>
  <c r="J50" i="73"/>
  <c r="J42" i="73"/>
  <c r="J36" i="73"/>
  <c r="J30" i="73"/>
  <c r="J47" i="73"/>
  <c r="J41" i="73"/>
  <c r="J29" i="73"/>
  <c r="J84" i="73"/>
  <c r="J81" i="73"/>
  <c r="J73" i="73"/>
  <c r="J70" i="73"/>
  <c r="J62" i="73"/>
  <c r="J58" i="73"/>
  <c r="J52" i="73"/>
  <c r="J44" i="73"/>
  <c r="J40" i="73"/>
  <c r="J28" i="73"/>
  <c r="J18" i="73"/>
  <c r="J67" i="73"/>
  <c r="J55" i="73"/>
  <c r="J49" i="73"/>
  <c r="J39" i="73"/>
  <c r="J35" i="73"/>
  <c r="J27" i="73"/>
  <c r="J23" i="73"/>
  <c r="J79" i="73"/>
  <c r="J72" i="73"/>
  <c r="J66" i="73"/>
  <c r="J54" i="73"/>
  <c r="J46" i="73"/>
  <c r="J38" i="73"/>
  <c r="J34" i="73"/>
  <c r="H23" i="73"/>
  <c r="J65" i="73"/>
  <c r="D29" i="75"/>
  <c r="H98" i="71"/>
  <c r="L98" i="71" s="1"/>
  <c r="N14" i="73"/>
  <c r="L15" i="73"/>
  <c r="L43" i="73"/>
  <c r="X49" i="73"/>
  <c r="L51" i="73"/>
  <c r="F21" i="74"/>
  <c r="F22" i="74"/>
  <c r="F23" i="74"/>
  <c r="J24" i="74"/>
  <c r="F25" i="74"/>
  <c r="F26" i="74"/>
  <c r="F40" i="74"/>
  <c r="X14" i="75"/>
  <c r="Z15" i="75"/>
  <c r="L27" i="75"/>
  <c r="X12" i="76"/>
  <c r="Z22" i="76"/>
  <c r="J29" i="76"/>
  <c r="R32" i="76"/>
  <c r="R39" i="76"/>
  <c r="L40" i="76"/>
  <c r="L49" i="76"/>
  <c r="N49" i="76" s="1"/>
  <c r="T12" i="77"/>
  <c r="Z16" i="77"/>
  <c r="J40" i="74"/>
  <c r="P12" i="75"/>
  <c r="Z14" i="75"/>
  <c r="H23" i="75"/>
  <c r="Z32" i="76"/>
  <c r="J35" i="76"/>
  <c r="Z42" i="76"/>
  <c r="J49" i="76"/>
  <c r="J51" i="76"/>
  <c r="J53" i="76"/>
  <c r="J54" i="76"/>
  <c r="J59" i="76"/>
  <c r="J61" i="76"/>
  <c r="J62" i="76"/>
  <c r="J67" i="76"/>
  <c r="N68" i="76"/>
  <c r="J71" i="76"/>
  <c r="N72" i="76"/>
  <c r="J81" i="76"/>
  <c r="J100" i="77"/>
  <c r="J92" i="77"/>
  <c r="J88" i="77"/>
  <c r="J84" i="77"/>
  <c r="J76" i="77"/>
  <c r="J102" i="77"/>
  <c r="J98" i="77"/>
  <c r="J94" i="77"/>
  <c r="J90" i="77"/>
  <c r="J97" i="77"/>
  <c r="J101" i="77"/>
  <c r="J93" i="77"/>
  <c r="J89" i="77"/>
  <c r="J85" i="77"/>
  <c r="J77" i="77"/>
  <c r="J106" i="77"/>
  <c r="J78" i="77"/>
  <c r="J66" i="77"/>
  <c r="J60" i="77"/>
  <c r="J54" i="77"/>
  <c r="J42" i="77"/>
  <c r="J108" i="77"/>
  <c r="J83" i="77"/>
  <c r="J72" i="77"/>
  <c r="J71" i="77"/>
  <c r="J65" i="77"/>
  <c r="J53" i="77"/>
  <c r="J41" i="77"/>
  <c r="J96" i="77"/>
  <c r="J95" i="77"/>
  <c r="J68" i="77"/>
  <c r="J64" i="77"/>
  <c r="J52" i="77"/>
  <c r="J40" i="77"/>
  <c r="J82" i="77"/>
  <c r="J63" i="77"/>
  <c r="J59" i="77"/>
  <c r="H48" i="77"/>
  <c r="J39" i="77"/>
  <c r="J87" i="77"/>
  <c r="J81" i="77"/>
  <c r="J75" i="77"/>
  <c r="J70" i="77"/>
  <c r="J62" i="77"/>
  <c r="J58" i="77"/>
  <c r="J50" i="77"/>
  <c r="J46" i="77"/>
  <c r="J112" i="77"/>
  <c r="J86" i="77"/>
  <c r="J67" i="77"/>
  <c r="J61" i="77"/>
  <c r="J57" i="77"/>
  <c r="J51" i="77"/>
  <c r="J45" i="77"/>
  <c r="J103" i="77"/>
  <c r="J99" i="77"/>
  <c r="J80" i="77"/>
  <c r="J79" i="77"/>
  <c r="J74" i="77"/>
  <c r="J56" i="77"/>
  <c r="J44" i="77"/>
  <c r="J38" i="77"/>
  <c r="J105" i="77"/>
  <c r="J104" i="77"/>
  <c r="J91" i="77"/>
  <c r="J73" i="77"/>
  <c r="J69" i="77"/>
  <c r="J55" i="77"/>
  <c r="J43" i="77"/>
  <c r="T36" i="80"/>
  <c r="X32" i="74"/>
  <c r="Z32" i="74" s="1"/>
  <c r="V27" i="75"/>
  <c r="V23" i="75"/>
  <c r="V31" i="75"/>
  <c r="V25" i="75"/>
  <c r="V21" i="75"/>
  <c r="R72" i="76"/>
  <c r="R67" i="76"/>
  <c r="R69" i="76"/>
  <c r="R65" i="76"/>
  <c r="R41" i="76"/>
  <c r="R38" i="76"/>
  <c r="R25" i="76"/>
  <c r="R20" i="76"/>
  <c r="R71" i="76"/>
  <c r="R68" i="76"/>
  <c r="R63" i="76"/>
  <c r="R59" i="76"/>
  <c r="R55" i="76"/>
  <c r="R43" i="76"/>
  <c r="R40" i="76"/>
  <c r="R35" i="76"/>
  <c r="R31" i="76"/>
  <c r="R62" i="76"/>
  <c r="R58" i="76"/>
  <c r="R54" i="76"/>
  <c r="R51" i="76"/>
  <c r="R46" i="76"/>
  <c r="R34" i="76"/>
  <c r="R30" i="76"/>
  <c r="R23" i="76"/>
  <c r="R18" i="76"/>
  <c r="R79" i="76"/>
  <c r="R73" i="76"/>
  <c r="R70" i="76"/>
  <c r="R57" i="76"/>
  <c r="R42" i="76"/>
  <c r="R37" i="76"/>
  <c r="R33" i="76"/>
  <c r="R29" i="76"/>
  <c r="R17" i="76"/>
  <c r="R16" i="76"/>
  <c r="H77" i="76"/>
  <c r="R24" i="76"/>
  <c r="J27" i="76"/>
  <c r="J34" i="76"/>
  <c r="R50" i="76"/>
  <c r="R56" i="76"/>
  <c r="J77" i="76"/>
  <c r="X14" i="73"/>
  <c r="Z14" i="73" s="1"/>
  <c r="X75" i="73"/>
  <c r="F37" i="74"/>
  <c r="F34" i="74"/>
  <c r="F39" i="74"/>
  <c r="F36" i="74"/>
  <c r="F24" i="74"/>
  <c r="L12" i="74"/>
  <c r="F30" i="74"/>
  <c r="F27" i="74"/>
  <c r="F38" i="74"/>
  <c r="F14" i="74"/>
  <c r="D17" i="74"/>
  <c r="L26" i="74"/>
  <c r="F28" i="74"/>
  <c r="J34" i="74"/>
  <c r="F35" i="74"/>
  <c r="X13" i="75"/>
  <c r="F27" i="75"/>
  <c r="F23" i="75"/>
  <c r="F20" i="75"/>
  <c r="L12" i="75"/>
  <c r="N12" i="75" s="1"/>
  <c r="F19" i="75"/>
  <c r="F29" i="75"/>
  <c r="F25" i="75"/>
  <c r="L18" i="75"/>
  <c r="N18" i="75" s="1"/>
  <c r="J20" i="75"/>
  <c r="F21" i="75"/>
  <c r="X27" i="75"/>
  <c r="Z16" i="76"/>
  <c r="P20" i="76"/>
  <c r="J22" i="76"/>
  <c r="J33" i="76"/>
  <c r="X40" i="76"/>
  <c r="J45" i="76"/>
  <c r="J46" i="76"/>
  <c r="R48" i="76"/>
  <c r="R49" i="76"/>
  <c r="V50" i="76"/>
  <c r="R52" i="76"/>
  <c r="Z56" i="76"/>
  <c r="R60" i="76"/>
  <c r="X72" i="76"/>
  <c r="D12" i="77"/>
  <c r="L13" i="77"/>
  <c r="Z67" i="77"/>
  <c r="N69" i="77"/>
  <c r="P98" i="71"/>
  <c r="X98" i="71" s="1"/>
  <c r="Z98" i="71" s="1"/>
  <c r="L100" i="71"/>
  <c r="J39" i="74"/>
  <c r="J33" i="74"/>
  <c r="J25" i="74"/>
  <c r="J27" i="74"/>
  <c r="J23" i="74"/>
  <c r="J48" i="74"/>
  <c r="J42" i="74"/>
  <c r="J38" i="74"/>
  <c r="J32" i="74"/>
  <c r="J35" i="74"/>
  <c r="J29" i="74"/>
  <c r="F17" i="74"/>
  <c r="Z42" i="74"/>
  <c r="X42" i="74"/>
  <c r="F46" i="74"/>
  <c r="F48" i="74"/>
  <c r="T23" i="75"/>
  <c r="X14" i="76"/>
  <c r="J18" i="76"/>
  <c r="T77" i="76"/>
  <c r="L22" i="76"/>
  <c r="N22" i="76" s="1"/>
  <c r="R36" i="76"/>
  <c r="R47" i="76"/>
  <c r="R53" i="76"/>
  <c r="J58" i="76"/>
  <c r="V59" i="76"/>
  <c r="R61" i="76"/>
  <c r="V67" i="76"/>
  <c r="Z68" i="76"/>
  <c r="X68" i="76"/>
  <c r="N70" i="76"/>
  <c r="L70" i="76"/>
  <c r="Z72" i="76"/>
  <c r="J75" i="76"/>
  <c r="J84" i="76"/>
  <c r="N13" i="77"/>
  <c r="Z33" i="77"/>
  <c r="Z96" i="77"/>
  <c r="Z72" i="73"/>
  <c r="N12" i="74"/>
  <c r="J14" i="74"/>
  <c r="F15" i="74"/>
  <c r="H17" i="74"/>
  <c r="F20" i="74"/>
  <c r="J28" i="74"/>
  <c r="F31" i="74"/>
  <c r="F32" i="74"/>
  <c r="F33" i="74"/>
  <c r="Z39" i="74"/>
  <c r="J46" i="74"/>
  <c r="L14" i="75"/>
  <c r="N14" i="75" s="1"/>
  <c r="L15" i="75"/>
  <c r="N15" i="75" s="1"/>
  <c r="D12" i="76"/>
  <c r="V66" i="76"/>
  <c r="V81" i="76"/>
  <c r="V75" i="76"/>
  <c r="V69" i="76"/>
  <c r="V68" i="76"/>
  <c r="V64" i="76"/>
  <c r="V60" i="76"/>
  <c r="V52" i="76"/>
  <c r="V44" i="76"/>
  <c r="V40" i="76"/>
  <c r="V24" i="76"/>
  <c r="Z12" i="76"/>
  <c r="V70" i="76"/>
  <c r="V62" i="76"/>
  <c r="V58" i="76"/>
  <c r="V54" i="76"/>
  <c r="V46" i="76"/>
  <c r="V42" i="76"/>
  <c r="V34" i="76"/>
  <c r="V30" i="76"/>
  <c r="V18" i="76"/>
  <c r="V84" i="76"/>
  <c r="V79" i="76"/>
  <c r="V77" i="76"/>
  <c r="V73" i="76"/>
  <c r="V61" i="76"/>
  <c r="V57" i="76"/>
  <c r="V53" i="76"/>
  <c r="V45" i="76"/>
  <c r="V37" i="76"/>
  <c r="V33" i="76"/>
  <c r="V29" i="76"/>
  <c r="V17" i="76"/>
  <c r="V72" i="76"/>
  <c r="V56" i="76"/>
  <c r="V48" i="76"/>
  <c r="V36" i="76"/>
  <c r="V32" i="76"/>
  <c r="V28" i="76"/>
  <c r="V16" i="76"/>
  <c r="J17" i="76"/>
  <c r="V20" i="76"/>
  <c r="R27" i="76"/>
  <c r="R28" i="76"/>
  <c r="J31" i="76"/>
  <c r="L38" i="76"/>
  <c r="J39" i="76"/>
  <c r="J43" i="76"/>
  <c r="R44" i="76"/>
  <c r="X47" i="76"/>
  <c r="Z47" i="76" s="1"/>
  <c r="V49" i="76"/>
  <c r="R66" i="76"/>
  <c r="Z17" i="77"/>
  <c r="N20" i="77"/>
  <c r="N24" i="77"/>
  <c r="Z25" i="77"/>
  <c r="Z69" i="77"/>
  <c r="Z35" i="74"/>
  <c r="J31" i="75"/>
  <c r="J21" i="75"/>
  <c r="J25" i="75"/>
  <c r="J19" i="75"/>
  <c r="J68" i="76"/>
  <c r="J79" i="76"/>
  <c r="J73" i="76"/>
  <c r="J70" i="76"/>
  <c r="J48" i="76"/>
  <c r="J42" i="76"/>
  <c r="J28" i="76"/>
  <c r="J72" i="76"/>
  <c r="J66" i="76"/>
  <c r="J56" i="76"/>
  <c r="J50" i="76"/>
  <c r="J36" i="76"/>
  <c r="J32" i="76"/>
  <c r="J26" i="76"/>
  <c r="J16" i="76"/>
  <c r="J69" i="76"/>
  <c r="J65" i="76"/>
  <c r="J47" i="76"/>
  <c r="J41" i="76"/>
  <c r="J25" i="76"/>
  <c r="J64" i="76"/>
  <c r="J60" i="76"/>
  <c r="J52" i="76"/>
  <c r="J44" i="76"/>
  <c r="J38" i="76"/>
  <c r="J24" i="76"/>
  <c r="J20" i="76"/>
  <c r="N12" i="76"/>
  <c r="R26" i="76"/>
  <c r="R45" i="76"/>
  <c r="R75" i="76"/>
  <c r="N19" i="77"/>
  <c r="X24" i="77"/>
  <c r="Z24" i="77" s="1"/>
  <c r="R39" i="74"/>
  <c r="L75" i="76"/>
  <c r="X38" i="77"/>
  <c r="Z38" i="77" s="1"/>
  <c r="L60" i="77"/>
  <c r="N60" i="77" s="1"/>
  <c r="N79" i="77"/>
  <c r="L13" i="78"/>
  <c r="D12" i="78"/>
  <c r="X28" i="78"/>
  <c r="V74" i="79"/>
  <c r="V70" i="79"/>
  <c r="V50" i="79"/>
  <c r="V42" i="79"/>
  <c r="V26" i="79"/>
  <c r="V77" i="79"/>
  <c r="V69" i="79"/>
  <c r="V61" i="79"/>
  <c r="V53" i="79"/>
  <c r="V45" i="79"/>
  <c r="V41" i="79"/>
  <c r="V25" i="79"/>
  <c r="V88" i="79"/>
  <c r="V82" i="79"/>
  <c r="V76" i="79"/>
  <c r="V68" i="79"/>
  <c r="V60" i="79"/>
  <c r="V56" i="79"/>
  <c r="V52" i="79"/>
  <c r="V44" i="79"/>
  <c r="V36" i="79"/>
  <c r="V24" i="79"/>
  <c r="Z12" i="79"/>
  <c r="V79" i="79"/>
  <c r="V67" i="79"/>
  <c r="V63" i="79"/>
  <c r="V59" i="79"/>
  <c r="V55" i="79"/>
  <c r="V47" i="79"/>
  <c r="V43" i="79"/>
  <c r="V35" i="79"/>
  <c r="V31" i="79"/>
  <c r="V23" i="79"/>
  <c r="V78" i="79"/>
  <c r="V66" i="79"/>
  <c r="V62" i="79"/>
  <c r="V58" i="79"/>
  <c r="V54" i="79"/>
  <c r="V46" i="79"/>
  <c r="V38" i="79"/>
  <c r="V34" i="79"/>
  <c r="V30" i="79"/>
  <c r="V91" i="79"/>
  <c r="V86" i="79"/>
  <c r="V84" i="79"/>
  <c r="V72" i="79"/>
  <c r="V64" i="79"/>
  <c r="V48" i="79"/>
  <c r="V40" i="79"/>
  <c r="V32" i="79"/>
  <c r="V28" i="79"/>
  <c r="V16" i="79"/>
  <c r="V81" i="79"/>
  <c r="V75" i="79"/>
  <c r="V39" i="79"/>
  <c r="V20" i="79"/>
  <c r="V71" i="79"/>
  <c r="V49" i="79"/>
  <c r="T20" i="79"/>
  <c r="V18" i="79"/>
  <c r="V17" i="79"/>
  <c r="V57" i="79"/>
  <c r="V51" i="79"/>
  <c r="V33" i="79"/>
  <c r="V29" i="79"/>
  <c r="V73" i="79"/>
  <c r="V65" i="79"/>
  <c r="R44" i="74"/>
  <c r="R51" i="74"/>
  <c r="X75" i="77"/>
  <c r="Z75" i="77" s="1"/>
  <c r="L85" i="77"/>
  <c r="X96" i="77"/>
  <c r="L101" i="77"/>
  <c r="N101" i="77" s="1"/>
  <c r="Z22" i="79"/>
  <c r="R23" i="79"/>
  <c r="N14" i="80"/>
  <c r="L14" i="80"/>
  <c r="R37" i="74"/>
  <c r="R40" i="74"/>
  <c r="R46" i="74"/>
  <c r="P12" i="77"/>
  <c r="Z77" i="77"/>
  <c r="L89" i="77"/>
  <c r="N89" i="77" s="1"/>
  <c r="X105" i="77"/>
  <c r="Z105" i="77" s="1"/>
  <c r="P12" i="78"/>
  <c r="X14" i="78"/>
  <c r="Z14" i="78" s="1"/>
  <c r="X22" i="78"/>
  <c r="V22" i="79"/>
  <c r="R58" i="79"/>
  <c r="R17" i="74"/>
  <c r="R22" i="74"/>
  <c r="R35" i="74"/>
  <c r="X83" i="77"/>
  <c r="Z83" i="77" s="1"/>
  <c r="Z101" i="77"/>
  <c r="J32" i="78"/>
  <c r="J26" i="78"/>
  <c r="J16" i="78"/>
  <c r="J24" i="78"/>
  <c r="H20" i="78"/>
  <c r="J28" i="78"/>
  <c r="J23" i="78"/>
  <c r="J17" i="78"/>
  <c r="T12" i="78"/>
  <c r="Z13" i="78"/>
  <c r="J18" i="78"/>
  <c r="L22" i="78"/>
  <c r="N22" i="78" s="1"/>
  <c r="L23" i="78"/>
  <c r="N23" i="78" s="1"/>
  <c r="Z48" i="79"/>
  <c r="X48" i="79"/>
  <c r="N71" i="77"/>
  <c r="L73" i="77"/>
  <c r="X73" i="77"/>
  <c r="Z85" i="77"/>
  <c r="Z89" i="77"/>
  <c r="Z22" i="78"/>
  <c r="N93" i="77"/>
  <c r="R75" i="79"/>
  <c r="R71" i="79"/>
  <c r="R64" i="79"/>
  <c r="R51" i="79"/>
  <c r="R48" i="79"/>
  <c r="R32" i="79"/>
  <c r="R27" i="79"/>
  <c r="R70" i="79"/>
  <c r="R42" i="79"/>
  <c r="R39" i="79"/>
  <c r="R26" i="79"/>
  <c r="R77" i="79"/>
  <c r="R74" i="79"/>
  <c r="R69" i="79"/>
  <c r="R61" i="79"/>
  <c r="R53" i="79"/>
  <c r="R50" i="79"/>
  <c r="R45" i="79"/>
  <c r="R25" i="79"/>
  <c r="R68" i="79"/>
  <c r="R60" i="79"/>
  <c r="R56" i="79"/>
  <c r="R44" i="79"/>
  <c r="R41" i="79"/>
  <c r="R36" i="79"/>
  <c r="R24" i="79"/>
  <c r="R22" i="79"/>
  <c r="P20" i="79"/>
  <c r="X12" i="79"/>
  <c r="R82" i="79"/>
  <c r="R79" i="79"/>
  <c r="R76" i="79"/>
  <c r="R67" i="79"/>
  <c r="R63" i="79"/>
  <c r="R59" i="79"/>
  <c r="R55" i="79"/>
  <c r="R52" i="79"/>
  <c r="R47" i="79"/>
  <c r="R35" i="79"/>
  <c r="R31" i="79"/>
  <c r="R78" i="79"/>
  <c r="R73" i="79"/>
  <c r="R65" i="79"/>
  <c r="R62" i="79"/>
  <c r="R54" i="79"/>
  <c r="R49" i="79"/>
  <c r="R46" i="79"/>
  <c r="R33" i="79"/>
  <c r="R29" i="79"/>
  <c r="R17" i="79"/>
  <c r="R86" i="79"/>
  <c r="R37" i="79"/>
  <c r="R28" i="79"/>
  <c r="R16" i="79"/>
  <c r="R38" i="79"/>
  <c r="R18" i="79"/>
  <c r="R72" i="79"/>
  <c r="R43" i="79"/>
  <c r="R40" i="79"/>
  <c r="R57" i="79"/>
  <c r="R34" i="79"/>
  <c r="R30" i="79"/>
  <c r="D32" i="80"/>
  <c r="L16" i="79"/>
  <c r="J18" i="79"/>
  <c r="J25" i="79"/>
  <c r="J41" i="79"/>
  <c r="J55" i="79"/>
  <c r="L64" i="79"/>
  <c r="P16" i="80"/>
  <c r="Z25" i="80"/>
  <c r="R81" i="81"/>
  <c r="R75" i="81"/>
  <c r="R63" i="81"/>
  <c r="R60" i="81"/>
  <c r="R56" i="81"/>
  <c r="R35" i="81"/>
  <c r="R31" i="81"/>
  <c r="R27" i="81"/>
  <c r="R73" i="81"/>
  <c r="R66" i="81"/>
  <c r="R51" i="81"/>
  <c r="R46" i="81"/>
  <c r="R43" i="81"/>
  <c r="R30" i="81"/>
  <c r="R26" i="81"/>
  <c r="R19" i="81"/>
  <c r="R69" i="81"/>
  <c r="R62" i="81"/>
  <c r="R37" i="81"/>
  <c r="R34" i="81"/>
  <c r="R29" i="81"/>
  <c r="R25" i="81"/>
  <c r="R14" i="81"/>
  <c r="R68" i="81"/>
  <c r="R65" i="81"/>
  <c r="R48" i="81"/>
  <c r="R45" i="81"/>
  <c r="R40" i="81"/>
  <c r="R24" i="81"/>
  <c r="X12" i="81"/>
  <c r="R74" i="81"/>
  <c r="R71" i="81"/>
  <c r="R59" i="81"/>
  <c r="R55" i="81"/>
  <c r="R39" i="81"/>
  <c r="R36" i="81"/>
  <c r="R28" i="81"/>
  <c r="R23" i="81"/>
  <c r="R77" i="81"/>
  <c r="R70" i="81"/>
  <c r="R61" i="81"/>
  <c r="R57" i="81"/>
  <c r="R53" i="81"/>
  <c r="R38" i="81"/>
  <c r="R33" i="81"/>
  <c r="R21" i="81"/>
  <c r="R16" i="81"/>
  <c r="R32" i="81"/>
  <c r="L56" i="81"/>
  <c r="Z60" i="81"/>
  <c r="H20" i="79"/>
  <c r="N22" i="79"/>
  <c r="Z57" i="79"/>
  <c r="J77" i="79"/>
  <c r="N18" i="81"/>
  <c r="N56" i="81"/>
  <c r="J16" i="79"/>
  <c r="J22" i="79"/>
  <c r="J39" i="79"/>
  <c r="J45" i="79"/>
  <c r="L50" i="79"/>
  <c r="J59" i="79"/>
  <c r="J63" i="79"/>
  <c r="J67" i="79"/>
  <c r="Z78" i="79"/>
  <c r="L18" i="80"/>
  <c r="R23" i="80"/>
  <c r="X18" i="81"/>
  <c r="N34" i="81"/>
  <c r="L62" i="81"/>
  <c r="R79" i="81"/>
  <c r="Z62" i="92"/>
  <c r="D12" i="79"/>
  <c r="X46" i="79"/>
  <c r="Z64" i="79"/>
  <c r="R39" i="80"/>
  <c r="R32" i="80"/>
  <c r="R27" i="80"/>
  <c r="R22" i="80"/>
  <c r="R19" i="80"/>
  <c r="R14" i="80"/>
  <c r="R24" i="80"/>
  <c r="R21" i="80"/>
  <c r="X12" i="80"/>
  <c r="R36" i="80"/>
  <c r="R30" i="80"/>
  <c r="R16" i="80"/>
  <c r="Z23" i="80"/>
  <c r="R28" i="80"/>
  <c r="D77" i="81"/>
  <c r="X38" i="81"/>
  <c r="Z56" i="81"/>
  <c r="R67" i="81"/>
  <c r="N70" i="81"/>
  <c r="V83" i="85"/>
  <c r="V77" i="85"/>
  <c r="V69" i="85"/>
  <c r="V61" i="85"/>
  <c r="V53" i="85"/>
  <c r="V41" i="85"/>
  <c r="V33" i="85"/>
  <c r="V29" i="85"/>
  <c r="V17" i="85"/>
  <c r="V80" i="85"/>
  <c r="V68" i="85"/>
  <c r="V52" i="85"/>
  <c r="V44" i="85"/>
  <c r="V28" i="85"/>
  <c r="V16" i="85"/>
  <c r="V79" i="85"/>
  <c r="V55" i="85"/>
  <c r="V47" i="85"/>
  <c r="V43" i="85"/>
  <c r="V27" i="85"/>
  <c r="V74" i="85"/>
  <c r="V54" i="85"/>
  <c r="V46" i="85"/>
  <c r="V38" i="85"/>
  <c r="V26" i="85"/>
  <c r="V22" i="85"/>
  <c r="V87" i="85"/>
  <c r="V73" i="85"/>
  <c r="V65" i="85"/>
  <c r="V57" i="85"/>
  <c r="V49" i="85"/>
  <c r="V45" i="85"/>
  <c r="V37" i="85"/>
  <c r="V25" i="85"/>
  <c r="T20" i="85"/>
  <c r="V82" i="85"/>
  <c r="V76" i="85"/>
  <c r="V72" i="85"/>
  <c r="V64" i="85"/>
  <c r="V60" i="85"/>
  <c r="V56" i="85"/>
  <c r="V48" i="85"/>
  <c r="V40" i="85"/>
  <c r="V36" i="85"/>
  <c r="V32" i="85"/>
  <c r="V24" i="85"/>
  <c r="V67" i="85"/>
  <c r="V63" i="85"/>
  <c r="V59" i="85"/>
  <c r="V30" i="85"/>
  <c r="V78" i="85"/>
  <c r="V71" i="85"/>
  <c r="V34" i="85"/>
  <c r="V75" i="85"/>
  <c r="V50" i="85"/>
  <c r="V23" i="85"/>
  <c r="V18" i="85"/>
  <c r="V42" i="85"/>
  <c r="V39" i="85"/>
  <c r="V31" i="85"/>
  <c r="V51" i="85"/>
  <c r="V35" i="85"/>
  <c r="V66" i="85"/>
  <c r="V62" i="85"/>
  <c r="V58" i="85"/>
  <c r="V70" i="85"/>
  <c r="J88" i="79"/>
  <c r="J82" i="79"/>
  <c r="J76" i="79"/>
  <c r="J66" i="79"/>
  <c r="J58" i="79"/>
  <c r="J52" i="79"/>
  <c r="J38" i="79"/>
  <c r="J34" i="79"/>
  <c r="J30" i="79"/>
  <c r="J73" i="79"/>
  <c r="J65" i="79"/>
  <c r="J49" i="79"/>
  <c r="J43" i="79"/>
  <c r="J33" i="79"/>
  <c r="J29" i="79"/>
  <c r="J23" i="79"/>
  <c r="J86" i="79"/>
  <c r="J78" i="79"/>
  <c r="J72" i="79"/>
  <c r="J62" i="79"/>
  <c r="J54" i="79"/>
  <c r="J46" i="79"/>
  <c r="J40" i="79"/>
  <c r="J28" i="79"/>
  <c r="J75" i="79"/>
  <c r="J71" i="79"/>
  <c r="J57" i="79"/>
  <c r="J51" i="79"/>
  <c r="J37" i="79"/>
  <c r="J27" i="79"/>
  <c r="J91" i="79"/>
  <c r="J84" i="79"/>
  <c r="J70" i="79"/>
  <c r="J64" i="79"/>
  <c r="J48" i="79"/>
  <c r="J42" i="79"/>
  <c r="J32" i="79"/>
  <c r="J26" i="79"/>
  <c r="J74" i="79"/>
  <c r="J68" i="79"/>
  <c r="J60" i="79"/>
  <c r="J56" i="79"/>
  <c r="J50" i="79"/>
  <c r="J44" i="79"/>
  <c r="J36" i="79"/>
  <c r="J24" i="79"/>
  <c r="J20" i="79"/>
  <c r="N12" i="79"/>
  <c r="J31" i="79"/>
  <c r="J35" i="79"/>
  <c r="J53" i="79"/>
  <c r="J79" i="79"/>
  <c r="X82" i="79"/>
  <c r="P81" i="79"/>
  <c r="X81" i="79" s="1"/>
  <c r="N18" i="80"/>
  <c r="Z18" i="81"/>
  <c r="Z38" i="81"/>
  <c r="T73" i="81"/>
  <c r="Z14" i="82"/>
  <c r="T16" i="82"/>
  <c r="N50" i="85"/>
  <c r="L50" i="85"/>
  <c r="R32" i="89"/>
  <c r="R16" i="89"/>
  <c r="R25" i="89"/>
  <c r="R20" i="89"/>
  <c r="R18" i="89"/>
  <c r="P16" i="89"/>
  <c r="R37" i="89"/>
  <c r="R30" i="89"/>
  <c r="R22" i="89"/>
  <c r="R19" i="89"/>
  <c r="R34" i="89"/>
  <c r="R14" i="89"/>
  <c r="R28" i="89"/>
  <c r="R24" i="89"/>
  <c r="R21" i="89"/>
  <c r="X12" i="89"/>
  <c r="R26" i="89"/>
  <c r="R23" i="89"/>
  <c r="X54" i="79"/>
  <c r="Z54" i="79" s="1"/>
  <c r="X18" i="80"/>
  <c r="Z18" i="80" s="1"/>
  <c r="R26" i="80"/>
  <c r="L14" i="81"/>
  <c r="P16" i="81"/>
  <c r="R41" i="81"/>
  <c r="R52" i="81"/>
  <c r="L60" i="81"/>
  <c r="Z70" i="81"/>
  <c r="N73" i="81"/>
  <c r="X74" i="81"/>
  <c r="P73" i="81"/>
  <c r="X73" i="81" s="1"/>
  <c r="X75" i="81"/>
  <c r="Z75" i="81" s="1"/>
  <c r="Z74" i="81"/>
  <c r="D35" i="82"/>
  <c r="L16" i="82"/>
  <c r="T77" i="81"/>
  <c r="F21" i="83"/>
  <c r="F31" i="83"/>
  <c r="F28" i="83"/>
  <c r="F20" i="83"/>
  <c r="F45" i="83"/>
  <c r="F38" i="83"/>
  <c r="F16" i="83"/>
  <c r="F33" i="83"/>
  <c r="F30" i="83"/>
  <c r="F25" i="83"/>
  <c r="D16" i="83"/>
  <c r="F32" i="83"/>
  <c r="F27" i="83"/>
  <c r="F24" i="83"/>
  <c r="F19" i="83"/>
  <c r="F18" i="83"/>
  <c r="L12" i="83"/>
  <c r="F22" i="83"/>
  <c r="F26" i="83"/>
  <c r="T12" i="84"/>
  <c r="N27" i="84"/>
  <c r="L27" i="84"/>
  <c r="V30" i="87"/>
  <c r="V24" i="87"/>
  <c r="V16" i="87"/>
  <c r="V23" i="87"/>
  <c r="V26" i="87"/>
  <c r="V20" i="87"/>
  <c r="T18" i="87"/>
  <c r="V22" i="87"/>
  <c r="T32" i="88"/>
  <c r="Z16" i="88"/>
  <c r="N12" i="80"/>
  <c r="J14" i="80"/>
  <c r="V20" i="80"/>
  <c r="J24" i="80"/>
  <c r="V28" i="80"/>
  <c r="F32" i="80"/>
  <c r="V32" i="80"/>
  <c r="V34" i="80"/>
  <c r="F39" i="80"/>
  <c r="V39" i="80"/>
  <c r="N12" i="81"/>
  <c r="J14" i="81"/>
  <c r="J24" i="81"/>
  <c r="F29" i="81"/>
  <c r="V32" i="81"/>
  <c r="J34" i="81"/>
  <c r="F37" i="81"/>
  <c r="J40" i="81"/>
  <c r="V44" i="81"/>
  <c r="J48" i="81"/>
  <c r="V52" i="81"/>
  <c r="F56" i="81"/>
  <c r="V56" i="81"/>
  <c r="F60" i="81"/>
  <c r="V60" i="81"/>
  <c r="J62" i="81"/>
  <c r="V64" i="81"/>
  <c r="J68" i="81"/>
  <c r="F69" i="81"/>
  <c r="V75" i="81"/>
  <c r="J45" i="83"/>
  <c r="J38" i="83"/>
  <c r="J28" i="83"/>
  <c r="J20" i="83"/>
  <c r="J16" i="83"/>
  <c r="J33" i="83"/>
  <c r="J25" i="83"/>
  <c r="H16" i="83"/>
  <c r="J30" i="83"/>
  <c r="J18" i="83"/>
  <c r="J27" i="83"/>
  <c r="J19" i="83"/>
  <c r="J42" i="83"/>
  <c r="J36" i="83"/>
  <c r="J32" i="83"/>
  <c r="J24" i="83"/>
  <c r="J14" i="83"/>
  <c r="N12" i="83"/>
  <c r="J29" i="83"/>
  <c r="J23" i="83"/>
  <c r="J22" i="83"/>
  <c r="J26" i="83"/>
  <c r="X13" i="84"/>
  <c r="Z13" i="84" s="1"/>
  <c r="Z35" i="84"/>
  <c r="X35" i="84"/>
  <c r="F23" i="85"/>
  <c r="X48" i="85"/>
  <c r="Z48" i="85" s="1"/>
  <c r="Z54" i="85"/>
  <c r="L61" i="85"/>
  <c r="N61" i="85" s="1"/>
  <c r="F75" i="85"/>
  <c r="N83" i="85"/>
  <c r="H82" i="85"/>
  <c r="N82" i="85" s="1"/>
  <c r="L83" i="85"/>
  <c r="L15" i="90"/>
  <c r="P48" i="91"/>
  <c r="X16" i="91"/>
  <c r="V16" i="80"/>
  <c r="J18" i="80"/>
  <c r="V18" i="80"/>
  <c r="J22" i="80"/>
  <c r="V26" i="80"/>
  <c r="J32" i="80"/>
  <c r="J39" i="80"/>
  <c r="V84" i="81"/>
  <c r="V79" i="81"/>
  <c r="V77" i="81"/>
  <c r="V16" i="81"/>
  <c r="J18" i="81"/>
  <c r="V18" i="81"/>
  <c r="L19" i="81"/>
  <c r="N19" i="81" s="1"/>
  <c r="V22" i="81"/>
  <c r="J26" i="81"/>
  <c r="F27" i="81"/>
  <c r="J30" i="81"/>
  <c r="F31" i="81"/>
  <c r="F35" i="81"/>
  <c r="F38" i="81"/>
  <c r="V38" i="81"/>
  <c r="X41" i="81"/>
  <c r="V42" i="81"/>
  <c r="L43" i="81"/>
  <c r="N43" i="81" s="1"/>
  <c r="J46" i="81"/>
  <c r="X49" i="81"/>
  <c r="Z49" i="81" s="1"/>
  <c r="V50" i="81"/>
  <c r="L51" i="81"/>
  <c r="N51" i="81" s="1"/>
  <c r="V54" i="81"/>
  <c r="J56" i="81"/>
  <c r="V58" i="81"/>
  <c r="J60" i="81"/>
  <c r="F63" i="81"/>
  <c r="J66" i="81"/>
  <c r="F70" i="81"/>
  <c r="V70" i="81"/>
  <c r="H35" i="82"/>
  <c r="N16" i="82"/>
  <c r="L33" i="82"/>
  <c r="R35" i="82"/>
  <c r="Z19" i="83"/>
  <c r="X19" i="83"/>
  <c r="X27" i="83"/>
  <c r="Z27" i="83" s="1"/>
  <c r="F29" i="83"/>
  <c r="J31" i="83"/>
  <c r="F36" i="83"/>
  <c r="F40" i="83"/>
  <c r="N20" i="84"/>
  <c r="N22" i="85"/>
  <c r="X23" i="85"/>
  <c r="Z39" i="85"/>
  <c r="L41" i="85"/>
  <c r="X82" i="85"/>
  <c r="J39" i="86"/>
  <c r="N45" i="86"/>
  <c r="L45" i="86"/>
  <c r="V20" i="89"/>
  <c r="V37" i="89"/>
  <c r="V19" i="89"/>
  <c r="V34" i="89"/>
  <c r="V30" i="89"/>
  <c r="V22" i="89"/>
  <c r="V14" i="89"/>
  <c r="V28" i="89"/>
  <c r="V21" i="89"/>
  <c r="V32" i="89"/>
  <c r="V24" i="89"/>
  <c r="Z12" i="89"/>
  <c r="V23" i="89"/>
  <c r="V26" i="89"/>
  <c r="V18" i="89"/>
  <c r="V16" i="89"/>
  <c r="T16" i="89"/>
  <c r="H16" i="80"/>
  <c r="F20" i="80"/>
  <c r="F23" i="80"/>
  <c r="V23" i="80"/>
  <c r="J25" i="80"/>
  <c r="F28" i="80"/>
  <c r="F34" i="80"/>
  <c r="H16" i="81"/>
  <c r="F20" i="81"/>
  <c r="V23" i="81"/>
  <c r="J27" i="81"/>
  <c r="J31" i="81"/>
  <c r="F32" i="81"/>
  <c r="J35" i="81"/>
  <c r="V39" i="81"/>
  <c r="J41" i="81"/>
  <c r="F44" i="81"/>
  <c r="F47" i="81"/>
  <c r="V47" i="81"/>
  <c r="J49" i="81"/>
  <c r="F52" i="81"/>
  <c r="V55" i="81"/>
  <c r="V59" i="81"/>
  <c r="J63" i="81"/>
  <c r="F64" i="81"/>
  <c r="F67" i="81"/>
  <c r="V67" i="81"/>
  <c r="V71" i="81"/>
  <c r="J75" i="81"/>
  <c r="F79" i="81"/>
  <c r="F81" i="81"/>
  <c r="F39" i="82"/>
  <c r="F33" i="82"/>
  <c r="F23" i="82"/>
  <c r="F20" i="82"/>
  <c r="F37" i="82"/>
  <c r="F31" i="82"/>
  <c r="F16" i="82"/>
  <c r="F25" i="82"/>
  <c r="F22" i="82"/>
  <c r="F28" i="82"/>
  <c r="F42" i="82"/>
  <c r="F35" i="82"/>
  <c r="F24" i="82"/>
  <c r="F19" i="82"/>
  <c r="F18" i="82"/>
  <c r="L12" i="82"/>
  <c r="F30" i="82"/>
  <c r="F27" i="82"/>
  <c r="R30" i="82"/>
  <c r="Z18" i="83"/>
  <c r="N29" i="83"/>
  <c r="L29" i="83"/>
  <c r="F34" i="83"/>
  <c r="J40" i="83"/>
  <c r="Z23" i="85"/>
  <c r="N41" i="85"/>
  <c r="X75" i="85"/>
  <c r="Z75" i="85" s="1"/>
  <c r="L82" i="85"/>
  <c r="J45" i="86"/>
  <c r="J69" i="86"/>
  <c r="Z12" i="80"/>
  <c r="J16" i="80"/>
  <c r="J20" i="80"/>
  <c r="V24" i="80"/>
  <c r="J28" i="80"/>
  <c r="F30" i="80"/>
  <c r="V30" i="80"/>
  <c r="J34" i="80"/>
  <c r="F36" i="80"/>
  <c r="V36" i="80"/>
  <c r="Z12" i="81"/>
  <c r="J16" i="81"/>
  <c r="J20" i="81"/>
  <c r="F21" i="81"/>
  <c r="V24" i="81"/>
  <c r="F28" i="81"/>
  <c r="V28" i="81"/>
  <c r="J32" i="81"/>
  <c r="F33" i="81"/>
  <c r="F36" i="81"/>
  <c r="V36" i="81"/>
  <c r="J38" i="81"/>
  <c r="V40" i="81"/>
  <c r="J44" i="81"/>
  <c r="V48" i="81"/>
  <c r="J52" i="81"/>
  <c r="F53" i="81"/>
  <c r="F57" i="81"/>
  <c r="F61" i="81"/>
  <c r="J64" i="81"/>
  <c r="V68" i="81"/>
  <c r="J70" i="81"/>
  <c r="V74" i="81"/>
  <c r="L75" i="81"/>
  <c r="J79" i="81"/>
  <c r="J37" i="82"/>
  <c r="J31" i="82"/>
  <c r="J25" i="82"/>
  <c r="J28" i="82"/>
  <c r="J22" i="82"/>
  <c r="J18" i="82"/>
  <c r="J42" i="82"/>
  <c r="J35" i="82"/>
  <c r="J19" i="82"/>
  <c r="J30" i="82"/>
  <c r="J24" i="82"/>
  <c r="J14" i="82"/>
  <c r="N12" i="82"/>
  <c r="J27" i="82"/>
  <c r="J21" i="82"/>
  <c r="J26" i="82"/>
  <c r="X21" i="82"/>
  <c r="Z21" i="82" s="1"/>
  <c r="X30" i="82"/>
  <c r="Z30" i="82" s="1"/>
  <c r="J33" i="82"/>
  <c r="F14" i="83"/>
  <c r="J34" i="83"/>
  <c r="X20" i="84"/>
  <c r="Z20" i="84" s="1"/>
  <c r="L33" i="85"/>
  <c r="N33" i="85" s="1"/>
  <c r="Z56" i="85"/>
  <c r="X56" i="85"/>
  <c r="N77" i="85"/>
  <c r="L77" i="85"/>
  <c r="F76" i="86"/>
  <c r="F69" i="86"/>
  <c r="F62" i="86"/>
  <c r="F58" i="86"/>
  <c r="F45" i="86"/>
  <c r="F42" i="86"/>
  <c r="F29" i="86"/>
  <c r="F22" i="86"/>
  <c r="F66" i="86"/>
  <c r="F57" i="86"/>
  <c r="F53" i="86"/>
  <c r="F64" i="86"/>
  <c r="F56" i="86"/>
  <c r="F47" i="86"/>
  <c r="F44" i="86"/>
  <c r="F55" i="86"/>
  <c r="F50" i="86"/>
  <c r="F38" i="86"/>
  <c r="F73" i="86"/>
  <c r="F67" i="86"/>
  <c r="F61" i="86"/>
  <c r="F46" i="86"/>
  <c r="F41" i="86"/>
  <c r="F30" i="86"/>
  <c r="F26" i="86"/>
  <c r="F71" i="86"/>
  <c r="F52" i="86"/>
  <c r="F49" i="86"/>
  <c r="F39" i="86"/>
  <c r="F37" i="86"/>
  <c r="F34" i="86"/>
  <c r="F33" i="86"/>
  <c r="F51" i="86"/>
  <c r="F32" i="86"/>
  <c r="F21" i="86"/>
  <c r="F17" i="86"/>
  <c r="F31" i="86"/>
  <c r="F25" i="86"/>
  <c r="D17" i="86"/>
  <c r="F15" i="86"/>
  <c r="F48" i="86"/>
  <c r="F40" i="86"/>
  <c r="F36" i="86"/>
  <c r="F24" i="86"/>
  <c r="F23" i="86"/>
  <c r="F63" i="86"/>
  <c r="F28" i="86"/>
  <c r="F27" i="86"/>
  <c r="F20" i="86"/>
  <c r="F19" i="86"/>
  <c r="F59" i="86"/>
  <c r="F54" i="86"/>
  <c r="F35" i="86"/>
  <c r="L12" i="86"/>
  <c r="J17" i="86"/>
  <c r="X19" i="86"/>
  <c r="Z19" i="86" s="1"/>
  <c r="J34" i="86"/>
  <c r="F21" i="80"/>
  <c r="J23" i="80"/>
  <c r="F84" i="81"/>
  <c r="F77" i="81"/>
  <c r="J21" i="81"/>
  <c r="F22" i="81"/>
  <c r="V25" i="81"/>
  <c r="V29" i="81"/>
  <c r="J33" i="81"/>
  <c r="V37" i="81"/>
  <c r="F42" i="81"/>
  <c r="F45" i="81"/>
  <c r="V45" i="81"/>
  <c r="J47" i="81"/>
  <c r="F50" i="81"/>
  <c r="J53" i="81"/>
  <c r="F54" i="81"/>
  <c r="J57" i="81"/>
  <c r="F58" i="81"/>
  <c r="J61" i="81"/>
  <c r="F65" i="81"/>
  <c r="V65" i="81"/>
  <c r="J67" i="81"/>
  <c r="V69" i="81"/>
  <c r="R24" i="82"/>
  <c r="R21" i="82"/>
  <c r="R27" i="82"/>
  <c r="R39" i="82"/>
  <c r="R33" i="82"/>
  <c r="R26" i="82"/>
  <c r="R23" i="82"/>
  <c r="R29" i="82"/>
  <c r="R16" i="82"/>
  <c r="R25" i="82"/>
  <c r="R20" i="82"/>
  <c r="R18" i="82"/>
  <c r="P16" i="82"/>
  <c r="R37" i="82"/>
  <c r="R31" i="82"/>
  <c r="R28" i="82"/>
  <c r="X14" i="82"/>
  <c r="X18" i="82"/>
  <c r="Z18" i="82" s="1"/>
  <c r="R19" i="82"/>
  <c r="N23" i="82"/>
  <c r="L23" i="82"/>
  <c r="Z29" i="83"/>
  <c r="Z22" i="85"/>
  <c r="L58" i="85"/>
  <c r="N58" i="85" s="1"/>
  <c r="N66" i="85"/>
  <c r="L66" i="85"/>
  <c r="J57" i="86"/>
  <c r="J53" i="86"/>
  <c r="J47" i="86"/>
  <c r="J33" i="86"/>
  <c r="J21" i="86"/>
  <c r="J64" i="86"/>
  <c r="J56" i="86"/>
  <c r="J50" i="86"/>
  <c r="J44" i="86"/>
  <c r="J73" i="86"/>
  <c r="J67" i="86"/>
  <c r="J61" i="86"/>
  <c r="J55" i="86"/>
  <c r="J41" i="86"/>
  <c r="J52" i="86"/>
  <c r="J46" i="86"/>
  <c r="J71" i="86"/>
  <c r="J63" i="86"/>
  <c r="J49" i="86"/>
  <c r="J43" i="86"/>
  <c r="J37" i="86"/>
  <c r="J25" i="86"/>
  <c r="J60" i="86"/>
  <c r="J54" i="86"/>
  <c r="J48" i="86"/>
  <c r="J51" i="86"/>
  <c r="J32" i="86"/>
  <c r="H17" i="86"/>
  <c r="J66" i="86"/>
  <c r="J36" i="86"/>
  <c r="J31" i="86"/>
  <c r="J30" i="86"/>
  <c r="J29" i="86"/>
  <c r="J19" i="86"/>
  <c r="J15" i="86"/>
  <c r="J62" i="86"/>
  <c r="J40" i="86"/>
  <c r="J24" i="86"/>
  <c r="J23" i="86"/>
  <c r="J22" i="86"/>
  <c r="J20" i="86"/>
  <c r="J58" i="86"/>
  <c r="J28" i="86"/>
  <c r="J27" i="86"/>
  <c r="J26" i="86"/>
  <c r="J59" i="86"/>
  <c r="J35" i="86"/>
  <c r="J14" i="86"/>
  <c r="N12" i="86"/>
  <c r="J76" i="86"/>
  <c r="J42" i="86"/>
  <c r="X14" i="86"/>
  <c r="Z14" i="86" s="1"/>
  <c r="F60" i="86"/>
  <c r="J26" i="80"/>
  <c r="J30" i="80"/>
  <c r="J84" i="81"/>
  <c r="J77" i="81"/>
  <c r="J22" i="81"/>
  <c r="F23" i="81"/>
  <c r="V26" i="81"/>
  <c r="J28" i="81"/>
  <c r="V30" i="81"/>
  <c r="F34" i="81"/>
  <c r="V34" i="81"/>
  <c r="J36" i="81"/>
  <c r="F39" i="81"/>
  <c r="J42" i="81"/>
  <c r="V46" i="81"/>
  <c r="J50" i="81"/>
  <c r="J54" i="81"/>
  <c r="F55" i="81"/>
  <c r="J58" i="81"/>
  <c r="F59" i="81"/>
  <c r="F62" i="81"/>
  <c r="V62" i="81"/>
  <c r="V66" i="81"/>
  <c r="F71" i="81"/>
  <c r="J74" i="81"/>
  <c r="R14" i="82"/>
  <c r="Z25" i="82"/>
  <c r="F23" i="83"/>
  <c r="Z36" i="83"/>
  <c r="X36" i="83"/>
  <c r="R18" i="84"/>
  <c r="R30" i="84"/>
  <c r="R27" i="84"/>
  <c r="R22" i="84"/>
  <c r="R20" i="84"/>
  <c r="P18" i="84"/>
  <c r="R39" i="84"/>
  <c r="R33" i="84"/>
  <c r="R44" i="84"/>
  <c r="R37" i="84"/>
  <c r="R32" i="84"/>
  <c r="R29" i="84"/>
  <c r="R24" i="84"/>
  <c r="R21" i="84"/>
  <c r="R16" i="84"/>
  <c r="R31" i="84"/>
  <c r="R26" i="84"/>
  <c r="R23" i="84"/>
  <c r="R15" i="84"/>
  <c r="X25" i="84"/>
  <c r="Z25" i="84" s="1"/>
  <c r="P12" i="85"/>
  <c r="X13" i="85"/>
  <c r="Z13" i="85" s="1"/>
  <c r="R30" i="87"/>
  <c r="R24" i="87"/>
  <c r="R21" i="87"/>
  <c r="R35" i="87"/>
  <c r="R28" i="87"/>
  <c r="R16" i="87"/>
  <c r="R23" i="87"/>
  <c r="X12" i="87"/>
  <c r="Z12" i="87" s="1"/>
  <c r="R20" i="87"/>
  <c r="R18" i="87"/>
  <c r="P18" i="87"/>
  <c r="R32" i="87"/>
  <c r="R22" i="87"/>
  <c r="N16" i="87"/>
  <c r="L16" i="87"/>
  <c r="V22" i="82"/>
  <c r="V30" i="82"/>
  <c r="P16" i="83"/>
  <c r="R18" i="83"/>
  <c r="V19" i="83"/>
  <c r="R20" i="83"/>
  <c r="R25" i="83"/>
  <c r="V27" i="83"/>
  <c r="R28" i="83"/>
  <c r="R33" i="83"/>
  <c r="D12" i="84"/>
  <c r="H18" i="84"/>
  <c r="J27" i="84"/>
  <c r="J33" i="84"/>
  <c r="J39" i="84"/>
  <c r="F17" i="85"/>
  <c r="F29" i="85"/>
  <c r="F48" i="85"/>
  <c r="F53" i="85"/>
  <c r="F56" i="85"/>
  <c r="F69" i="85"/>
  <c r="F82" i="85"/>
  <c r="V15" i="86"/>
  <c r="V31" i="86"/>
  <c r="R32" i="86"/>
  <c r="R33" i="86"/>
  <c r="R36" i="86"/>
  <c r="R37" i="86"/>
  <c r="R44" i="86"/>
  <c r="V46" i="86"/>
  <c r="Z47" i="86"/>
  <c r="R61" i="86"/>
  <c r="V16" i="88"/>
  <c r="V21" i="88"/>
  <c r="X26" i="88"/>
  <c r="X30" i="88"/>
  <c r="P29" i="88"/>
  <c r="D30" i="89"/>
  <c r="X18" i="89"/>
  <c r="L13" i="90"/>
  <c r="D12" i="90"/>
  <c r="V31" i="82"/>
  <c r="V35" i="82"/>
  <c r="V37" i="82"/>
  <c r="V42" i="82"/>
  <c r="V20" i="83"/>
  <c r="V28" i="83"/>
  <c r="R38" i="83"/>
  <c r="R45" i="83"/>
  <c r="J18" i="84"/>
  <c r="J22" i="84"/>
  <c r="J30" i="84"/>
  <c r="F18" i="85"/>
  <c r="D20" i="85"/>
  <c r="F30" i="85"/>
  <c r="F34" i="85"/>
  <c r="F42" i="85"/>
  <c r="F45" i="85"/>
  <c r="F62" i="85"/>
  <c r="F70" i="85"/>
  <c r="F78" i="85"/>
  <c r="R19" i="86"/>
  <c r="V20" i="86"/>
  <c r="V32" i="86"/>
  <c r="R38" i="86"/>
  <c r="V44" i="86"/>
  <c r="R56" i="86"/>
  <c r="Z61" i="86"/>
  <c r="L18" i="88"/>
  <c r="Z26" i="88"/>
  <c r="V20" i="82"/>
  <c r="V28" i="82"/>
  <c r="T16" i="83"/>
  <c r="V21" i="83"/>
  <c r="R22" i="83"/>
  <c r="V25" i="83"/>
  <c r="R26" i="83"/>
  <c r="R31" i="83"/>
  <c r="V33" i="83"/>
  <c r="R34" i="83"/>
  <c r="R40" i="83"/>
  <c r="J25" i="84"/>
  <c r="J35" i="84"/>
  <c r="J41" i="84"/>
  <c r="H12" i="85"/>
  <c r="F20" i="85"/>
  <c r="F31" i="85"/>
  <c r="F35" i="85"/>
  <c r="F51" i="85"/>
  <c r="F54" i="85"/>
  <c r="F59" i="85"/>
  <c r="F63" i="85"/>
  <c r="F67" i="85"/>
  <c r="F71" i="85"/>
  <c r="R63" i="86"/>
  <c r="R46" i="86"/>
  <c r="R43" i="86"/>
  <c r="R30" i="86"/>
  <c r="R26" i="86"/>
  <c r="R71" i="86"/>
  <c r="R54" i="86"/>
  <c r="R49" i="86"/>
  <c r="R76" i="86"/>
  <c r="R69" i="86"/>
  <c r="R60" i="86"/>
  <c r="R48" i="86"/>
  <c r="R45" i="86"/>
  <c r="R40" i="86"/>
  <c r="R66" i="86"/>
  <c r="R59" i="86"/>
  <c r="R51" i="86"/>
  <c r="R39" i="86"/>
  <c r="R62" i="86"/>
  <c r="R58" i="86"/>
  <c r="R47" i="86"/>
  <c r="R42" i="86"/>
  <c r="R22" i="86"/>
  <c r="R57" i="86"/>
  <c r="R53" i="86"/>
  <c r="R50" i="86"/>
  <c r="R17" i="86"/>
  <c r="R34" i="86"/>
  <c r="R55" i="86"/>
  <c r="X67" i="86"/>
  <c r="P66" i="86"/>
  <c r="N18" i="88"/>
  <c r="Z18" i="89"/>
  <c r="V25" i="82"/>
  <c r="V29" i="82"/>
  <c r="V16" i="83"/>
  <c r="V18" i="83"/>
  <c r="V22" i="83"/>
  <c r="R23" i="83"/>
  <c r="V26" i="83"/>
  <c r="V34" i="83"/>
  <c r="V38" i="83"/>
  <c r="V40" i="83"/>
  <c r="V45" i="83"/>
  <c r="N12" i="84"/>
  <c r="J28" i="84"/>
  <c r="L12" i="85"/>
  <c r="F24" i="85"/>
  <c r="F32" i="85"/>
  <c r="F36" i="85"/>
  <c r="F40" i="85"/>
  <c r="F43" i="85"/>
  <c r="F60" i="85"/>
  <c r="F64" i="85"/>
  <c r="F72" i="85"/>
  <c r="F76" i="85"/>
  <c r="F79" i="85"/>
  <c r="V76" i="86"/>
  <c r="V71" i="86"/>
  <c r="V69" i="86"/>
  <c r="V49" i="86"/>
  <c r="V45" i="86"/>
  <c r="V37" i="86"/>
  <c r="V29" i="86"/>
  <c r="V25" i="86"/>
  <c r="V66" i="86"/>
  <c r="V60" i="86"/>
  <c r="V48" i="86"/>
  <c r="V59" i="86"/>
  <c r="V51" i="86"/>
  <c r="V47" i="86"/>
  <c r="V39" i="86"/>
  <c r="V62" i="86"/>
  <c r="V58" i="86"/>
  <c r="V50" i="86"/>
  <c r="V42" i="86"/>
  <c r="V38" i="86"/>
  <c r="V73" i="86"/>
  <c r="V67" i="86"/>
  <c r="V61" i="86"/>
  <c r="V57" i="86"/>
  <c r="V53" i="86"/>
  <c r="V41" i="86"/>
  <c r="V33" i="86"/>
  <c r="V21" i="86"/>
  <c r="V64" i="86"/>
  <c r="V56" i="86"/>
  <c r="V52" i="86"/>
  <c r="T17" i="86"/>
  <c r="V43" i="86"/>
  <c r="V55" i="86"/>
  <c r="R67" i="86"/>
  <c r="X20" i="87"/>
  <c r="Z20" i="87" s="1"/>
  <c r="N21" i="87"/>
  <c r="L21" i="87"/>
  <c r="Z23" i="89"/>
  <c r="X23" i="89"/>
  <c r="N25" i="89"/>
  <c r="L25" i="89"/>
  <c r="N35" i="90"/>
  <c r="L35" i="90"/>
  <c r="N45" i="90"/>
  <c r="L45" i="90"/>
  <c r="F55" i="91"/>
  <c r="F48" i="91"/>
  <c r="F37" i="91"/>
  <c r="F32" i="91"/>
  <c r="F29" i="91"/>
  <c r="F25" i="91"/>
  <c r="F52" i="91"/>
  <c r="F46" i="91"/>
  <c r="F36" i="91"/>
  <c r="F33" i="91"/>
  <c r="F28" i="91"/>
  <c r="F21" i="91"/>
  <c r="F50" i="91"/>
  <c r="F44" i="91"/>
  <c r="F39" i="91"/>
  <c r="F18" i="91"/>
  <c r="F35" i="91"/>
  <c r="F34" i="91"/>
  <c r="F20" i="91"/>
  <c r="F40" i="91"/>
  <c r="F31" i="91"/>
  <c r="F41" i="91"/>
  <c r="F23" i="91"/>
  <c r="F19" i="91"/>
  <c r="D16" i="91"/>
  <c r="F30" i="91"/>
  <c r="F22" i="91"/>
  <c r="F16" i="91"/>
  <c r="F14" i="91"/>
  <c r="F42" i="91"/>
  <c r="F26" i="91"/>
  <c r="F43" i="91"/>
  <c r="F38" i="91"/>
  <c r="F24" i="91"/>
  <c r="L12" i="91"/>
  <c r="V16" i="82"/>
  <c r="V18" i="82"/>
  <c r="V26" i="82"/>
  <c r="X12" i="83"/>
  <c r="V23" i="83"/>
  <c r="R24" i="83"/>
  <c r="R29" i="83"/>
  <c r="V31" i="83"/>
  <c r="R32" i="83"/>
  <c r="J15" i="84"/>
  <c r="J23" i="84"/>
  <c r="J31" i="84"/>
  <c r="F16" i="85"/>
  <c r="F25" i="85"/>
  <c r="F37" i="85"/>
  <c r="F49" i="85"/>
  <c r="F52" i="85"/>
  <c r="F57" i="85"/>
  <c r="F65" i="85"/>
  <c r="F68" i="85"/>
  <c r="F73" i="85"/>
  <c r="F87" i="85"/>
  <c r="X12" i="86"/>
  <c r="V17" i="86"/>
  <c r="V19" i="86"/>
  <c r="L34" i="86"/>
  <c r="V34" i="86"/>
  <c r="R35" i="86"/>
  <c r="X41" i="86"/>
  <c r="X43" i="86"/>
  <c r="Z43" i="86" s="1"/>
  <c r="V54" i="86"/>
  <c r="Z63" i="86"/>
  <c r="X63" i="86"/>
  <c r="Z67" i="86"/>
  <c r="R26" i="88"/>
  <c r="R21" i="88"/>
  <c r="R16" i="88"/>
  <c r="R34" i="88"/>
  <c r="R20" i="88"/>
  <c r="R18" i="88"/>
  <c r="P16" i="88"/>
  <c r="R39" i="88"/>
  <c r="R32" i="88"/>
  <c r="R23" i="88"/>
  <c r="R29" i="88"/>
  <c r="R19" i="88"/>
  <c r="R25" i="88"/>
  <c r="R22" i="88"/>
  <c r="R14" i="88"/>
  <c r="X12" i="88"/>
  <c r="X18" i="88"/>
  <c r="Z18" i="88" s="1"/>
  <c r="R36" i="88"/>
  <c r="L18" i="89"/>
  <c r="N18" i="89" s="1"/>
  <c r="X42" i="90"/>
  <c r="Z42" i="90" s="1"/>
  <c r="H12" i="92"/>
  <c r="N13" i="92"/>
  <c r="F40" i="93"/>
  <c r="D19" i="93"/>
  <c r="F17" i="93"/>
  <c r="F31" i="93"/>
  <c r="F28" i="93"/>
  <c r="F22" i="93"/>
  <c r="F21" i="93"/>
  <c r="F33" i="93"/>
  <c r="F30" i="93"/>
  <c r="F25" i="93"/>
  <c r="F16" i="93"/>
  <c r="F29" i="93"/>
  <c r="F34" i="93"/>
  <c r="F36" i="93"/>
  <c r="F23" i="93"/>
  <c r="L12" i="93"/>
  <c r="F24" i="93"/>
  <c r="F32" i="93"/>
  <c r="F27" i="93"/>
  <c r="F26" i="93"/>
  <c r="V23" i="82"/>
  <c r="V27" i="82"/>
  <c r="V33" i="82"/>
  <c r="Z12" i="83"/>
  <c r="R14" i="83"/>
  <c r="V24" i="83"/>
  <c r="R36" i="83"/>
  <c r="F26" i="85"/>
  <c r="F33" i="85"/>
  <c r="F38" i="85"/>
  <c r="F41" i="85"/>
  <c r="F46" i="85"/>
  <c r="F61" i="85"/>
  <c r="F74" i="85"/>
  <c r="F77" i="85"/>
  <c r="F83" i="85"/>
  <c r="Z12" i="86"/>
  <c r="R14" i="86"/>
  <c r="X17" i="86"/>
  <c r="V26" i="86"/>
  <c r="R27" i="86"/>
  <c r="R28" i="86"/>
  <c r="V35" i="86"/>
  <c r="R41" i="86"/>
  <c r="V63" i="86"/>
  <c r="V39" i="88"/>
  <c r="V34" i="88"/>
  <c r="V32" i="88"/>
  <c r="V20" i="88"/>
  <c r="V29" i="88"/>
  <c r="V23" i="88"/>
  <c r="V19" i="88"/>
  <c r="V22" i="88"/>
  <c r="V14" i="88"/>
  <c r="V25" i="88"/>
  <c r="V36" i="88"/>
  <c r="V30" i="88"/>
  <c r="V24" i="88"/>
  <c r="Z12" i="88"/>
  <c r="V27" i="88"/>
  <c r="D32" i="88"/>
  <c r="X29" i="90"/>
  <c r="X19" i="91"/>
  <c r="Z19" i="91" s="1"/>
  <c r="F27" i="91"/>
  <c r="J21" i="87"/>
  <c r="H16" i="88"/>
  <c r="L16" i="88" s="1"/>
  <c r="F20" i="88"/>
  <c r="J23" i="88"/>
  <c r="F34" i="88"/>
  <c r="H16" i="89"/>
  <c r="F20" i="89"/>
  <c r="F23" i="89"/>
  <c r="J25" i="89"/>
  <c r="V24" i="90"/>
  <c r="V25" i="90"/>
  <c r="J35" i="90"/>
  <c r="J41" i="90"/>
  <c r="J40" i="91"/>
  <c r="J34" i="91"/>
  <c r="J24" i="91"/>
  <c r="J52" i="91"/>
  <c r="J46" i="91"/>
  <c r="J42" i="91"/>
  <c r="J36" i="91"/>
  <c r="J50" i="91"/>
  <c r="J44" i="91"/>
  <c r="J30" i="91"/>
  <c r="J20" i="91"/>
  <c r="J16" i="91"/>
  <c r="J41" i="91"/>
  <c r="J35" i="91"/>
  <c r="J55" i="91"/>
  <c r="J33" i="91"/>
  <c r="J48" i="91"/>
  <c r="J43" i="91"/>
  <c r="J39" i="91"/>
  <c r="J31" i="91"/>
  <c r="J38" i="91"/>
  <c r="J37" i="91"/>
  <c r="J22" i="91"/>
  <c r="J21" i="91"/>
  <c r="J19" i="91"/>
  <c r="H16" i="91"/>
  <c r="J26" i="91"/>
  <c r="J25" i="91"/>
  <c r="J14" i="91"/>
  <c r="N12" i="91"/>
  <c r="J27" i="91"/>
  <c r="J28" i="91"/>
  <c r="Z32" i="91"/>
  <c r="L17" i="92"/>
  <c r="F34" i="92"/>
  <c r="V49" i="92"/>
  <c r="X44" i="95"/>
  <c r="R44" i="95"/>
  <c r="J20" i="87"/>
  <c r="J24" i="87"/>
  <c r="J30" i="87"/>
  <c r="J16" i="88"/>
  <c r="J20" i="88"/>
  <c r="F21" i="88"/>
  <c r="F24" i="88"/>
  <c r="J26" i="88"/>
  <c r="F30" i="88"/>
  <c r="J34" i="88"/>
  <c r="F36" i="88"/>
  <c r="J16" i="89"/>
  <c r="J20" i="89"/>
  <c r="J49" i="90"/>
  <c r="J43" i="90"/>
  <c r="J29" i="90"/>
  <c r="J21" i="90"/>
  <c r="J40" i="90"/>
  <c r="J34" i="90"/>
  <c r="J26" i="90"/>
  <c r="J54" i="90"/>
  <c r="J47" i="90"/>
  <c r="J37" i="90"/>
  <c r="J31" i="90"/>
  <c r="J25" i="90"/>
  <c r="J15" i="90"/>
  <c r="J39" i="90"/>
  <c r="J33" i="90"/>
  <c r="J23" i="90"/>
  <c r="V16" i="90"/>
  <c r="V18" i="90"/>
  <c r="J22" i="90"/>
  <c r="N31" i="90"/>
  <c r="R34" i="90"/>
  <c r="R37" i="90"/>
  <c r="F17" i="92"/>
  <c r="R74" i="92"/>
  <c r="D12" i="87"/>
  <c r="H18" i="87"/>
  <c r="J21" i="88"/>
  <c r="F21" i="89"/>
  <c r="J23" i="89"/>
  <c r="F26" i="89"/>
  <c r="L28" i="89"/>
  <c r="R36" i="90"/>
  <c r="R33" i="90"/>
  <c r="R28" i="90"/>
  <c r="R24" i="90"/>
  <c r="R39" i="90"/>
  <c r="R23" i="90"/>
  <c r="R45" i="90"/>
  <c r="R35" i="90"/>
  <c r="R30" i="90"/>
  <c r="R27" i="90"/>
  <c r="R22" i="90"/>
  <c r="R20" i="90"/>
  <c r="P18" i="90"/>
  <c r="R18" i="90" s="1"/>
  <c r="R32" i="90"/>
  <c r="R29" i="90"/>
  <c r="R21" i="90"/>
  <c r="R16" i="90"/>
  <c r="R15" i="90"/>
  <c r="J30" i="90"/>
  <c r="V32" i="90"/>
  <c r="V34" i="90"/>
  <c r="V36" i="90"/>
  <c r="R40" i="90"/>
  <c r="J42" i="90"/>
  <c r="J51" i="90"/>
  <c r="R33" i="91"/>
  <c r="R30" i="91"/>
  <c r="R21" i="91"/>
  <c r="R55" i="91"/>
  <c r="R48" i="91"/>
  <c r="R35" i="91"/>
  <c r="R37" i="91"/>
  <c r="R34" i="91"/>
  <c r="R29" i="91"/>
  <c r="R25" i="91"/>
  <c r="R14" i="91"/>
  <c r="R40" i="91"/>
  <c r="R42" i="91"/>
  <c r="R41" i="91"/>
  <c r="R28" i="91"/>
  <c r="R24" i="91"/>
  <c r="R23" i="91"/>
  <c r="R22" i="91"/>
  <c r="X12" i="91"/>
  <c r="R50" i="91"/>
  <c r="R27" i="91"/>
  <c r="R26" i="91"/>
  <c r="R18" i="91"/>
  <c r="R52" i="91"/>
  <c r="J23" i="91"/>
  <c r="T48" i="91"/>
  <c r="R73" i="92"/>
  <c r="R66" i="92"/>
  <c r="R62" i="92"/>
  <c r="R34" i="92"/>
  <c r="R29" i="92"/>
  <c r="R84" i="92"/>
  <c r="R72" i="92"/>
  <c r="R56" i="92"/>
  <c r="R53" i="92"/>
  <c r="R48" i="92"/>
  <c r="R45" i="92"/>
  <c r="R76" i="92"/>
  <c r="R71" i="92"/>
  <c r="R39" i="92"/>
  <c r="R27" i="92"/>
  <c r="R69" i="92"/>
  <c r="R65" i="92"/>
  <c r="R61" i="92"/>
  <c r="R37" i="92"/>
  <c r="R33" i="92"/>
  <c r="R25" i="92"/>
  <c r="R23" i="92"/>
  <c r="P21" i="92"/>
  <c r="R68" i="92"/>
  <c r="R64" i="92"/>
  <c r="R60" i="92"/>
  <c r="R57" i="92"/>
  <c r="R52" i="92"/>
  <c r="R49" i="92"/>
  <c r="R44" i="92"/>
  <c r="R41" i="92"/>
  <c r="R36" i="92"/>
  <c r="R32" i="92"/>
  <c r="X12" i="92"/>
  <c r="Z12" i="92" s="1"/>
  <c r="R78" i="92"/>
  <c r="R67" i="92"/>
  <c r="R63" i="92"/>
  <c r="R38" i="92"/>
  <c r="R59" i="92"/>
  <c r="R58" i="92"/>
  <c r="R28" i="92"/>
  <c r="R24" i="92"/>
  <c r="R80" i="92"/>
  <c r="R47" i="92"/>
  <c r="R43" i="92"/>
  <c r="R42" i="92"/>
  <c r="R18" i="92"/>
  <c r="R17" i="92"/>
  <c r="R50" i="92"/>
  <c r="R46" i="92"/>
  <c r="R35" i="92"/>
  <c r="R26" i="92"/>
  <c r="R31" i="92"/>
  <c r="R40" i="92"/>
  <c r="D66" i="86"/>
  <c r="T66" i="86"/>
  <c r="J18" i="87"/>
  <c r="J22" i="87"/>
  <c r="J26" i="87"/>
  <c r="F22" i="88"/>
  <c r="J24" i="88"/>
  <c r="F27" i="88"/>
  <c r="T29" i="88"/>
  <c r="Z29" i="88" s="1"/>
  <c r="J30" i="88"/>
  <c r="J36" i="88"/>
  <c r="J26" i="89"/>
  <c r="F28" i="89"/>
  <c r="V51" i="90"/>
  <c r="V45" i="90"/>
  <c r="V39" i="90"/>
  <c r="V35" i="90"/>
  <c r="V27" i="90"/>
  <c r="V23" i="90"/>
  <c r="T18" i="90"/>
  <c r="V38" i="90"/>
  <c r="V30" i="90"/>
  <c r="V22" i="90"/>
  <c r="V41" i="90"/>
  <c r="V29" i="90"/>
  <c r="V21" i="90"/>
  <c r="V54" i="90"/>
  <c r="V49" i="90"/>
  <c r="V47" i="90"/>
  <c r="V43" i="90"/>
  <c r="V31" i="90"/>
  <c r="V15" i="90"/>
  <c r="Z15" i="90"/>
  <c r="J28" i="90"/>
  <c r="R31" i="90"/>
  <c r="R38" i="90"/>
  <c r="R41" i="90"/>
  <c r="X28" i="91"/>
  <c r="Z28" i="91" s="1"/>
  <c r="V80" i="92"/>
  <c r="V84" i="92"/>
  <c r="V78" i="92"/>
  <c r="V72" i="92"/>
  <c r="V56" i="92"/>
  <c r="V48" i="92"/>
  <c r="V40" i="92"/>
  <c r="V28" i="92"/>
  <c r="V76" i="92"/>
  <c r="V75" i="92"/>
  <c r="V71" i="92"/>
  <c r="V55" i="92"/>
  <c r="V47" i="92"/>
  <c r="V70" i="92"/>
  <c r="V58" i="92"/>
  <c r="V50" i="92"/>
  <c r="V42" i="92"/>
  <c r="V38" i="92"/>
  <c r="V26" i="92"/>
  <c r="T21" i="92"/>
  <c r="V77" i="92"/>
  <c r="V68" i="92"/>
  <c r="V64" i="92"/>
  <c r="V60" i="92"/>
  <c r="V52" i="92"/>
  <c r="V44" i="92"/>
  <c r="V36" i="92"/>
  <c r="V32" i="92"/>
  <c r="V24" i="92"/>
  <c r="V67" i="92"/>
  <c r="V63" i="92"/>
  <c r="V59" i="92"/>
  <c r="V51" i="92"/>
  <c r="V43" i="92"/>
  <c r="V35" i="92"/>
  <c r="V31" i="92"/>
  <c r="V19" i="92"/>
  <c r="V65" i="92"/>
  <c r="V61" i="92"/>
  <c r="V41" i="92"/>
  <c r="V37" i="92"/>
  <c r="V23" i="92"/>
  <c r="V17" i="92"/>
  <c r="V39" i="92"/>
  <c r="V34" i="92"/>
  <c r="V18" i="92"/>
  <c r="V29" i="92"/>
  <c r="V74" i="92"/>
  <c r="V73" i="92"/>
  <c r="V66" i="92"/>
  <c r="V62" i="92"/>
  <c r="V53" i="92"/>
  <c r="V30" i="92"/>
  <c r="V21" i="92"/>
  <c r="F80" i="92"/>
  <c r="F69" i="92"/>
  <c r="F65" i="92"/>
  <c r="F61" i="92"/>
  <c r="F37" i="92"/>
  <c r="F33" i="92"/>
  <c r="F25" i="92"/>
  <c r="F75" i="92"/>
  <c r="F68" i="92"/>
  <c r="F64" i="92"/>
  <c r="F60" i="92"/>
  <c r="F55" i="92"/>
  <c r="F52" i="92"/>
  <c r="F47" i="92"/>
  <c r="F44" i="92"/>
  <c r="F78" i="92"/>
  <c r="F67" i="92"/>
  <c r="F63" i="92"/>
  <c r="F35" i="92"/>
  <c r="F31" i="92"/>
  <c r="D21" i="92"/>
  <c r="F19" i="92"/>
  <c r="F84" i="92"/>
  <c r="F77" i="92"/>
  <c r="F73" i="92"/>
  <c r="F29" i="92"/>
  <c r="F24" i="92"/>
  <c r="F23" i="92"/>
  <c r="F76" i="92"/>
  <c r="F72" i="92"/>
  <c r="F59" i="92"/>
  <c r="F56" i="92"/>
  <c r="F51" i="92"/>
  <c r="F48" i="92"/>
  <c r="F43" i="92"/>
  <c r="F40" i="92"/>
  <c r="F28" i="92"/>
  <c r="F74" i="92"/>
  <c r="F50" i="92"/>
  <c r="F45" i="92"/>
  <c r="F36" i="92"/>
  <c r="F21" i="92"/>
  <c r="L12" i="92"/>
  <c r="F70" i="92"/>
  <c r="F66" i="92"/>
  <c r="F62" i="92"/>
  <c r="F54" i="92"/>
  <c r="F53" i="92"/>
  <c r="F49" i="92"/>
  <c r="F27" i="92"/>
  <c r="F71" i="92"/>
  <c r="F32" i="92"/>
  <c r="F39" i="92"/>
  <c r="F38" i="92"/>
  <c r="V25" i="92"/>
  <c r="F30" i="92"/>
  <c r="V33" i="92"/>
  <c r="L12" i="88"/>
  <c r="F18" i="88"/>
  <c r="F19" i="88"/>
  <c r="J27" i="88"/>
  <c r="F29" i="88"/>
  <c r="J21" i="89"/>
  <c r="F24" i="89"/>
  <c r="Z31" i="90"/>
  <c r="V33" i="90"/>
  <c r="V40" i="90"/>
  <c r="R43" i="90"/>
  <c r="N18" i="91"/>
  <c r="X39" i="91"/>
  <c r="Z39" i="91" s="1"/>
  <c r="R21" i="92"/>
  <c r="V46" i="92"/>
  <c r="V57" i="92"/>
  <c r="H66" i="86"/>
  <c r="N66" i="86" s="1"/>
  <c r="N12" i="88"/>
  <c r="J14" i="88"/>
  <c r="F25" i="88"/>
  <c r="H29" i="88"/>
  <c r="F32" i="88"/>
  <c r="N12" i="89"/>
  <c r="J14" i="89"/>
  <c r="J24" i="89"/>
  <c r="F30" i="89"/>
  <c r="F32" i="89"/>
  <c r="Z12" i="90"/>
  <c r="H18" i="90"/>
  <c r="V20" i="90"/>
  <c r="X21" i="90"/>
  <c r="Z21" i="90" s="1"/>
  <c r="J24" i="90"/>
  <c r="R26" i="90"/>
  <c r="L27" i="90"/>
  <c r="X33" i="90"/>
  <c r="Z33" i="90" s="1"/>
  <c r="R42" i="90"/>
  <c r="J18" i="91"/>
  <c r="R20" i="91"/>
  <c r="J32" i="91"/>
  <c r="R38" i="91"/>
  <c r="R39" i="91"/>
  <c r="R46" i="91"/>
  <c r="L14" i="92"/>
  <c r="R30" i="92"/>
  <c r="V45" i="92"/>
  <c r="R70" i="92"/>
  <c r="Z57" i="94"/>
  <c r="X57" i="94"/>
  <c r="N28" i="91"/>
  <c r="Z34" i="91"/>
  <c r="L13" i="92"/>
  <c r="N24" i="92"/>
  <c r="N80" i="92"/>
  <c r="L80" i="92"/>
  <c r="V42" i="93"/>
  <c r="V32" i="93"/>
  <c r="V24" i="93"/>
  <c r="T19" i="93"/>
  <c r="Z12" i="93"/>
  <c r="V31" i="93"/>
  <c r="V23" i="93"/>
  <c r="V38" i="93"/>
  <c r="V34" i="93"/>
  <c r="V26" i="93"/>
  <c r="V22" i="93"/>
  <c r="V40" i="93"/>
  <c r="V33" i="93"/>
  <c r="V25" i="93"/>
  <c r="V17" i="93"/>
  <c r="V28" i="93"/>
  <c r="V16" i="93"/>
  <c r="V36" i="93"/>
  <c r="V21" i="93"/>
  <c r="V27" i="93"/>
  <c r="V30" i="93"/>
  <c r="V19" i="93"/>
  <c r="V29" i="93"/>
  <c r="V45" i="93"/>
  <c r="V57" i="94"/>
  <c r="X78" i="94"/>
  <c r="Z78" i="94" s="1"/>
  <c r="V55" i="91"/>
  <c r="V50" i="91"/>
  <c r="V48" i="91"/>
  <c r="V44" i="91"/>
  <c r="V32" i="91"/>
  <c r="V20" i="91"/>
  <c r="V38" i="91"/>
  <c r="V34" i="91"/>
  <c r="V52" i="91"/>
  <c r="V46" i="91"/>
  <c r="V40" i="91"/>
  <c r="V36" i="91"/>
  <c r="V28" i="91"/>
  <c r="V24" i="91"/>
  <c r="V39" i="91"/>
  <c r="Z34" i="92"/>
  <c r="L53" i="92"/>
  <c r="N53" i="92" s="1"/>
  <c r="X24" i="94"/>
  <c r="Z24" i="94" s="1"/>
  <c r="Z18" i="91"/>
  <c r="V25" i="91"/>
  <c r="V26" i="91"/>
  <c r="V27" i="91"/>
  <c r="L45" i="92"/>
  <c r="Z80" i="92"/>
  <c r="X80" i="92"/>
  <c r="V24" i="94"/>
  <c r="Z12" i="91"/>
  <c r="V18" i="91"/>
  <c r="V29" i="91"/>
  <c r="L36" i="91"/>
  <c r="Z15" i="92"/>
  <c r="N62" i="92"/>
  <c r="H38" i="93"/>
  <c r="N19" i="93"/>
  <c r="N29" i="93"/>
  <c r="L29" i="93"/>
  <c r="Z23" i="94"/>
  <c r="J90" i="95"/>
  <c r="J83" i="95"/>
  <c r="J73" i="95"/>
  <c r="J67" i="95"/>
  <c r="J63" i="95"/>
  <c r="J57" i="95"/>
  <c r="J49" i="95"/>
  <c r="J41" i="95"/>
  <c r="J37" i="95"/>
  <c r="J33" i="95"/>
  <c r="J25" i="95"/>
  <c r="J75" i="95"/>
  <c r="J71" i="95"/>
  <c r="J59" i="95"/>
  <c r="J51" i="95"/>
  <c r="J43" i="95"/>
  <c r="J35" i="95"/>
  <c r="J31" i="95"/>
  <c r="J23" i="95"/>
  <c r="J19" i="95"/>
  <c r="J70" i="95"/>
  <c r="J66" i="95"/>
  <c r="J62" i="95"/>
  <c r="J56" i="95"/>
  <c r="J87" i="95"/>
  <c r="J81" i="95"/>
  <c r="J50" i="95"/>
  <c r="J45" i="95"/>
  <c r="H21" i="95"/>
  <c r="J18" i="95"/>
  <c r="J64" i="95"/>
  <c r="J61" i="95"/>
  <c r="J53" i="95"/>
  <c r="J32" i="95"/>
  <c r="J74" i="95"/>
  <c r="J69" i="95"/>
  <c r="J68" i="95"/>
  <c r="J65" i="95"/>
  <c r="J60" i="95"/>
  <c r="J44" i="95"/>
  <c r="J17" i="95"/>
  <c r="J52" i="95"/>
  <c r="J40" i="95"/>
  <c r="J48" i="95"/>
  <c r="J85" i="95"/>
  <c r="J79" i="95"/>
  <c r="J78" i="95"/>
  <c r="J72" i="95"/>
  <c r="J77" i="95"/>
  <c r="J76" i="95"/>
  <c r="J54" i="95"/>
  <c r="J39" i="95"/>
  <c r="J42" i="95"/>
  <c r="J28" i="95"/>
  <c r="J55" i="95"/>
  <c r="J46" i="95"/>
  <c r="J36" i="95"/>
  <c r="J29" i="95"/>
  <c r="J47" i="95"/>
  <c r="J26" i="95"/>
  <c r="N12" i="95"/>
  <c r="J34" i="95"/>
  <c r="J21" i="95"/>
  <c r="J38" i="95"/>
  <c r="J24" i="95"/>
  <c r="H87" i="94"/>
  <c r="J87" i="94" s="1"/>
  <c r="X62" i="92"/>
  <c r="X66" i="92"/>
  <c r="Z66" i="92" s="1"/>
  <c r="V82" i="94"/>
  <c r="V89" i="94"/>
  <c r="V85" i="94"/>
  <c r="V70" i="94"/>
  <c r="V62" i="94"/>
  <c r="V54" i="94"/>
  <c r="V46" i="94"/>
  <c r="V34" i="94"/>
  <c r="V30" i="94"/>
  <c r="V77" i="94"/>
  <c r="V69" i="94"/>
  <c r="V53" i="94"/>
  <c r="V45" i="94"/>
  <c r="V29" i="94"/>
  <c r="V17" i="94"/>
  <c r="V76" i="94"/>
  <c r="V56" i="94"/>
  <c r="V48" i="94"/>
  <c r="V40" i="94"/>
  <c r="V36" i="94"/>
  <c r="V35" i="94"/>
  <c r="V32" i="94"/>
  <c r="V31" i="94"/>
  <c r="T21" i="94"/>
  <c r="V52" i="94"/>
  <c r="V51" i="94"/>
  <c r="V41" i="94"/>
  <c r="V37" i="94"/>
  <c r="V33" i="94"/>
  <c r="V23" i="94"/>
  <c r="V72" i="94"/>
  <c r="V71" i="94"/>
  <c r="V68" i="94"/>
  <c r="V67" i="94"/>
  <c r="V42" i="94"/>
  <c r="V38" i="94"/>
  <c r="V19" i="94"/>
  <c r="V18" i="94"/>
  <c r="V73" i="94"/>
  <c r="V64" i="94"/>
  <c r="V63" i="94"/>
  <c r="V60" i="94"/>
  <c r="V59" i="94"/>
  <c r="V49" i="94"/>
  <c r="V39" i="94"/>
  <c r="V81" i="94"/>
  <c r="V80" i="94"/>
  <c r="V74" i="94"/>
  <c r="V65" i="94"/>
  <c r="V61" i="94"/>
  <c r="V50" i="94"/>
  <c r="V47" i="94"/>
  <c r="V28" i="94"/>
  <c r="V27" i="94"/>
  <c r="V83" i="94"/>
  <c r="V66" i="94"/>
  <c r="V55" i="94"/>
  <c r="V44" i="94"/>
  <c r="V25" i="94"/>
  <c r="V79" i="94"/>
  <c r="V26" i="94"/>
  <c r="V78" i="94"/>
  <c r="V21" i="94"/>
  <c r="V43" i="94"/>
  <c r="J38" i="93"/>
  <c r="J28" i="93"/>
  <c r="J22" i="93"/>
  <c r="J33" i="93"/>
  <c r="J25" i="93"/>
  <c r="J30" i="93"/>
  <c r="J16" i="93"/>
  <c r="J45" i="93"/>
  <c r="J27" i="93"/>
  <c r="J36" i="93"/>
  <c r="J32" i="93"/>
  <c r="J24" i="93"/>
  <c r="N12" i="93"/>
  <c r="J17" i="93"/>
  <c r="L36" i="93"/>
  <c r="Z40" i="95"/>
  <c r="X40" i="95"/>
  <c r="J42" i="93"/>
  <c r="X14" i="94"/>
  <c r="Z14" i="94" s="1"/>
  <c r="J41" i="94"/>
  <c r="N62" i="94"/>
  <c r="X15" i="95"/>
  <c r="N58" i="95"/>
  <c r="L58" i="95"/>
  <c r="Z27" i="93"/>
  <c r="X27" i="93"/>
  <c r="P12" i="94"/>
  <c r="X13" i="94"/>
  <c r="N23" i="94"/>
  <c r="N43" i="94"/>
  <c r="L43" i="94"/>
  <c r="X16" i="93"/>
  <c r="Z13" i="94"/>
  <c r="D87" i="94"/>
  <c r="L21" i="94"/>
  <c r="N21" i="94" s="1"/>
  <c r="F38" i="95"/>
  <c r="F26" i="95"/>
  <c r="F72" i="95"/>
  <c r="F67" i="95"/>
  <c r="F63" i="95"/>
  <c r="F36" i="95"/>
  <c r="F32" i="95"/>
  <c r="F21" i="95"/>
  <c r="L12" i="95"/>
  <c r="F78" i="95"/>
  <c r="F75" i="95"/>
  <c r="F71" i="95"/>
  <c r="F59" i="95"/>
  <c r="F56" i="95"/>
  <c r="F46" i="95"/>
  <c r="F31" i="95"/>
  <c r="F30" i="95"/>
  <c r="F24" i="95"/>
  <c r="F19" i="95"/>
  <c r="F76" i="95"/>
  <c r="F54" i="95"/>
  <c r="F45" i="95"/>
  <c r="F42" i="95"/>
  <c r="F34" i="95"/>
  <c r="F33" i="95"/>
  <c r="D21" i="95"/>
  <c r="F18" i="95"/>
  <c r="F64" i="95"/>
  <c r="F62" i="95"/>
  <c r="F61" i="95"/>
  <c r="F53" i="95"/>
  <c r="F50" i="95"/>
  <c r="F41" i="95"/>
  <c r="F70" i="95"/>
  <c r="F69" i="95"/>
  <c r="F68" i="95"/>
  <c r="F66" i="95"/>
  <c r="F65" i="95"/>
  <c r="F49" i="95"/>
  <c r="F74" i="95"/>
  <c r="F60" i="95"/>
  <c r="F44" i="95"/>
  <c r="F73" i="95"/>
  <c r="F85" i="95"/>
  <c r="F58" i="95"/>
  <c r="F51" i="95"/>
  <c r="F25" i="95"/>
  <c r="F77" i="95"/>
  <c r="F52" i="95"/>
  <c r="F43" i="95"/>
  <c r="F40" i="95"/>
  <c r="F39" i="95"/>
  <c r="F23" i="95"/>
  <c r="F28" i="95"/>
  <c r="F79" i="95"/>
  <c r="F55" i="95"/>
  <c r="F37" i="95"/>
  <c r="F29" i="95"/>
  <c r="F17" i="95"/>
  <c r="F81" i="95"/>
  <c r="F47" i="95"/>
  <c r="F35" i="95"/>
  <c r="F57" i="95"/>
  <c r="F21" i="94"/>
  <c r="F32" i="94"/>
  <c r="F36" i="94"/>
  <c r="J43" i="94"/>
  <c r="F55" i="94"/>
  <c r="F56" i="94"/>
  <c r="L57" i="94"/>
  <c r="N57" i="94" s="1"/>
  <c r="J69" i="94"/>
  <c r="F70" i="94"/>
  <c r="J71" i="94"/>
  <c r="X82" i="94"/>
  <c r="F87" i="94"/>
  <c r="T12" i="95"/>
  <c r="R23" i="95"/>
  <c r="R33" i="95"/>
  <c r="R53" i="95"/>
  <c r="R74" i="95"/>
  <c r="P12" i="93"/>
  <c r="F23" i="94"/>
  <c r="J24" i="94"/>
  <c r="F31" i="94"/>
  <c r="J34" i="94"/>
  <c r="F35" i="94"/>
  <c r="F44" i="94"/>
  <c r="J53" i="94"/>
  <c r="F54" i="94"/>
  <c r="J56" i="94"/>
  <c r="F57" i="94"/>
  <c r="J70" i="94"/>
  <c r="L78" i="94"/>
  <c r="P21" i="95"/>
  <c r="Z23" i="95"/>
  <c r="R52" i="95"/>
  <c r="R67" i="95"/>
  <c r="X15" i="97"/>
  <c r="R15" i="97"/>
  <c r="J31" i="94"/>
  <c r="J35" i="94"/>
  <c r="F47" i="94"/>
  <c r="F48" i="94"/>
  <c r="J54" i="94"/>
  <c r="F59" i="94"/>
  <c r="F76" i="94"/>
  <c r="F77" i="94"/>
  <c r="F78" i="94"/>
  <c r="J79" i="94"/>
  <c r="Z82" i="94"/>
  <c r="R63" i="95"/>
  <c r="T20" i="96"/>
  <c r="X22" i="96"/>
  <c r="Z22" i="96" s="1"/>
  <c r="F82" i="94"/>
  <c r="F85" i="94"/>
  <c r="F83" i="94"/>
  <c r="F79" i="94"/>
  <c r="F75" i="94"/>
  <c r="F62" i="94"/>
  <c r="F39" i="94"/>
  <c r="F34" i="94"/>
  <c r="F74" i="94"/>
  <c r="F69" i="94"/>
  <c r="F66" i="94"/>
  <c r="F58" i="94"/>
  <c r="F53" i="94"/>
  <c r="F50" i="94"/>
  <c r="F45" i="94"/>
  <c r="F42" i="94"/>
  <c r="F38" i="94"/>
  <c r="F26" i="94"/>
  <c r="F17" i="94"/>
  <c r="F73" i="94"/>
  <c r="F65" i="94"/>
  <c r="F61" i="94"/>
  <c r="F37" i="94"/>
  <c r="F33" i="94"/>
  <c r="F25" i="94"/>
  <c r="F27" i="94"/>
  <c r="F28" i="94"/>
  <c r="F30" i="94"/>
  <c r="J45" i="94"/>
  <c r="F46" i="94"/>
  <c r="J48" i="94"/>
  <c r="F49" i="94"/>
  <c r="J57" i="94"/>
  <c r="F67" i="94"/>
  <c r="J75" i="94"/>
  <c r="J76" i="94"/>
  <c r="J77" i="94"/>
  <c r="N78" i="94"/>
  <c r="J82" i="94"/>
  <c r="J74" i="94"/>
  <c r="J66" i="94"/>
  <c r="J58" i="94"/>
  <c r="J50" i="94"/>
  <c r="J42" i="94"/>
  <c r="J38" i="94"/>
  <c r="J73" i="94"/>
  <c r="J65" i="94"/>
  <c r="J61" i="94"/>
  <c r="J55" i="94"/>
  <c r="J47" i="94"/>
  <c r="J37" i="94"/>
  <c r="J33" i="94"/>
  <c r="J25" i="94"/>
  <c r="J21" i="94"/>
  <c r="J89" i="94"/>
  <c r="J81" i="94"/>
  <c r="J78" i="94"/>
  <c r="J72" i="94"/>
  <c r="J68" i="94"/>
  <c r="J64" i="94"/>
  <c r="J60" i="94"/>
  <c r="J52" i="94"/>
  <c r="J44" i="94"/>
  <c r="J36" i="94"/>
  <c r="J32" i="94"/>
  <c r="N13" i="94"/>
  <c r="J23" i="94"/>
  <c r="J27" i="94"/>
  <c r="J28" i="94"/>
  <c r="F29" i="94"/>
  <c r="J30" i="94"/>
  <c r="F40" i="94"/>
  <c r="L41" i="94"/>
  <c r="N41" i="94" s="1"/>
  <c r="J46" i="94"/>
  <c r="N49" i="94"/>
  <c r="F51" i="94"/>
  <c r="J59" i="94"/>
  <c r="J80" i="94"/>
  <c r="F81" i="94"/>
  <c r="J83" i="94"/>
  <c r="R31" i="95"/>
  <c r="R61" i="95"/>
  <c r="R65" i="95"/>
  <c r="X47" i="94"/>
  <c r="Z47" i="94" s="1"/>
  <c r="J49" i="94"/>
  <c r="Z55" i="94"/>
  <c r="F60" i="94"/>
  <c r="F64" i="94"/>
  <c r="J67" i="94"/>
  <c r="N14" i="95"/>
  <c r="L14" i="95"/>
  <c r="R81" i="95"/>
  <c r="R70" i="95"/>
  <c r="R66" i="95"/>
  <c r="R62" i="95"/>
  <c r="R30" i="95"/>
  <c r="R68" i="95"/>
  <c r="R64" i="95"/>
  <c r="R28" i="95"/>
  <c r="R17" i="95"/>
  <c r="R85" i="95"/>
  <c r="R79" i="95"/>
  <c r="R76" i="95"/>
  <c r="R60" i="95"/>
  <c r="R55" i="95"/>
  <c r="R49" i="95"/>
  <c r="R40" i="95"/>
  <c r="R48" i="95"/>
  <c r="X12" i="95"/>
  <c r="R78" i="95"/>
  <c r="R73" i="95"/>
  <c r="R72" i="95"/>
  <c r="R71" i="95"/>
  <c r="R59" i="95"/>
  <c r="R58" i="95"/>
  <c r="R47" i="95"/>
  <c r="R43" i="95"/>
  <c r="R39" i="95"/>
  <c r="R27" i="95"/>
  <c r="R25" i="95"/>
  <c r="R77" i="95"/>
  <c r="R51" i="95"/>
  <c r="R46" i="95"/>
  <c r="R42" i="95"/>
  <c r="R38" i="95"/>
  <c r="R37" i="95"/>
  <c r="R36" i="95"/>
  <c r="R35" i="95"/>
  <c r="R34" i="95"/>
  <c r="R26" i="95"/>
  <c r="R24" i="95"/>
  <c r="R21" i="95"/>
  <c r="R57" i="95"/>
  <c r="R56" i="95"/>
  <c r="R54" i="95"/>
  <c r="R50" i="95"/>
  <c r="R29" i="95"/>
  <c r="N23" i="95"/>
  <c r="R41" i="95"/>
  <c r="R45" i="95"/>
  <c r="L48" i="95"/>
  <c r="Z63" i="95"/>
  <c r="T24" i="96"/>
  <c r="T12" i="97"/>
  <c r="H64" i="97"/>
  <c r="J64" i="97" s="1"/>
  <c r="J17" i="97"/>
  <c r="F34" i="100"/>
  <c r="F31" i="100"/>
  <c r="F27" i="100"/>
  <c r="F24" i="100"/>
  <c r="F21" i="100"/>
  <c r="F18" i="100"/>
  <c r="F36" i="100"/>
  <c r="F33" i="100"/>
  <c r="F29" i="100"/>
  <c r="F25" i="100"/>
  <c r="D18" i="100"/>
  <c r="F15" i="100"/>
  <c r="L12" i="100"/>
  <c r="F22" i="100"/>
  <c r="F16" i="100"/>
  <c r="F20" i="100"/>
  <c r="X15" i="100"/>
  <c r="P18" i="100"/>
  <c r="Z56" i="95"/>
  <c r="D20" i="96"/>
  <c r="L20" i="96" s="1"/>
  <c r="N20" i="96" s="1"/>
  <c r="L22" i="96"/>
  <c r="X13" i="97"/>
  <c r="Z13" i="97" s="1"/>
  <c r="X81" i="95"/>
  <c r="H24" i="96"/>
  <c r="N16" i="96"/>
  <c r="L85" i="94"/>
  <c r="L24" i="95"/>
  <c r="N24" i="95" s="1"/>
  <c r="L56" i="95"/>
  <c r="N56" i="95" s="1"/>
  <c r="N22" i="96"/>
  <c r="L81" i="95"/>
  <c r="X21" i="96"/>
  <c r="Z21" i="96" s="1"/>
  <c r="P20" i="96"/>
  <c r="X20" i="96" s="1"/>
  <c r="R25" i="97"/>
  <c r="R26" i="97"/>
  <c r="R27" i="97"/>
  <c r="R30" i="97"/>
  <c r="R31" i="97"/>
  <c r="R36" i="97"/>
  <c r="X37" i="97"/>
  <c r="Z39" i="97"/>
  <c r="L44" i="97"/>
  <c r="N44" i="97" s="1"/>
  <c r="F47" i="97"/>
  <c r="J49" i="97"/>
  <c r="J50" i="97"/>
  <c r="X58" i="97"/>
  <c r="Z22" i="100"/>
  <c r="X22" i="100"/>
  <c r="F57" i="97"/>
  <c r="F49" i="97"/>
  <c r="F44" i="97"/>
  <c r="F33" i="97"/>
  <c r="F61" i="97"/>
  <c r="F59" i="97"/>
  <c r="F46" i="97"/>
  <c r="F43" i="97"/>
  <c r="F31" i="97"/>
  <c r="F27" i="97"/>
  <c r="F53" i="97"/>
  <c r="F42" i="97"/>
  <c r="F37" i="97"/>
  <c r="F66" i="97"/>
  <c r="F52" i="97"/>
  <c r="F39" i="97"/>
  <c r="F36" i="97"/>
  <c r="F22" i="97"/>
  <c r="F34" i="97"/>
  <c r="F45" i="97"/>
  <c r="J54" i="97"/>
  <c r="R56" i="97"/>
  <c r="F14" i="96"/>
  <c r="F18" i="96"/>
  <c r="J22" i="96"/>
  <c r="R24" i="96"/>
  <c r="J28" i="96"/>
  <c r="R31" i="96"/>
  <c r="J46" i="97"/>
  <c r="J40" i="97"/>
  <c r="J59" i="97"/>
  <c r="J53" i="97"/>
  <c r="J62" i="97"/>
  <c r="J56" i="97"/>
  <c r="J48" i="97"/>
  <c r="J42" i="97"/>
  <c r="J45" i="97"/>
  <c r="J39" i="97"/>
  <c r="J55" i="97"/>
  <c r="J51" i="97"/>
  <c r="J47" i="97"/>
  <c r="J41" i="97"/>
  <c r="J35" i="97"/>
  <c r="R20" i="97"/>
  <c r="J22" i="97"/>
  <c r="F23" i="97"/>
  <c r="J33" i="97"/>
  <c r="J34" i="97"/>
  <c r="F41" i="97"/>
  <c r="J43" i="97"/>
  <c r="J44" i="97"/>
  <c r="D18" i="99"/>
  <c r="L12" i="96"/>
  <c r="P16" i="96"/>
  <c r="F21" i="96"/>
  <c r="R26" i="96"/>
  <c r="L12" i="97"/>
  <c r="F15" i="97"/>
  <c r="J23" i="97"/>
  <c r="F24" i="97"/>
  <c r="F29" i="97"/>
  <c r="F32" i="97"/>
  <c r="F40" i="97"/>
  <c r="R49" i="97"/>
  <c r="F62" i="97"/>
  <c r="R21" i="98"/>
  <c r="R18" i="98"/>
  <c r="R36" i="98"/>
  <c r="R33" i="98"/>
  <c r="R29" i="98"/>
  <c r="R25" i="98"/>
  <c r="P18" i="98"/>
  <c r="R15" i="98"/>
  <c r="R22" i="98"/>
  <c r="R20" i="98"/>
  <c r="R16" i="98"/>
  <c r="R31" i="98"/>
  <c r="N20" i="100"/>
  <c r="L20" i="100"/>
  <c r="N12" i="96"/>
  <c r="J14" i="96"/>
  <c r="Z14" i="96"/>
  <c r="R16" i="96"/>
  <c r="J18" i="96"/>
  <c r="R20" i="96"/>
  <c r="F24" i="96"/>
  <c r="V24" i="96"/>
  <c r="V26" i="96"/>
  <c r="F31" i="96"/>
  <c r="V31" i="96"/>
  <c r="N12" i="97"/>
  <c r="P17" i="97"/>
  <c r="F19" i="97"/>
  <c r="R19" i="97"/>
  <c r="F20" i="97"/>
  <c r="R21" i="97"/>
  <c r="J24" i="97"/>
  <c r="F25" i="97"/>
  <c r="F26" i="97"/>
  <c r="F28" i="97"/>
  <c r="J29" i="97"/>
  <c r="F30" i="97"/>
  <c r="J32" i="97"/>
  <c r="F38" i="97"/>
  <c r="L41" i="97"/>
  <c r="R46" i="97"/>
  <c r="J52" i="97"/>
  <c r="F58" i="97"/>
  <c r="J61" i="97"/>
  <c r="R24" i="98"/>
  <c r="L13" i="99"/>
  <c r="X15" i="99"/>
  <c r="T18" i="99"/>
  <c r="N22" i="99"/>
  <c r="L22" i="99"/>
  <c r="L34" i="100"/>
  <c r="D16" i="96"/>
  <c r="J21" i="96"/>
  <c r="R58" i="97"/>
  <c r="R45" i="97"/>
  <c r="R66" i="97"/>
  <c r="R52" i="97"/>
  <c r="R55" i="97"/>
  <c r="R51" i="97"/>
  <c r="R47" i="97"/>
  <c r="R44" i="97"/>
  <c r="R35" i="97"/>
  <c r="R61" i="97"/>
  <c r="R54" i="97"/>
  <c r="R50" i="97"/>
  <c r="R38" i="97"/>
  <c r="R34" i="97"/>
  <c r="R53" i="97"/>
  <c r="R40" i="97"/>
  <c r="R37" i="97"/>
  <c r="R32" i="97"/>
  <c r="R28" i="97"/>
  <c r="J15" i="97"/>
  <c r="R17" i="97"/>
  <c r="R22" i="97"/>
  <c r="J25" i="97"/>
  <c r="J26" i="97"/>
  <c r="J27" i="97"/>
  <c r="J28" i="97"/>
  <c r="J31" i="97"/>
  <c r="R33" i="97"/>
  <c r="J36" i="97"/>
  <c r="J38" i="97"/>
  <c r="R42" i="97"/>
  <c r="R43" i="97"/>
  <c r="F56" i="97"/>
  <c r="J57" i="97"/>
  <c r="Z24" i="98"/>
  <c r="X24" i="98"/>
  <c r="F16" i="96"/>
  <c r="V16" i="96"/>
  <c r="R22" i="96"/>
  <c r="J24" i="96"/>
  <c r="D17" i="97"/>
  <c r="J20" i="97"/>
  <c r="R23" i="97"/>
  <c r="J30" i="97"/>
  <c r="J37" i="97"/>
  <c r="R41" i="97"/>
  <c r="F51" i="97"/>
  <c r="Z53" i="97"/>
  <c r="F55" i="97"/>
  <c r="J58" i="97"/>
  <c r="J34" i="99"/>
  <c r="J31" i="99"/>
  <c r="J27" i="99"/>
  <c r="J24" i="99"/>
  <c r="J21" i="99"/>
  <c r="J18" i="99"/>
  <c r="J36" i="99"/>
  <c r="J33" i="99"/>
  <c r="J29" i="99"/>
  <c r="J25" i="99"/>
  <c r="H18" i="99"/>
  <c r="J15" i="99"/>
  <c r="J22" i="99"/>
  <c r="N12" i="99"/>
  <c r="N16" i="100"/>
  <c r="L16" i="100"/>
  <c r="J18" i="98"/>
  <c r="F24" i="98"/>
  <c r="V24" i="98"/>
  <c r="F18" i="99"/>
  <c r="V18" i="99"/>
  <c r="R24" i="99"/>
  <c r="J16" i="100"/>
  <c r="J20" i="100"/>
  <c r="V22" i="100"/>
  <c r="R27" i="99"/>
  <c r="R31" i="99"/>
  <c r="R34" i="99"/>
  <c r="V25" i="100"/>
  <c r="V29" i="100"/>
  <c r="V33" i="100"/>
  <c r="V36" i="100"/>
  <c r="Z12" i="98"/>
  <c r="F16" i="98"/>
  <c r="V16" i="98"/>
  <c r="F20" i="98"/>
  <c r="V20" i="98"/>
  <c r="J24" i="98"/>
  <c r="R16" i="99"/>
  <c r="R20" i="99"/>
  <c r="F24" i="99"/>
  <c r="V24" i="99"/>
  <c r="N12" i="100"/>
  <c r="V18" i="100"/>
  <c r="J22" i="100"/>
  <c r="R24" i="100"/>
  <c r="J27" i="98"/>
  <c r="J31" i="98"/>
  <c r="J34" i="98"/>
  <c r="X12" i="99"/>
  <c r="F27" i="99"/>
  <c r="V27" i="99"/>
  <c r="F31" i="99"/>
  <c r="V31" i="99"/>
  <c r="J15" i="100"/>
  <c r="H18" i="100"/>
  <c r="V21" i="100"/>
  <c r="J25" i="100"/>
  <c r="R27" i="100"/>
  <c r="J29" i="100"/>
  <c r="R31" i="100"/>
  <c r="J33" i="100"/>
  <c r="J36" i="100"/>
  <c r="J16" i="98"/>
  <c r="R22" i="99"/>
  <c r="J18" i="100"/>
  <c r="V24" i="100"/>
  <c r="L12" i="98"/>
  <c r="F15" i="98"/>
  <c r="V15" i="98"/>
  <c r="D18" i="98"/>
  <c r="T18" i="98"/>
  <c r="F25" i="98"/>
  <c r="V25" i="98"/>
  <c r="F29" i="98"/>
  <c r="V29" i="98"/>
  <c r="F33" i="98"/>
  <c r="V33" i="98"/>
  <c r="R15" i="99"/>
  <c r="P18" i="99"/>
  <c r="R25" i="99"/>
  <c r="R29" i="99"/>
  <c r="R33" i="99"/>
  <c r="X12" i="100"/>
  <c r="V27" i="100"/>
  <c r="V31" i="100"/>
  <c r="N18" i="7" l="1"/>
  <c r="L18" i="43"/>
  <c r="Z27" i="49"/>
  <c r="T27" i="50"/>
  <c r="T31" i="50" s="1"/>
  <c r="T27" i="5"/>
  <c r="L18" i="49"/>
  <c r="T27" i="4"/>
  <c r="Z27" i="4" s="1"/>
  <c r="L18" i="5"/>
  <c r="Z18" i="100"/>
  <c r="D27" i="43"/>
  <c r="N18" i="43"/>
  <c r="L18" i="7"/>
  <c r="T27" i="32"/>
  <c r="Z31" i="100"/>
  <c r="Z27" i="100"/>
  <c r="X18" i="29"/>
  <c r="N18" i="11"/>
  <c r="L18" i="40"/>
  <c r="L18" i="32"/>
  <c r="N18" i="98"/>
  <c r="X18" i="26"/>
  <c r="N18" i="41"/>
  <c r="Z18" i="11"/>
  <c r="Z18" i="8"/>
  <c r="Z18" i="19"/>
  <c r="Z27" i="19"/>
  <c r="L18" i="14"/>
  <c r="N18" i="14"/>
  <c r="Z27" i="7"/>
  <c r="L18" i="10"/>
  <c r="Z18" i="49"/>
  <c r="L18" i="11"/>
  <c r="X18" i="5"/>
  <c r="Z18" i="35"/>
  <c r="N18" i="33"/>
  <c r="Z18" i="7"/>
  <c r="N18" i="10"/>
  <c r="X27" i="19"/>
  <c r="X18" i="4"/>
  <c r="P27" i="4"/>
  <c r="X18" i="19"/>
  <c r="Z18" i="20"/>
  <c r="H27" i="27"/>
  <c r="N18" i="27"/>
  <c r="N18" i="23"/>
  <c r="X18" i="8"/>
  <c r="P27" i="8"/>
  <c r="P31" i="8" s="1"/>
  <c r="P36" i="8" s="1"/>
  <c r="N27" i="43"/>
  <c r="H31" i="43"/>
  <c r="L18" i="100"/>
  <c r="D27" i="100"/>
  <c r="L16" i="91"/>
  <c r="D48" i="91"/>
  <c r="T60" i="59"/>
  <c r="R98" i="51"/>
  <c r="R91" i="51"/>
  <c r="R87" i="51"/>
  <c r="R84" i="51"/>
  <c r="R79" i="51"/>
  <c r="R59" i="51"/>
  <c r="R47" i="51"/>
  <c r="R39" i="51"/>
  <c r="R101" i="51"/>
  <c r="R94" i="51"/>
  <c r="R90" i="51"/>
  <c r="R78" i="51"/>
  <c r="R75" i="51"/>
  <c r="R70" i="51"/>
  <c r="R58" i="51"/>
  <c r="R46" i="51"/>
  <c r="R38" i="51"/>
  <c r="R89" i="51"/>
  <c r="R86" i="51"/>
  <c r="R81" i="51"/>
  <c r="R69" i="51"/>
  <c r="R57" i="51"/>
  <c r="R45" i="51"/>
  <c r="R37" i="51"/>
  <c r="R99" i="51"/>
  <c r="R96" i="51"/>
  <c r="R93" i="51"/>
  <c r="R77" i="51"/>
  <c r="R72" i="51"/>
  <c r="R68" i="51"/>
  <c r="R64" i="51"/>
  <c r="R56" i="51"/>
  <c r="R54" i="51"/>
  <c r="P52" i="51"/>
  <c r="R52" i="51" s="1"/>
  <c r="R44" i="51"/>
  <c r="X12" i="51"/>
  <c r="R105" i="51"/>
  <c r="R88" i="51"/>
  <c r="R83" i="51"/>
  <c r="R80" i="51"/>
  <c r="R67" i="51"/>
  <c r="R63" i="51"/>
  <c r="R43" i="51"/>
  <c r="R36" i="51"/>
  <c r="R95" i="51"/>
  <c r="R74" i="51"/>
  <c r="R71" i="51"/>
  <c r="R66" i="51"/>
  <c r="R62" i="51"/>
  <c r="R55" i="51"/>
  <c r="R50" i="51"/>
  <c r="R42" i="51"/>
  <c r="R100" i="51"/>
  <c r="R85" i="51"/>
  <c r="R82" i="51"/>
  <c r="R61" i="51"/>
  <c r="R49" i="51"/>
  <c r="R41" i="51"/>
  <c r="R92" i="51"/>
  <c r="R40" i="51"/>
  <c r="R48" i="51"/>
  <c r="R76" i="51"/>
  <c r="R73" i="51"/>
  <c r="R60" i="51"/>
  <c r="R65" i="51"/>
  <c r="N18" i="46"/>
  <c r="H27" i="46"/>
  <c r="H31" i="33"/>
  <c r="N27" i="33"/>
  <c r="Z217" i="15"/>
  <c r="D27" i="98"/>
  <c r="L18" i="98"/>
  <c r="N18" i="100"/>
  <c r="H27" i="100"/>
  <c r="X18" i="100"/>
  <c r="P27" i="100"/>
  <c r="T28" i="96"/>
  <c r="P83" i="95"/>
  <c r="T47" i="90"/>
  <c r="X29" i="88"/>
  <c r="X16" i="82"/>
  <c r="P35" i="82"/>
  <c r="D39" i="82"/>
  <c r="L35" i="82"/>
  <c r="T85" i="85"/>
  <c r="P84" i="79"/>
  <c r="X20" i="79"/>
  <c r="H110" i="77"/>
  <c r="F81" i="70"/>
  <c r="F75" i="70"/>
  <c r="F56" i="70"/>
  <c r="F51" i="70"/>
  <c r="F48" i="70"/>
  <c r="F44" i="70"/>
  <c r="F40" i="70"/>
  <c r="F85" i="70"/>
  <c r="F66" i="70"/>
  <c r="F63" i="70"/>
  <c r="F59" i="70"/>
  <c r="F43" i="70"/>
  <c r="F39" i="70"/>
  <c r="F77" i="70"/>
  <c r="F74" i="70"/>
  <c r="F62" i="70"/>
  <c r="F53" i="70"/>
  <c r="F50" i="70"/>
  <c r="F38" i="70"/>
  <c r="F33" i="70"/>
  <c r="F32" i="70"/>
  <c r="F73" i="70"/>
  <c r="F68" i="70"/>
  <c r="F65" i="70"/>
  <c r="F61" i="70"/>
  <c r="F37" i="70"/>
  <c r="F76" i="70"/>
  <c r="F72" i="70"/>
  <c r="F55" i="70"/>
  <c r="F52" i="70"/>
  <c r="F47" i="70"/>
  <c r="F36" i="70"/>
  <c r="F27" i="70"/>
  <c r="F80" i="70"/>
  <c r="F71" i="70"/>
  <c r="F67" i="70"/>
  <c r="F58" i="70"/>
  <c r="F42" i="70"/>
  <c r="F35" i="70"/>
  <c r="F78" i="70"/>
  <c r="F70" i="70"/>
  <c r="F54" i="70"/>
  <c r="F49" i="70"/>
  <c r="F46" i="70"/>
  <c r="F34" i="70"/>
  <c r="F41" i="70"/>
  <c r="F60" i="70"/>
  <c r="F45" i="70"/>
  <c r="F28" i="70"/>
  <c r="F64" i="70"/>
  <c r="F30" i="70"/>
  <c r="F69" i="70"/>
  <c r="F57" i="70"/>
  <c r="D30" i="70"/>
  <c r="L12" i="70"/>
  <c r="P103" i="71"/>
  <c r="N80" i="70"/>
  <c r="D60" i="59"/>
  <c r="F116" i="66"/>
  <c r="F107" i="66"/>
  <c r="F94" i="66"/>
  <c r="F91" i="66"/>
  <c r="F110" i="66"/>
  <c r="F90" i="66"/>
  <c r="F85" i="66"/>
  <c r="F78" i="66"/>
  <c r="F114" i="66"/>
  <c r="F100" i="66"/>
  <c r="F96" i="66"/>
  <c r="F93" i="66"/>
  <c r="F81" i="66"/>
  <c r="F77" i="66"/>
  <c r="F72" i="66"/>
  <c r="F65" i="66"/>
  <c r="F53" i="66"/>
  <c r="F45" i="66"/>
  <c r="F40" i="66"/>
  <c r="F117" i="66"/>
  <c r="F112" i="66"/>
  <c r="F103" i="66"/>
  <c r="F87" i="66"/>
  <c r="F84" i="66"/>
  <c r="F121" i="66"/>
  <c r="F106" i="66"/>
  <c r="F99" i="66"/>
  <c r="F95" i="66"/>
  <c r="F83" i="66"/>
  <c r="F75" i="66"/>
  <c r="F71" i="66"/>
  <c r="F63" i="66"/>
  <c r="F51" i="66"/>
  <c r="F43" i="66"/>
  <c r="F115" i="66"/>
  <c r="F109" i="66"/>
  <c r="F102" i="66"/>
  <c r="F98" i="66"/>
  <c r="F89" i="66"/>
  <c r="F86" i="66"/>
  <c r="F74" i="66"/>
  <c r="F70" i="66"/>
  <c r="F50" i="66"/>
  <c r="F42" i="66"/>
  <c r="F105" i="66"/>
  <c r="F101" i="66"/>
  <c r="F97" i="66"/>
  <c r="F92" i="66"/>
  <c r="F80" i="66"/>
  <c r="F73" i="66"/>
  <c r="F69" i="66"/>
  <c r="D59" i="66"/>
  <c r="F57" i="66"/>
  <c r="F49" i="66"/>
  <c r="F41" i="66"/>
  <c r="F108" i="66"/>
  <c r="F68" i="66"/>
  <c r="F67" i="66"/>
  <c r="F52" i="66"/>
  <c r="F46" i="66"/>
  <c r="F62" i="66"/>
  <c r="F82" i="66"/>
  <c r="F64" i="66"/>
  <c r="F48" i="66"/>
  <c r="F47" i="66"/>
  <c r="F88" i="66"/>
  <c r="F54" i="66"/>
  <c r="F111" i="66"/>
  <c r="F61" i="66"/>
  <c r="F44" i="66"/>
  <c r="F79" i="66"/>
  <c r="F76" i="66"/>
  <c r="F66" i="66"/>
  <c r="L12" i="66"/>
  <c r="F56" i="66"/>
  <c r="F104" i="66"/>
  <c r="F55" i="66"/>
  <c r="X18" i="50"/>
  <c r="P27" i="50"/>
  <c r="P22" i="54"/>
  <c r="X16" i="54"/>
  <c r="N18" i="52"/>
  <c r="H27" i="52"/>
  <c r="T62" i="57"/>
  <c r="Z16" i="57"/>
  <c r="T27" i="53"/>
  <c r="X27" i="53" s="1"/>
  <c r="Z18" i="53"/>
  <c r="D71" i="56"/>
  <c r="T27" i="41"/>
  <c r="Z18" i="41"/>
  <c r="D31" i="54"/>
  <c r="J59" i="48"/>
  <c r="J53" i="48"/>
  <c r="J43" i="48"/>
  <c r="J37" i="48"/>
  <c r="J31" i="48"/>
  <c r="J27" i="48"/>
  <c r="J62" i="48"/>
  <c r="J56" i="48"/>
  <c r="J48" i="48"/>
  <c r="J42" i="48"/>
  <c r="J26" i="48"/>
  <c r="J20" i="48"/>
  <c r="J45" i="48"/>
  <c r="J39" i="48"/>
  <c r="J25" i="48"/>
  <c r="J15" i="48"/>
  <c r="J66" i="48"/>
  <c r="J58" i="48"/>
  <c r="J52" i="48"/>
  <c r="J36" i="48"/>
  <c r="J30" i="48"/>
  <c r="J24" i="48"/>
  <c r="J55" i="48"/>
  <c r="J51" i="48"/>
  <c r="J47" i="48"/>
  <c r="J41" i="48"/>
  <c r="J35" i="48"/>
  <c r="J23" i="48"/>
  <c r="J54" i="48"/>
  <c r="J50" i="48"/>
  <c r="J44" i="48"/>
  <c r="J38" i="48"/>
  <c r="J34" i="48"/>
  <c r="J22" i="48"/>
  <c r="J61" i="48"/>
  <c r="J57" i="48"/>
  <c r="J49" i="48"/>
  <c r="J33" i="48"/>
  <c r="J29" i="48"/>
  <c r="J21" i="48"/>
  <c r="H17" i="48"/>
  <c r="J17" i="48" s="1"/>
  <c r="J19" i="48"/>
  <c r="J46" i="48"/>
  <c r="J40" i="48"/>
  <c r="J28" i="48"/>
  <c r="J32" i="48"/>
  <c r="N18" i="35"/>
  <c r="H27" i="35"/>
  <c r="L27" i="35" s="1"/>
  <c r="L18" i="35"/>
  <c r="H31" i="41"/>
  <c r="N27" i="41"/>
  <c r="P27" i="32"/>
  <c r="X18" i="32"/>
  <c r="J160" i="34"/>
  <c r="J150" i="34"/>
  <c r="J146" i="34"/>
  <c r="J142" i="34"/>
  <c r="J138" i="34"/>
  <c r="J134" i="34"/>
  <c r="J128" i="34"/>
  <c r="J122" i="34"/>
  <c r="J116" i="34"/>
  <c r="J110" i="34"/>
  <c r="J94" i="34"/>
  <c r="J82" i="34"/>
  <c r="J74" i="34"/>
  <c r="J66" i="34"/>
  <c r="J165" i="34"/>
  <c r="J157" i="34"/>
  <c r="J149" i="34"/>
  <c r="J145" i="34"/>
  <c r="J141" i="34"/>
  <c r="J137" i="34"/>
  <c r="J133" i="34"/>
  <c r="J113" i="34"/>
  <c r="J107" i="34"/>
  <c r="J93" i="34"/>
  <c r="J81" i="34"/>
  <c r="J73" i="34"/>
  <c r="J65" i="34"/>
  <c r="J154" i="34"/>
  <c r="J148" i="34"/>
  <c r="J140" i="34"/>
  <c r="J130" i="34"/>
  <c r="J124" i="34"/>
  <c r="J118" i="34"/>
  <c r="J112" i="34"/>
  <c r="J104" i="34"/>
  <c r="J98" i="34"/>
  <c r="J92" i="34"/>
  <c r="J80" i="34"/>
  <c r="J72" i="34"/>
  <c r="J64" i="34"/>
  <c r="J58" i="34"/>
  <c r="J166" i="34"/>
  <c r="J156" i="34"/>
  <c r="J161" i="34"/>
  <c r="J153" i="34"/>
  <c r="J147" i="34"/>
  <c r="J139" i="34"/>
  <c r="J129" i="34"/>
  <c r="J123" i="34"/>
  <c r="J117" i="34"/>
  <c r="J111" i="34"/>
  <c r="J101" i="34"/>
  <c r="J97" i="34"/>
  <c r="H86" i="34"/>
  <c r="J77" i="34"/>
  <c r="J69" i="34"/>
  <c r="J61" i="34"/>
  <c r="J135" i="34"/>
  <c r="J126" i="34"/>
  <c r="J106" i="34"/>
  <c r="J99" i="34"/>
  <c r="J76" i="34"/>
  <c r="J75" i="34"/>
  <c r="J70" i="34"/>
  <c r="J60" i="34"/>
  <c r="J100" i="34"/>
  <c r="J59" i="34"/>
  <c r="J155" i="34"/>
  <c r="J132" i="34"/>
  <c r="J127" i="34"/>
  <c r="J109" i="34"/>
  <c r="J108" i="34"/>
  <c r="J89" i="34"/>
  <c r="J71" i="34"/>
  <c r="J115" i="34"/>
  <c r="J114" i="34"/>
  <c r="J90" i="34"/>
  <c r="J78" i="34"/>
  <c r="J62" i="34"/>
  <c r="J170" i="34"/>
  <c r="J144" i="34"/>
  <c r="J131" i="34"/>
  <c r="J102" i="34"/>
  <c r="J88" i="34"/>
  <c r="J86" i="34"/>
  <c r="J84" i="34"/>
  <c r="J164" i="34"/>
  <c r="J152" i="34"/>
  <c r="J121" i="34"/>
  <c r="J120" i="34"/>
  <c r="J103" i="34"/>
  <c r="J96" i="34"/>
  <c r="J159" i="34"/>
  <c r="J125" i="34"/>
  <c r="J105" i="34"/>
  <c r="J79" i="34"/>
  <c r="J151" i="34"/>
  <c r="J91" i="34"/>
  <c r="J136" i="34"/>
  <c r="J119" i="34"/>
  <c r="J67" i="34"/>
  <c r="J163" i="34"/>
  <c r="J63" i="34"/>
  <c r="J158" i="34"/>
  <c r="J68" i="34"/>
  <c r="J83" i="34"/>
  <c r="J143" i="34"/>
  <c r="J95" i="34"/>
  <c r="H27" i="30"/>
  <c r="N18" i="30"/>
  <c r="H27" i="22"/>
  <c r="L27" i="22" s="1"/>
  <c r="N18" i="22"/>
  <c r="L18" i="22"/>
  <c r="H27" i="29"/>
  <c r="N18" i="29"/>
  <c r="P27" i="24"/>
  <c r="X18" i="24"/>
  <c r="L160" i="28"/>
  <c r="R97" i="21"/>
  <c r="R87" i="21"/>
  <c r="R83" i="21"/>
  <c r="R71" i="21"/>
  <c r="R56" i="21"/>
  <c r="R51" i="21"/>
  <c r="R47" i="21"/>
  <c r="R35" i="21"/>
  <c r="R82" i="21"/>
  <c r="R78" i="21"/>
  <c r="R70" i="21"/>
  <c r="R67" i="21"/>
  <c r="R62" i="21"/>
  <c r="R59" i="21"/>
  <c r="R46" i="21"/>
  <c r="R42" i="21"/>
  <c r="R34" i="21"/>
  <c r="R32" i="21"/>
  <c r="P30" i="21"/>
  <c r="R89" i="21"/>
  <c r="R86" i="21"/>
  <c r="R81" i="21"/>
  <c r="R77" i="21"/>
  <c r="R73" i="21"/>
  <c r="R53" i="21"/>
  <c r="R50" i="21"/>
  <c r="R45" i="21"/>
  <c r="R41" i="21"/>
  <c r="R93" i="21"/>
  <c r="R80" i="21"/>
  <c r="R76" i="21"/>
  <c r="R69" i="21"/>
  <c r="R64" i="21"/>
  <c r="R61" i="21"/>
  <c r="R44" i="21"/>
  <c r="R40" i="21"/>
  <c r="R33" i="21"/>
  <c r="R28" i="21"/>
  <c r="X12" i="21"/>
  <c r="R91" i="21"/>
  <c r="R88" i="21"/>
  <c r="R75" i="21"/>
  <c r="R72" i="21"/>
  <c r="R55" i="21"/>
  <c r="R52" i="21"/>
  <c r="R39" i="21"/>
  <c r="R27" i="21"/>
  <c r="R79" i="21"/>
  <c r="R66" i="21"/>
  <c r="R63" i="21"/>
  <c r="R58" i="21"/>
  <c r="R43" i="21"/>
  <c r="R38" i="21"/>
  <c r="R26" i="21"/>
  <c r="R90" i="21"/>
  <c r="R85" i="21"/>
  <c r="R74" i="21"/>
  <c r="R57" i="21"/>
  <c r="R54" i="21"/>
  <c r="R49" i="21"/>
  <c r="R37" i="21"/>
  <c r="R25" i="21"/>
  <c r="R84" i="21"/>
  <c r="R68" i="21"/>
  <c r="R65" i="21"/>
  <c r="R60" i="21"/>
  <c r="R48" i="21"/>
  <c r="R36" i="21"/>
  <c r="R163" i="28"/>
  <c r="R156" i="28"/>
  <c r="R153" i="28"/>
  <c r="R141" i="28"/>
  <c r="R137" i="28"/>
  <c r="R124" i="28"/>
  <c r="R121" i="28"/>
  <c r="R109" i="28"/>
  <c r="R104" i="28"/>
  <c r="R100" i="28"/>
  <c r="R88" i="28"/>
  <c r="R86" i="28"/>
  <c r="P84" i="28"/>
  <c r="R76" i="28"/>
  <c r="R68" i="28"/>
  <c r="R60" i="28"/>
  <c r="X12" i="28"/>
  <c r="Z12" i="28" s="1"/>
  <c r="R144" i="28"/>
  <c r="R127" i="28"/>
  <c r="R115" i="28"/>
  <c r="R112" i="28"/>
  <c r="R99" i="28"/>
  <c r="R95" i="28"/>
  <c r="R75" i="28"/>
  <c r="R67" i="28"/>
  <c r="R59" i="28"/>
  <c r="R161" i="28"/>
  <c r="R158" i="28"/>
  <c r="R155" i="28"/>
  <c r="R150" i="28"/>
  <c r="R123" i="28"/>
  <c r="R118" i="28"/>
  <c r="R106" i="28"/>
  <c r="R103" i="28"/>
  <c r="R98" i="28"/>
  <c r="R94" i="28"/>
  <c r="R87" i="28"/>
  <c r="R82" i="28"/>
  <c r="R74" i="28"/>
  <c r="R167" i="28"/>
  <c r="R149" i="28"/>
  <c r="R133" i="28"/>
  <c r="R129" i="28"/>
  <c r="R126" i="28"/>
  <c r="R117" i="28"/>
  <c r="R114" i="28"/>
  <c r="R97" i="28"/>
  <c r="R93" i="28"/>
  <c r="R81" i="28"/>
  <c r="R73" i="28"/>
  <c r="R65" i="28"/>
  <c r="R57" i="28"/>
  <c r="R157" i="28"/>
  <c r="R152" i="28"/>
  <c r="R148" i="28"/>
  <c r="R140" i="28"/>
  <c r="R136" i="28"/>
  <c r="R132" i="28"/>
  <c r="R120" i="28"/>
  <c r="R108" i="28"/>
  <c r="R105" i="28"/>
  <c r="R92" i="28"/>
  <c r="R80" i="28"/>
  <c r="R72" i="28"/>
  <c r="R64" i="28"/>
  <c r="R162" i="28"/>
  <c r="R147" i="28"/>
  <c r="R143" i="28"/>
  <c r="R139" i="28"/>
  <c r="R135" i="28"/>
  <c r="R131" i="28"/>
  <c r="R128" i="28"/>
  <c r="R116" i="28"/>
  <c r="R111" i="28"/>
  <c r="R96" i="28"/>
  <c r="R91" i="28"/>
  <c r="R79" i="28"/>
  <c r="R71" i="28"/>
  <c r="R63" i="28"/>
  <c r="R56" i="28"/>
  <c r="R154" i="28"/>
  <c r="R151" i="28"/>
  <c r="R146" i="28"/>
  <c r="R142" i="28"/>
  <c r="R138" i="28"/>
  <c r="R122" i="28"/>
  <c r="R119" i="28"/>
  <c r="R110" i="28"/>
  <c r="R107" i="28"/>
  <c r="R102" i="28"/>
  <c r="R90" i="28"/>
  <c r="R78" i="28"/>
  <c r="R70" i="28"/>
  <c r="R62" i="28"/>
  <c r="R89" i="28"/>
  <c r="R66" i="28"/>
  <c r="R69" i="28"/>
  <c r="R58" i="28"/>
  <c r="R77" i="28"/>
  <c r="R61" i="28"/>
  <c r="R160" i="28"/>
  <c r="R130" i="28"/>
  <c r="R134" i="28"/>
  <c r="R125" i="28"/>
  <c r="R101" i="28"/>
  <c r="R145" i="28"/>
  <c r="R113" i="28"/>
  <c r="T27" i="17"/>
  <c r="Z18" i="17"/>
  <c r="H27" i="13"/>
  <c r="N18" i="13"/>
  <c r="L217" i="15"/>
  <c r="F247" i="18"/>
  <c r="F229" i="18"/>
  <c r="F222" i="18"/>
  <c r="F214" i="18"/>
  <c r="F210" i="18"/>
  <c r="F206" i="18"/>
  <c r="F197" i="18"/>
  <c r="F194" i="18"/>
  <c r="F182" i="18"/>
  <c r="F173" i="18"/>
  <c r="F170" i="18"/>
  <c r="F158" i="18"/>
  <c r="F146" i="18"/>
  <c r="F138" i="18"/>
  <c r="F130" i="18"/>
  <c r="F242" i="18"/>
  <c r="F232" i="18"/>
  <c r="F205" i="18"/>
  <c r="F200" i="18"/>
  <c r="F188" i="18"/>
  <c r="F185" i="18"/>
  <c r="F176" i="18"/>
  <c r="F169" i="18"/>
  <c r="F157" i="18"/>
  <c r="F152" i="18"/>
  <c r="F151" i="18"/>
  <c r="F145" i="18"/>
  <c r="F137" i="18"/>
  <c r="F129" i="18"/>
  <c r="F121" i="18"/>
  <c r="F113" i="18"/>
  <c r="F105" i="18"/>
  <c r="F245" i="18"/>
  <c r="F228" i="18"/>
  <c r="F196" i="18"/>
  <c r="F172" i="18"/>
  <c r="F168" i="18"/>
  <c r="F163" i="18"/>
  <c r="F156" i="18"/>
  <c r="F248" i="18"/>
  <c r="F238" i="18"/>
  <c r="F234" i="18"/>
  <c r="F231" i="18"/>
  <c r="F227" i="18"/>
  <c r="F218" i="18"/>
  <c r="F202" i="18"/>
  <c r="F199" i="18"/>
  <c r="F190" i="18"/>
  <c r="F187" i="18"/>
  <c r="F178" i="18"/>
  <c r="F175" i="18"/>
  <c r="F167" i="18"/>
  <c r="F155" i="18"/>
  <c r="F143" i="18"/>
  <c r="F135" i="18"/>
  <c r="F127" i="18"/>
  <c r="F119" i="18"/>
  <c r="F111" i="18"/>
  <c r="F103" i="18"/>
  <c r="F252" i="18"/>
  <c r="F243" i="18"/>
  <c r="F230" i="18"/>
  <c r="F226" i="18"/>
  <c r="F221" i="18"/>
  <c r="F213" i="18"/>
  <c r="F209" i="18"/>
  <c r="F198" i="18"/>
  <c r="F193" i="18"/>
  <c r="F181" i="18"/>
  <c r="F174" i="18"/>
  <c r="F166" i="18"/>
  <c r="F162" i="18"/>
  <c r="F154" i="18"/>
  <c r="F142" i="18"/>
  <c r="F134" i="18"/>
  <c r="F126" i="18"/>
  <c r="F118" i="18"/>
  <c r="F110" i="18"/>
  <c r="F102" i="18"/>
  <c r="F97" i="18"/>
  <c r="F246" i="18"/>
  <c r="F237" i="18"/>
  <c r="F233" i="18"/>
  <c r="F225" i="18"/>
  <c r="F217" i="18"/>
  <c r="F204" i="18"/>
  <c r="F201" i="18"/>
  <c r="F189" i="18"/>
  <c r="F184" i="18"/>
  <c r="F177" i="18"/>
  <c r="F165" i="18"/>
  <c r="F161" i="18"/>
  <c r="F153" i="18"/>
  <c r="F141" i="18"/>
  <c r="F133" i="18"/>
  <c r="F125" i="18"/>
  <c r="F117" i="18"/>
  <c r="F109" i="18"/>
  <c r="F101" i="18"/>
  <c r="F241" i="18"/>
  <c r="F236" i="18"/>
  <c r="F224" i="18"/>
  <c r="F220" i="18"/>
  <c r="F216" i="18"/>
  <c r="F212" i="18"/>
  <c r="F208" i="18"/>
  <c r="F195" i="18"/>
  <c r="F192" i="18"/>
  <c r="F180" i="18"/>
  <c r="F171" i="18"/>
  <c r="F164" i="18"/>
  <c r="F160" i="18"/>
  <c r="F140" i="18"/>
  <c r="F132" i="18"/>
  <c r="F124" i="18"/>
  <c r="F116" i="18"/>
  <c r="F108" i="18"/>
  <c r="F100" i="18"/>
  <c r="L12" i="18"/>
  <c r="F159" i="18"/>
  <c r="F144" i="18"/>
  <c r="F128" i="18"/>
  <c r="F114" i="18"/>
  <c r="F99" i="18"/>
  <c r="F244" i="18"/>
  <c r="F186" i="18"/>
  <c r="F147" i="18"/>
  <c r="F131" i="18"/>
  <c r="F107" i="18"/>
  <c r="F235" i="18"/>
  <c r="F219" i="18"/>
  <c r="F183" i="18"/>
  <c r="F122" i="18"/>
  <c r="F115" i="18"/>
  <c r="F112" i="18"/>
  <c r="F104" i="18"/>
  <c r="F211" i="18"/>
  <c r="D149" i="18"/>
  <c r="F149" i="18" s="1"/>
  <c r="F136" i="18"/>
  <c r="F203" i="18"/>
  <c r="F191" i="18"/>
  <c r="F123" i="18"/>
  <c r="F120" i="18"/>
  <c r="F239" i="18"/>
  <c r="F139" i="18"/>
  <c r="F215" i="18"/>
  <c r="F223" i="18"/>
  <c r="F207" i="18"/>
  <c r="F98" i="18"/>
  <c r="F179" i="18"/>
  <c r="F106" i="18"/>
  <c r="L12" i="34"/>
  <c r="N12" i="34" s="1"/>
  <c r="R252" i="18"/>
  <c r="R241" i="18"/>
  <c r="R230" i="18"/>
  <c r="R226" i="18"/>
  <c r="R198" i="18"/>
  <c r="R195" i="18"/>
  <c r="R174" i="18"/>
  <c r="R171" i="18"/>
  <c r="R166" i="18"/>
  <c r="R162" i="18"/>
  <c r="R154" i="18"/>
  <c r="R142" i="18"/>
  <c r="R134" i="18"/>
  <c r="R126" i="18"/>
  <c r="R244" i="18"/>
  <c r="R237" i="18"/>
  <c r="R233" i="18"/>
  <c r="R225" i="18"/>
  <c r="R217" i="18"/>
  <c r="R201" i="18"/>
  <c r="R189" i="18"/>
  <c r="R186" i="18"/>
  <c r="R177" i="18"/>
  <c r="R165" i="18"/>
  <c r="R161" i="18"/>
  <c r="R153" i="18"/>
  <c r="R151" i="18"/>
  <c r="P149" i="18"/>
  <c r="R141" i="18"/>
  <c r="R133" i="18"/>
  <c r="R125" i="18"/>
  <c r="R117" i="18"/>
  <c r="R109" i="18"/>
  <c r="R101" i="18"/>
  <c r="R247" i="18"/>
  <c r="R236" i="18"/>
  <c r="R229" i="18"/>
  <c r="R224" i="18"/>
  <c r="R220" i="18"/>
  <c r="R216" i="18"/>
  <c r="R212" i="18"/>
  <c r="R208" i="18"/>
  <c r="R197" i="18"/>
  <c r="R192" i="18"/>
  <c r="R180" i="18"/>
  <c r="R173" i="18"/>
  <c r="R164" i="18"/>
  <c r="R160" i="18"/>
  <c r="R242" i="18"/>
  <c r="R239" i="18"/>
  <c r="R235" i="18"/>
  <c r="R232" i="18"/>
  <c r="R223" i="18"/>
  <c r="R219" i="18"/>
  <c r="R215" i="18"/>
  <c r="R211" i="18"/>
  <c r="R207" i="18"/>
  <c r="R203" i="18"/>
  <c r="R200" i="18"/>
  <c r="R191" i="18"/>
  <c r="R188" i="18"/>
  <c r="R183" i="18"/>
  <c r="R179" i="18"/>
  <c r="R176" i="18"/>
  <c r="R159" i="18"/>
  <c r="R152" i="18"/>
  <c r="R147" i="18"/>
  <c r="R139" i="18"/>
  <c r="R131" i="18"/>
  <c r="R123" i="18"/>
  <c r="R115" i="18"/>
  <c r="R107" i="18"/>
  <c r="R99" i="18"/>
  <c r="R245" i="18"/>
  <c r="R222" i="18"/>
  <c r="R214" i="18"/>
  <c r="R210" i="18"/>
  <c r="R206" i="18"/>
  <c r="R194" i="18"/>
  <c r="R182" i="18"/>
  <c r="R170" i="18"/>
  <c r="R163" i="18"/>
  <c r="R158" i="18"/>
  <c r="R146" i="18"/>
  <c r="R138" i="18"/>
  <c r="R130" i="18"/>
  <c r="R122" i="18"/>
  <c r="R114" i="18"/>
  <c r="R106" i="18"/>
  <c r="R98" i="18"/>
  <c r="R248" i="18"/>
  <c r="R238" i="18"/>
  <c r="R234" i="18"/>
  <c r="R218" i="18"/>
  <c r="R205" i="18"/>
  <c r="R202" i="18"/>
  <c r="R190" i="18"/>
  <c r="R185" i="18"/>
  <c r="R178" i="18"/>
  <c r="R169" i="18"/>
  <c r="R157" i="18"/>
  <c r="R145" i="18"/>
  <c r="R137" i="18"/>
  <c r="R129" i="18"/>
  <c r="R121" i="18"/>
  <c r="R113" i="18"/>
  <c r="R105" i="18"/>
  <c r="R243" i="18"/>
  <c r="R228" i="18"/>
  <c r="R221" i="18"/>
  <c r="R213" i="18"/>
  <c r="R209" i="18"/>
  <c r="R196" i="18"/>
  <c r="R193" i="18"/>
  <c r="R181" i="18"/>
  <c r="R172" i="18"/>
  <c r="R168" i="18"/>
  <c r="R156" i="18"/>
  <c r="R144" i="18"/>
  <c r="R136" i="18"/>
  <c r="R128" i="18"/>
  <c r="R120" i="18"/>
  <c r="R112" i="18"/>
  <c r="R104" i="18"/>
  <c r="R97" i="18"/>
  <c r="R132" i="18"/>
  <c r="R119" i="18"/>
  <c r="R118" i="18"/>
  <c r="R108" i="18"/>
  <c r="R100" i="18"/>
  <c r="X12" i="18"/>
  <c r="R246" i="18"/>
  <c r="R187" i="18"/>
  <c r="R184" i="18"/>
  <c r="R167" i="18"/>
  <c r="R155" i="18"/>
  <c r="R116" i="18"/>
  <c r="R227" i="18"/>
  <c r="R204" i="18"/>
  <c r="R199" i="18"/>
  <c r="R175" i="18"/>
  <c r="R143" i="18"/>
  <c r="R127" i="18"/>
  <c r="R140" i="18"/>
  <c r="R124" i="18"/>
  <c r="R110" i="18"/>
  <c r="R102" i="18"/>
  <c r="R111" i="18"/>
  <c r="R103" i="18"/>
  <c r="R135" i="18"/>
  <c r="R231" i="18"/>
  <c r="F93" i="21"/>
  <c r="F91" i="21"/>
  <c r="F86" i="21"/>
  <c r="F75" i="21"/>
  <c r="F55" i="21"/>
  <c r="F50" i="21"/>
  <c r="F39" i="21"/>
  <c r="F27" i="21"/>
  <c r="F69" i="21"/>
  <c r="F66" i="21"/>
  <c r="F61" i="21"/>
  <c r="F58" i="21"/>
  <c r="F38" i="21"/>
  <c r="F33" i="21"/>
  <c r="F32" i="21"/>
  <c r="F26" i="21"/>
  <c r="F88" i="21"/>
  <c r="F85" i="21"/>
  <c r="F72" i="21"/>
  <c r="F57" i="21"/>
  <c r="F52" i="21"/>
  <c r="F49" i="21"/>
  <c r="F37" i="21"/>
  <c r="F84" i="21"/>
  <c r="F79" i="21"/>
  <c r="F68" i="21"/>
  <c r="F63" i="21"/>
  <c r="F60" i="21"/>
  <c r="F48" i="21"/>
  <c r="F43" i="21"/>
  <c r="F36" i="21"/>
  <c r="F97" i="21"/>
  <c r="F90" i="21"/>
  <c r="F87" i="21"/>
  <c r="F83" i="21"/>
  <c r="F74" i="21"/>
  <c r="F71" i="21"/>
  <c r="F54" i="21"/>
  <c r="F51" i="21"/>
  <c r="F47" i="21"/>
  <c r="F35" i="21"/>
  <c r="F82" i="21"/>
  <c r="F78" i="21"/>
  <c r="F70" i="21"/>
  <c r="F65" i="21"/>
  <c r="F62" i="21"/>
  <c r="F46" i="21"/>
  <c r="F42" i="21"/>
  <c r="F34" i="21"/>
  <c r="F25" i="21"/>
  <c r="F89" i="21"/>
  <c r="F81" i="21"/>
  <c r="F77" i="21"/>
  <c r="F73" i="21"/>
  <c r="F56" i="21"/>
  <c r="F53" i="21"/>
  <c r="F45" i="21"/>
  <c r="F41" i="21"/>
  <c r="F30" i="21"/>
  <c r="L12" i="21"/>
  <c r="F40" i="21"/>
  <c r="F76" i="21"/>
  <c r="F80" i="21"/>
  <c r="F44" i="21"/>
  <c r="F28" i="21"/>
  <c r="F67" i="21"/>
  <c r="F59" i="21"/>
  <c r="F64" i="21"/>
  <c r="D30" i="21"/>
  <c r="P27" i="14"/>
  <c r="X18" i="14"/>
  <c r="D90" i="9"/>
  <c r="L16" i="9"/>
  <c r="R214" i="15"/>
  <c r="R210" i="15"/>
  <c r="R194" i="15"/>
  <c r="R181" i="15"/>
  <c r="R178" i="15"/>
  <c r="R166" i="15"/>
  <c r="R161" i="15"/>
  <c r="R154" i="15"/>
  <c r="R145" i="15"/>
  <c r="R133" i="15"/>
  <c r="R121" i="15"/>
  <c r="R113" i="15"/>
  <c r="R105" i="15"/>
  <c r="R97" i="15"/>
  <c r="R89" i="15"/>
  <c r="R82" i="15"/>
  <c r="R219" i="15"/>
  <c r="R204" i="15"/>
  <c r="R197" i="15"/>
  <c r="R189" i="15"/>
  <c r="R185" i="15"/>
  <c r="R172" i="15"/>
  <c r="R169" i="15"/>
  <c r="R157" i="15"/>
  <c r="R148" i="15"/>
  <c r="R144" i="15"/>
  <c r="R132" i="15"/>
  <c r="R120" i="15"/>
  <c r="R112" i="15"/>
  <c r="R104" i="15"/>
  <c r="R96" i="15"/>
  <c r="R88" i="15"/>
  <c r="R222" i="15"/>
  <c r="R207" i="15"/>
  <c r="R203" i="15"/>
  <c r="R180" i="15"/>
  <c r="R175" i="15"/>
  <c r="R163" i="15"/>
  <c r="R160" i="15"/>
  <c r="R151" i="15"/>
  <c r="R143" i="15"/>
  <c r="R131" i="15"/>
  <c r="R119" i="15"/>
  <c r="R111" i="15"/>
  <c r="R103" i="15"/>
  <c r="R95" i="15"/>
  <c r="R87" i="15"/>
  <c r="R217" i="15"/>
  <c r="R206" i="15"/>
  <c r="R202" i="15"/>
  <c r="R174" i="15"/>
  <c r="R171" i="15"/>
  <c r="R150" i="15"/>
  <c r="R147" i="15"/>
  <c r="R142" i="15"/>
  <c r="R138" i="15"/>
  <c r="R130" i="15"/>
  <c r="R118" i="15"/>
  <c r="R110" i="15"/>
  <c r="R102" i="15"/>
  <c r="R94" i="15"/>
  <c r="R86" i="15"/>
  <c r="R220" i="15"/>
  <c r="R213" i="15"/>
  <c r="R209" i="15"/>
  <c r="R201" i="15"/>
  <c r="R193" i="15"/>
  <c r="R177" i="15"/>
  <c r="R165" i="15"/>
  <c r="R162" i="15"/>
  <c r="R153" i="15"/>
  <c r="R141" i="15"/>
  <c r="R137" i="15"/>
  <c r="R129" i="15"/>
  <c r="R127" i="15"/>
  <c r="P125" i="15"/>
  <c r="R117" i="15"/>
  <c r="R109" i="15"/>
  <c r="R101" i="15"/>
  <c r="R93" i="15"/>
  <c r="R85" i="15"/>
  <c r="R226" i="15"/>
  <c r="R212" i="15"/>
  <c r="R205" i="15"/>
  <c r="R200" i="15"/>
  <c r="R196" i="15"/>
  <c r="R192" i="15"/>
  <c r="R188" i="15"/>
  <c r="R184" i="15"/>
  <c r="R173" i="15"/>
  <c r="R168" i="15"/>
  <c r="R156" i="15"/>
  <c r="R149" i="15"/>
  <c r="R140" i="15"/>
  <c r="R136" i="15"/>
  <c r="R116" i="15"/>
  <c r="R108" i="15"/>
  <c r="R100" i="15"/>
  <c r="R92" i="15"/>
  <c r="R84" i="15"/>
  <c r="X12" i="15"/>
  <c r="R211" i="15"/>
  <c r="R198" i="15"/>
  <c r="R159" i="15"/>
  <c r="R215" i="15"/>
  <c r="R195" i="15"/>
  <c r="R176" i="15"/>
  <c r="R155" i="15"/>
  <c r="R128" i="15"/>
  <c r="R106" i="15"/>
  <c r="R83" i="15"/>
  <c r="R221" i="15"/>
  <c r="R208" i="15"/>
  <c r="R199" i="15"/>
  <c r="R152" i="15"/>
  <c r="R98" i="15"/>
  <c r="R134" i="15"/>
  <c r="R122" i="15"/>
  <c r="R107" i="15"/>
  <c r="R182" i="15"/>
  <c r="R135" i="15"/>
  <c r="R99" i="15"/>
  <c r="R90" i="15"/>
  <c r="R190" i="15"/>
  <c r="R186" i="15"/>
  <c r="R170" i="15"/>
  <c r="R123" i="15"/>
  <c r="R183" i="15"/>
  <c r="R167" i="15"/>
  <c r="R146" i="15"/>
  <c r="R114" i="15"/>
  <c r="R91" i="15"/>
  <c r="R115" i="15"/>
  <c r="R139" i="15"/>
  <c r="R191" i="15"/>
  <c r="R218" i="15"/>
  <c r="R179" i="15"/>
  <c r="R187" i="15"/>
  <c r="R164" i="15"/>
  <c r="R158" i="15"/>
  <c r="N27" i="11"/>
  <c r="H31" i="11"/>
  <c r="D31" i="5"/>
  <c r="J266" i="3"/>
  <c r="J258" i="3"/>
  <c r="J254" i="3"/>
  <c r="J248" i="3"/>
  <c r="J242" i="3"/>
  <c r="J234" i="3"/>
  <c r="J220" i="3"/>
  <c r="J206" i="3"/>
  <c r="J200" i="3"/>
  <c r="J194" i="3"/>
  <c r="J188" i="3"/>
  <c r="J182" i="3"/>
  <c r="J170" i="3"/>
  <c r="J164" i="3"/>
  <c r="J158" i="3"/>
  <c r="J150" i="3"/>
  <c r="J142" i="3"/>
  <c r="J134" i="3"/>
  <c r="J126" i="3"/>
  <c r="J118" i="3"/>
  <c r="J110" i="3"/>
  <c r="J278" i="3"/>
  <c r="J269" i="3"/>
  <c r="J261" i="3"/>
  <c r="J251" i="3"/>
  <c r="J241" i="3"/>
  <c r="J237" i="3"/>
  <c r="J233" i="3"/>
  <c r="J217" i="3"/>
  <c r="J211" i="3"/>
  <c r="J197" i="3"/>
  <c r="J181" i="3"/>
  <c r="J175" i="3"/>
  <c r="J169" i="3"/>
  <c r="J157" i="3"/>
  <c r="J149" i="3"/>
  <c r="J141" i="3"/>
  <c r="J133" i="3"/>
  <c r="J125" i="3"/>
  <c r="J117" i="3"/>
  <c r="J109" i="3"/>
  <c r="J264" i="3"/>
  <c r="J240" i="3"/>
  <c r="J236" i="3"/>
  <c r="J232" i="3"/>
  <c r="J228" i="3"/>
  <c r="J224" i="3"/>
  <c r="J214" i="3"/>
  <c r="J208" i="3"/>
  <c r="J202" i="3"/>
  <c r="J190" i="3"/>
  <c r="J184" i="3"/>
  <c r="J180" i="3"/>
  <c r="J168" i="3"/>
  <c r="J156" i="3"/>
  <c r="J148" i="3"/>
  <c r="J140" i="3"/>
  <c r="J132" i="3"/>
  <c r="J124" i="3"/>
  <c r="J116" i="3"/>
  <c r="J108" i="3"/>
  <c r="J273" i="3"/>
  <c r="J267" i="3"/>
  <c r="J257" i="3"/>
  <c r="J253" i="3"/>
  <c r="J247" i="3"/>
  <c r="J239" i="3"/>
  <c r="J231" i="3"/>
  <c r="J227" i="3"/>
  <c r="J223" i="3"/>
  <c r="J219" i="3"/>
  <c r="J205" i="3"/>
  <c r="J199" i="3"/>
  <c r="J193" i="3"/>
  <c r="J187" i="3"/>
  <c r="J179" i="3"/>
  <c r="J167" i="3"/>
  <c r="J155" i="3"/>
  <c r="J147" i="3"/>
  <c r="J139" i="3"/>
  <c r="J131" i="3"/>
  <c r="J123" i="3"/>
  <c r="J115" i="3"/>
  <c r="J262" i="3"/>
  <c r="J250" i="3"/>
  <c r="J246" i="3"/>
  <c r="J230" i="3"/>
  <c r="J226" i="3"/>
  <c r="J222" i="3"/>
  <c r="J216" i="3"/>
  <c r="J210" i="3"/>
  <c r="J196" i="3"/>
  <c r="J186" i="3"/>
  <c r="J178" i="3"/>
  <c r="J174" i="3"/>
  <c r="J166" i="3"/>
  <c r="J154" i="3"/>
  <c r="J146" i="3"/>
  <c r="J138" i="3"/>
  <c r="J130" i="3"/>
  <c r="J122" i="3"/>
  <c r="J114" i="3"/>
  <c r="J277" i="3"/>
  <c r="J265" i="3"/>
  <c r="J249" i="3"/>
  <c r="J245" i="3"/>
  <c r="J235" i="3"/>
  <c r="J221" i="3"/>
  <c r="J213" i="3"/>
  <c r="J207" i="3"/>
  <c r="J201" i="3"/>
  <c r="J189" i="3"/>
  <c r="J183" i="3"/>
  <c r="J177" i="3"/>
  <c r="J173" i="3"/>
  <c r="J165" i="3"/>
  <c r="J153" i="3"/>
  <c r="J145" i="3"/>
  <c r="J137" i="3"/>
  <c r="J129" i="3"/>
  <c r="J121" i="3"/>
  <c r="J113" i="3"/>
  <c r="J107" i="3"/>
  <c r="J268" i="3"/>
  <c r="J260" i="3"/>
  <c r="J256" i="3"/>
  <c r="J252" i="3"/>
  <c r="J244" i="3"/>
  <c r="J238" i="3"/>
  <c r="J218" i="3"/>
  <c r="J212" i="3"/>
  <c r="J204" i="3"/>
  <c r="J198" i="3"/>
  <c r="J192" i="3"/>
  <c r="J176" i="3"/>
  <c r="J172" i="3"/>
  <c r="H161" i="3"/>
  <c r="J152" i="3"/>
  <c r="J144" i="3"/>
  <c r="J136" i="3"/>
  <c r="J128" i="3"/>
  <c r="J120" i="3"/>
  <c r="J112" i="3"/>
  <c r="J159" i="3"/>
  <c r="J127" i="3"/>
  <c r="J215" i="3"/>
  <c r="J191" i="3"/>
  <c r="J185" i="3"/>
  <c r="J119" i="3"/>
  <c r="J195" i="3"/>
  <c r="J151" i="3"/>
  <c r="J143" i="3"/>
  <c r="J135" i="3"/>
  <c r="J111" i="3"/>
  <c r="J263" i="3"/>
  <c r="J255" i="3"/>
  <c r="J225" i="3"/>
  <c r="J209" i="3"/>
  <c r="J243" i="3"/>
  <c r="J229" i="3"/>
  <c r="J203" i="3"/>
  <c r="J171" i="3"/>
  <c r="J163" i="3"/>
  <c r="P27" i="7"/>
  <c r="X18" i="7"/>
  <c r="D34" i="89"/>
  <c r="D69" i="86"/>
  <c r="L17" i="86"/>
  <c r="F96" i="77"/>
  <c r="F99" i="77"/>
  <c r="F95" i="77"/>
  <c r="F91" i="77"/>
  <c r="F105" i="77"/>
  <c r="F102" i="77"/>
  <c r="F98" i="77"/>
  <c r="F94" i="77"/>
  <c r="F90" i="77"/>
  <c r="F104" i="77"/>
  <c r="F83" i="77"/>
  <c r="F80" i="77"/>
  <c r="F75" i="77"/>
  <c r="F72" i="77"/>
  <c r="F103" i="77"/>
  <c r="F101" i="77"/>
  <c r="F100" i="77"/>
  <c r="F85" i="77"/>
  <c r="F84" i="77"/>
  <c r="F79" i="77"/>
  <c r="F55" i="77"/>
  <c r="F43" i="77"/>
  <c r="F38" i="77"/>
  <c r="F106" i="77"/>
  <c r="F92" i="77"/>
  <c r="F78" i="77"/>
  <c r="F73" i="77"/>
  <c r="F69" i="77"/>
  <c r="F66" i="77"/>
  <c r="F54" i="77"/>
  <c r="F42" i="77"/>
  <c r="F93" i="77"/>
  <c r="F65" i="77"/>
  <c r="F60" i="77"/>
  <c r="F53" i="77"/>
  <c r="F41" i="77"/>
  <c r="F108" i="77"/>
  <c r="F97" i="77"/>
  <c r="F77" i="77"/>
  <c r="F76" i="77"/>
  <c r="F71" i="77"/>
  <c r="F68" i="77"/>
  <c r="F64" i="77"/>
  <c r="F52" i="77"/>
  <c r="F40" i="77"/>
  <c r="F82" i="77"/>
  <c r="F63" i="77"/>
  <c r="F59" i="77"/>
  <c r="F48" i="77"/>
  <c r="F39" i="77"/>
  <c r="F87" i="77"/>
  <c r="F70" i="77"/>
  <c r="F62" i="77"/>
  <c r="F58" i="77"/>
  <c r="D48" i="77"/>
  <c r="F46" i="77"/>
  <c r="F112" i="77"/>
  <c r="F88" i="77"/>
  <c r="F86" i="77"/>
  <c r="F81" i="77"/>
  <c r="F61" i="77"/>
  <c r="F57" i="77"/>
  <c r="F45" i="77"/>
  <c r="F89" i="77"/>
  <c r="F74" i="77"/>
  <c r="F67" i="77"/>
  <c r="F56" i="77"/>
  <c r="F51" i="77"/>
  <c r="F50" i="77"/>
  <c r="F44" i="77"/>
  <c r="L12" i="77"/>
  <c r="N12" i="77" s="1"/>
  <c r="F71" i="31"/>
  <c r="F83" i="31"/>
  <c r="F77" i="31"/>
  <c r="F58" i="31"/>
  <c r="F53" i="31"/>
  <c r="F50" i="31"/>
  <c r="F79" i="31"/>
  <c r="F76" i="31"/>
  <c r="F64" i="31"/>
  <c r="F55" i="31"/>
  <c r="F52" i="31"/>
  <c r="F84" i="31"/>
  <c r="F75" i="31"/>
  <c r="F70" i="31"/>
  <c r="F82" i="31"/>
  <c r="F73" i="31"/>
  <c r="F69" i="31"/>
  <c r="F60" i="31"/>
  <c r="F80" i="31"/>
  <c r="F72" i="31"/>
  <c r="F56" i="31"/>
  <c r="F51" i="31"/>
  <c r="F48" i="31"/>
  <c r="F65" i="31"/>
  <c r="F46" i="31"/>
  <c r="D32" i="31"/>
  <c r="F30" i="31"/>
  <c r="F88" i="31"/>
  <c r="F78" i="31"/>
  <c r="F67" i="31"/>
  <c r="F29" i="31"/>
  <c r="F68" i="31"/>
  <c r="F66" i="31"/>
  <c r="F49" i="31"/>
  <c r="F44" i="31"/>
  <c r="F43" i="31"/>
  <c r="F41" i="31"/>
  <c r="F40" i="31"/>
  <c r="F35" i="31"/>
  <c r="F34" i="31"/>
  <c r="F28" i="31"/>
  <c r="L12" i="31"/>
  <c r="F42" i="31"/>
  <c r="F39" i="31"/>
  <c r="F38" i="31"/>
  <c r="F74" i="31"/>
  <c r="F63" i="31"/>
  <c r="F54" i="31"/>
  <c r="F37" i="31"/>
  <c r="F62" i="31"/>
  <c r="F61" i="31"/>
  <c r="F59" i="31"/>
  <c r="F57" i="31"/>
  <c r="F36" i="31"/>
  <c r="F27" i="31"/>
  <c r="F47" i="31"/>
  <c r="F45" i="31"/>
  <c r="F32" i="31"/>
  <c r="T27" i="14"/>
  <c r="Z18" i="14"/>
  <c r="P64" i="97"/>
  <c r="P24" i="96"/>
  <c r="X16" i="96"/>
  <c r="N27" i="98"/>
  <c r="H31" i="98"/>
  <c r="R89" i="94"/>
  <c r="R83" i="94"/>
  <c r="R80" i="94"/>
  <c r="R71" i="94"/>
  <c r="R63" i="94"/>
  <c r="R35" i="94"/>
  <c r="R31" i="94"/>
  <c r="R70" i="94"/>
  <c r="R67" i="94"/>
  <c r="R59" i="94"/>
  <c r="R54" i="94"/>
  <c r="R51" i="94"/>
  <c r="R46" i="94"/>
  <c r="R43" i="94"/>
  <c r="R30" i="94"/>
  <c r="R18" i="94"/>
  <c r="R85" i="94"/>
  <c r="R77" i="94"/>
  <c r="R62" i="94"/>
  <c r="R34" i="94"/>
  <c r="R29" i="94"/>
  <c r="R79" i="94"/>
  <c r="R78" i="94"/>
  <c r="R58" i="94"/>
  <c r="R57" i="94"/>
  <c r="R53" i="94"/>
  <c r="R69" i="94"/>
  <c r="R56" i="94"/>
  <c r="R55" i="94"/>
  <c r="R44" i="94"/>
  <c r="R36" i="94"/>
  <c r="R32" i="94"/>
  <c r="R52" i="94"/>
  <c r="R37" i="94"/>
  <c r="R33" i="94"/>
  <c r="P21" i="94"/>
  <c r="R21" i="94" s="1"/>
  <c r="R82" i="94"/>
  <c r="R72" i="94"/>
  <c r="R68" i="94"/>
  <c r="R42" i="94"/>
  <c r="R41" i="94"/>
  <c r="R38" i="94"/>
  <c r="R19" i="94"/>
  <c r="R17" i="94"/>
  <c r="R73" i="94"/>
  <c r="R64" i="94"/>
  <c r="R60" i="94"/>
  <c r="R40" i="94"/>
  <c r="R39" i="94"/>
  <c r="R23" i="94"/>
  <c r="X12" i="94"/>
  <c r="Z12" i="94" s="1"/>
  <c r="R75" i="94"/>
  <c r="R65" i="94"/>
  <c r="R45" i="94"/>
  <c r="R28" i="94"/>
  <c r="R24" i="94"/>
  <c r="R61" i="94"/>
  <c r="R48" i="94"/>
  <c r="R76" i="94"/>
  <c r="R66" i="94"/>
  <c r="R49" i="94"/>
  <c r="R25" i="94"/>
  <c r="R74" i="94"/>
  <c r="R47" i="94"/>
  <c r="R27" i="94"/>
  <c r="R50" i="94"/>
  <c r="R26" i="94"/>
  <c r="R81" i="94"/>
  <c r="T87" i="94"/>
  <c r="N18" i="90"/>
  <c r="H47" i="90"/>
  <c r="N29" i="88"/>
  <c r="L29" i="88"/>
  <c r="H28" i="87"/>
  <c r="H37" i="84"/>
  <c r="N18" i="84"/>
  <c r="P52" i="91"/>
  <c r="X48" i="91"/>
  <c r="T28" i="87"/>
  <c r="Z18" i="87"/>
  <c r="V30" i="84"/>
  <c r="V22" i="84"/>
  <c r="V39" i="84"/>
  <c r="V33" i="84"/>
  <c r="V29" i="84"/>
  <c r="V21" i="84"/>
  <c r="V32" i="84"/>
  <c r="V24" i="84"/>
  <c r="V16" i="84"/>
  <c r="V31" i="84"/>
  <c r="V23" i="84"/>
  <c r="V15" i="84"/>
  <c r="V26" i="84"/>
  <c r="V35" i="84"/>
  <c r="V25" i="84"/>
  <c r="V20" i="84"/>
  <c r="V27" i="84"/>
  <c r="Z12" i="84"/>
  <c r="V28" i="84"/>
  <c r="T18" i="84"/>
  <c r="V18" i="84" s="1"/>
  <c r="X12" i="84"/>
  <c r="R20" i="79"/>
  <c r="T81" i="76"/>
  <c r="H29" i="75"/>
  <c r="J23" i="75"/>
  <c r="V104" i="77"/>
  <c r="V96" i="77"/>
  <c r="V80" i="77"/>
  <c r="V72" i="77"/>
  <c r="V112" i="77"/>
  <c r="V106" i="77"/>
  <c r="V105" i="77"/>
  <c r="V99" i="77"/>
  <c r="V95" i="77"/>
  <c r="V91" i="77"/>
  <c r="V87" i="77"/>
  <c r="V83" i="77"/>
  <c r="V75" i="77"/>
  <c r="V97" i="77"/>
  <c r="V81" i="77"/>
  <c r="V76" i="77"/>
  <c r="V70" i="77"/>
  <c r="V62" i="77"/>
  <c r="V58" i="77"/>
  <c r="V46" i="77"/>
  <c r="V38" i="77"/>
  <c r="V89" i="77"/>
  <c r="V86" i="77"/>
  <c r="V85" i="77"/>
  <c r="V79" i="77"/>
  <c r="V69" i="77"/>
  <c r="V61" i="77"/>
  <c r="V57" i="77"/>
  <c r="V45" i="77"/>
  <c r="V103" i="77"/>
  <c r="V101" i="77"/>
  <c r="V98" i="77"/>
  <c r="V74" i="77"/>
  <c r="V60" i="77"/>
  <c r="V56" i="77"/>
  <c r="V44" i="77"/>
  <c r="V90" i="77"/>
  <c r="V88" i="77"/>
  <c r="V73" i="77"/>
  <c r="V55" i="77"/>
  <c r="V43" i="77"/>
  <c r="V93" i="77"/>
  <c r="V77" i="77"/>
  <c r="V71" i="77"/>
  <c r="V66" i="77"/>
  <c r="V54" i="77"/>
  <c r="V50" i="77"/>
  <c r="V42" i="77"/>
  <c r="V108" i="77"/>
  <c r="V102" i="77"/>
  <c r="V100" i="77"/>
  <c r="V84" i="77"/>
  <c r="V78" i="77"/>
  <c r="V65" i="77"/>
  <c r="V53" i="77"/>
  <c r="T48" i="77"/>
  <c r="V41" i="77"/>
  <c r="V94" i="77"/>
  <c r="V92" i="77"/>
  <c r="V68" i="77"/>
  <c r="V64" i="77"/>
  <c r="V52" i="77"/>
  <c r="V40" i="77"/>
  <c r="V82" i="77"/>
  <c r="V67" i="77"/>
  <c r="V63" i="77"/>
  <c r="V59" i="77"/>
  <c r="V51" i="77"/>
  <c r="V39" i="77"/>
  <c r="T77" i="73"/>
  <c r="J45" i="67"/>
  <c r="J37" i="67"/>
  <c r="J31" i="67"/>
  <c r="J23" i="67"/>
  <c r="J19" i="67"/>
  <c r="J42" i="67"/>
  <c r="J34" i="67"/>
  <c r="J30" i="67"/>
  <c r="J24" i="67"/>
  <c r="J39" i="67"/>
  <c r="J29" i="67"/>
  <c r="J54" i="67"/>
  <c r="J48" i="67"/>
  <c r="J44" i="67"/>
  <c r="J36" i="67"/>
  <c r="J28" i="67"/>
  <c r="J18" i="67"/>
  <c r="J41" i="67"/>
  <c r="J33" i="67"/>
  <c r="J27" i="67"/>
  <c r="J52" i="67"/>
  <c r="J46" i="67"/>
  <c r="J38" i="67"/>
  <c r="J26" i="67"/>
  <c r="J43" i="67"/>
  <c r="J35" i="67"/>
  <c r="J25" i="67"/>
  <c r="J21" i="67"/>
  <c r="J50" i="67"/>
  <c r="J57" i="67"/>
  <c r="J32" i="67"/>
  <c r="N12" i="67"/>
  <c r="J40" i="67"/>
  <c r="H21" i="67"/>
  <c r="F139" i="69"/>
  <c r="F131" i="69"/>
  <c r="F115" i="69"/>
  <c r="F103" i="69"/>
  <c r="F99" i="69"/>
  <c r="F143" i="69"/>
  <c r="F121" i="69"/>
  <c r="F118" i="69"/>
  <c r="F109" i="69"/>
  <c r="F106" i="69"/>
  <c r="F98" i="69"/>
  <c r="F94" i="69"/>
  <c r="F74" i="69"/>
  <c r="F66" i="69"/>
  <c r="F58" i="69"/>
  <c r="F146" i="69"/>
  <c r="F141" i="69"/>
  <c r="F136" i="69"/>
  <c r="F124" i="69"/>
  <c r="F117" i="69"/>
  <c r="F105" i="69"/>
  <c r="F97" i="69"/>
  <c r="F93" i="69"/>
  <c r="F144" i="69"/>
  <c r="F138" i="69"/>
  <c r="F135" i="69"/>
  <c r="F130" i="69"/>
  <c r="F123" i="69"/>
  <c r="F114" i="69"/>
  <c r="F102" i="69"/>
  <c r="F91" i="69"/>
  <c r="F86" i="69"/>
  <c r="F85" i="69"/>
  <c r="F79" i="69"/>
  <c r="F71" i="69"/>
  <c r="F63" i="69"/>
  <c r="F134" i="69"/>
  <c r="F126" i="69"/>
  <c r="F122" i="69"/>
  <c r="F110" i="69"/>
  <c r="F90" i="69"/>
  <c r="F78" i="69"/>
  <c r="F70" i="69"/>
  <c r="F62" i="69"/>
  <c r="F150" i="69"/>
  <c r="F125" i="69"/>
  <c r="F116" i="69"/>
  <c r="F80" i="69"/>
  <c r="D83" i="69"/>
  <c r="F59" i="69"/>
  <c r="F137" i="69"/>
  <c r="F133" i="69"/>
  <c r="F132" i="69"/>
  <c r="F104" i="69"/>
  <c r="F75" i="69"/>
  <c r="F67" i="69"/>
  <c r="F61" i="69"/>
  <c r="F60" i="69"/>
  <c r="F145" i="69"/>
  <c r="F140" i="69"/>
  <c r="F129" i="69"/>
  <c r="F128" i="69"/>
  <c r="F127" i="69"/>
  <c r="F96" i="69"/>
  <c r="F95" i="69"/>
  <c r="F87" i="69"/>
  <c r="F77" i="69"/>
  <c r="F76" i="69"/>
  <c r="F69" i="69"/>
  <c r="F68" i="69"/>
  <c r="F120" i="69"/>
  <c r="F119" i="69"/>
  <c r="F101" i="69"/>
  <c r="F100" i="69"/>
  <c r="F113" i="69"/>
  <c r="F112" i="69"/>
  <c r="F111" i="69"/>
  <c r="F108" i="69"/>
  <c r="F107" i="69"/>
  <c r="F89" i="69"/>
  <c r="F88" i="69"/>
  <c r="F57" i="69"/>
  <c r="L12" i="69"/>
  <c r="N12" i="69" s="1"/>
  <c r="F72" i="69"/>
  <c r="F65" i="69"/>
  <c r="F73" i="69"/>
  <c r="F81" i="69"/>
  <c r="F92" i="69"/>
  <c r="F64" i="69"/>
  <c r="F56" i="69"/>
  <c r="H148" i="69"/>
  <c r="Z97" i="62"/>
  <c r="P31" i="53"/>
  <c r="R72" i="64"/>
  <c r="R68" i="64"/>
  <c r="R65" i="64"/>
  <c r="R60" i="64"/>
  <c r="R49" i="64"/>
  <c r="R44" i="64"/>
  <c r="R32" i="64"/>
  <c r="R79" i="64"/>
  <c r="R71" i="64"/>
  <c r="R59" i="64"/>
  <c r="R85" i="64"/>
  <c r="R78" i="64"/>
  <c r="R74" i="64"/>
  <c r="R67" i="64"/>
  <c r="R62" i="64"/>
  <c r="R30" i="64"/>
  <c r="R81" i="64"/>
  <c r="R77" i="64"/>
  <c r="R70" i="64"/>
  <c r="R58" i="64"/>
  <c r="R53" i="64"/>
  <c r="R42" i="64"/>
  <c r="R37" i="64"/>
  <c r="R76" i="64"/>
  <c r="R73" i="64"/>
  <c r="R64" i="64"/>
  <c r="R61" i="64"/>
  <c r="R52" i="64"/>
  <c r="R48" i="64"/>
  <c r="R36" i="64"/>
  <c r="R28" i="64"/>
  <c r="X12" i="64"/>
  <c r="R89" i="64"/>
  <c r="R83" i="64"/>
  <c r="R80" i="64"/>
  <c r="R55" i="64"/>
  <c r="R69" i="64"/>
  <c r="R41" i="64"/>
  <c r="R31" i="64"/>
  <c r="R54" i="64"/>
  <c r="R45" i="64"/>
  <c r="R66" i="64"/>
  <c r="R47" i="64"/>
  <c r="R46" i="64"/>
  <c r="R82" i="64"/>
  <c r="R63" i="64"/>
  <c r="P39" i="64"/>
  <c r="R35" i="64"/>
  <c r="R34" i="64"/>
  <c r="R33" i="64"/>
  <c r="R75" i="64"/>
  <c r="R56" i="64"/>
  <c r="R51" i="64"/>
  <c r="R50" i="64"/>
  <c r="R43" i="64"/>
  <c r="R27" i="64"/>
  <c r="R29" i="64"/>
  <c r="R57" i="64"/>
  <c r="T73" i="58"/>
  <c r="D27" i="53"/>
  <c r="L18" i="53"/>
  <c r="P62" i="57"/>
  <c r="X16" i="57"/>
  <c r="H66" i="57"/>
  <c r="P64" i="48"/>
  <c r="R17" i="48"/>
  <c r="T27" i="46"/>
  <c r="Z18" i="46"/>
  <c r="X18" i="46"/>
  <c r="P27" i="46"/>
  <c r="T27" i="40"/>
  <c r="X27" i="40" s="1"/>
  <c r="Z18" i="40"/>
  <c r="F97" i="45"/>
  <c r="F91" i="45"/>
  <c r="F87" i="45"/>
  <c r="F79" i="45"/>
  <c r="F71" i="45"/>
  <c r="F67" i="45"/>
  <c r="F63" i="45"/>
  <c r="F58" i="45"/>
  <c r="F55" i="45"/>
  <c r="F90" i="45"/>
  <c r="F78" i="45"/>
  <c r="F74" i="45"/>
  <c r="F70" i="45"/>
  <c r="F66" i="45"/>
  <c r="F84" i="45"/>
  <c r="F82" i="45"/>
  <c r="F81" i="45"/>
  <c r="F76" i="45"/>
  <c r="F72" i="45"/>
  <c r="F65" i="45"/>
  <c r="F54" i="45"/>
  <c r="F50" i="45"/>
  <c r="F47" i="45"/>
  <c r="F39" i="45"/>
  <c r="F35" i="45"/>
  <c r="F27" i="45"/>
  <c r="F89" i="45"/>
  <c r="F83" i="45"/>
  <c r="F80" i="45"/>
  <c r="F68" i="45"/>
  <c r="F53" i="45"/>
  <c r="F38" i="45"/>
  <c r="F34" i="45"/>
  <c r="F93" i="45"/>
  <c r="F57" i="45"/>
  <c r="F52" i="45"/>
  <c r="F49" i="45"/>
  <c r="F44" i="45"/>
  <c r="F37" i="45"/>
  <c r="F33" i="45"/>
  <c r="D23" i="45"/>
  <c r="F21" i="45"/>
  <c r="F75" i="45"/>
  <c r="F64" i="45"/>
  <c r="F32" i="45"/>
  <c r="F20" i="45"/>
  <c r="L12" i="45"/>
  <c r="N12" i="45" s="1"/>
  <c r="F62" i="45"/>
  <c r="F56" i="45"/>
  <c r="F42" i="45"/>
  <c r="F30" i="45"/>
  <c r="F86" i="45"/>
  <c r="F73" i="45"/>
  <c r="F69" i="45"/>
  <c r="F61" i="45"/>
  <c r="F48" i="45"/>
  <c r="F45" i="45"/>
  <c r="F41" i="45"/>
  <c r="F36" i="45"/>
  <c r="F29" i="45"/>
  <c r="F85" i="45"/>
  <c r="F77" i="45"/>
  <c r="F60" i="45"/>
  <c r="F59" i="45"/>
  <c r="F40" i="45"/>
  <c r="F28" i="45"/>
  <c r="F19" i="45"/>
  <c r="F43" i="45"/>
  <c r="F88" i="45"/>
  <c r="F31" i="45"/>
  <c r="F46" i="45"/>
  <c r="F51" i="45"/>
  <c r="F25" i="45"/>
  <c r="F26" i="45"/>
  <c r="D31" i="40"/>
  <c r="R108" i="36"/>
  <c r="R104" i="36"/>
  <c r="R99" i="36"/>
  <c r="R91" i="36"/>
  <c r="R83" i="36"/>
  <c r="R80" i="36"/>
  <c r="R51" i="36"/>
  <c r="R48" i="36"/>
  <c r="R43" i="36"/>
  <c r="R39" i="36"/>
  <c r="R31" i="36"/>
  <c r="R29" i="36"/>
  <c r="P27" i="36"/>
  <c r="R113" i="36"/>
  <c r="R98" i="36"/>
  <c r="R87" i="36"/>
  <c r="R75" i="36"/>
  <c r="R70" i="36"/>
  <c r="R67" i="36"/>
  <c r="R62" i="36"/>
  <c r="R59" i="36"/>
  <c r="R42" i="36"/>
  <c r="R38" i="36"/>
  <c r="R101" i="36"/>
  <c r="R97" i="36"/>
  <c r="R90" i="36"/>
  <c r="R82" i="36"/>
  <c r="R53" i="36"/>
  <c r="R50" i="36"/>
  <c r="R41" i="36"/>
  <c r="R37" i="36"/>
  <c r="R30" i="36"/>
  <c r="R25" i="36"/>
  <c r="R111" i="36"/>
  <c r="R114" i="36"/>
  <c r="R107" i="36"/>
  <c r="R103" i="36"/>
  <c r="R100" i="36"/>
  <c r="R95" i="36"/>
  <c r="R79" i="36"/>
  <c r="R55" i="36"/>
  <c r="R52" i="36"/>
  <c r="R47" i="36"/>
  <c r="R40" i="36"/>
  <c r="R35" i="36"/>
  <c r="R106" i="36"/>
  <c r="R94" i="36"/>
  <c r="R86" i="36"/>
  <c r="R78" i="36"/>
  <c r="R74" i="36"/>
  <c r="R71" i="36"/>
  <c r="R66" i="36"/>
  <c r="R63" i="36"/>
  <c r="R58" i="36"/>
  <c r="R46" i="36"/>
  <c r="R34" i="36"/>
  <c r="R23" i="36"/>
  <c r="R92" i="36"/>
  <c r="R81" i="36"/>
  <c r="R36" i="36"/>
  <c r="R33" i="36"/>
  <c r="R73" i="36"/>
  <c r="R72" i="36"/>
  <c r="R65" i="36"/>
  <c r="R64" i="36"/>
  <c r="R57" i="36"/>
  <c r="R56" i="36"/>
  <c r="R96" i="36"/>
  <c r="R93" i="36"/>
  <c r="R88" i="36"/>
  <c r="R89" i="36"/>
  <c r="R84" i="36"/>
  <c r="R69" i="36"/>
  <c r="R61" i="36"/>
  <c r="R44" i="36"/>
  <c r="R27" i="36"/>
  <c r="R118" i="36"/>
  <c r="R102" i="36"/>
  <c r="R85" i="36"/>
  <c r="R49" i="36"/>
  <c r="R45" i="36"/>
  <c r="R32" i="36"/>
  <c r="R24" i="36"/>
  <c r="R109" i="36"/>
  <c r="R77" i="36"/>
  <c r="R60" i="36"/>
  <c r="X12" i="36"/>
  <c r="R68" i="36"/>
  <c r="R54" i="36"/>
  <c r="R112" i="36"/>
  <c r="R76" i="36"/>
  <c r="R105" i="36"/>
  <c r="P27" i="41"/>
  <c r="X18" i="41"/>
  <c r="L18" i="33"/>
  <c r="D27" i="33"/>
  <c r="T27" i="24"/>
  <c r="Z18" i="24"/>
  <c r="N18" i="47"/>
  <c r="H27" i="47"/>
  <c r="T117" i="39"/>
  <c r="L18" i="26"/>
  <c r="D27" i="26"/>
  <c r="H27" i="24"/>
  <c r="N18" i="24"/>
  <c r="J157" i="28"/>
  <c r="J147" i="28"/>
  <c r="J143" i="28"/>
  <c r="J139" i="28"/>
  <c r="J135" i="28"/>
  <c r="J131" i="28"/>
  <c r="J111" i="28"/>
  <c r="J105" i="28"/>
  <c r="J91" i="28"/>
  <c r="J79" i="28"/>
  <c r="J71" i="28"/>
  <c r="J63" i="28"/>
  <c r="J162" i="28"/>
  <c r="J154" i="28"/>
  <c r="J146" i="28"/>
  <c r="J142" i="28"/>
  <c r="J138" i="28"/>
  <c r="J128" i="28"/>
  <c r="J122" i="28"/>
  <c r="J116" i="28"/>
  <c r="J110" i="28"/>
  <c r="J102" i="28"/>
  <c r="J96" i="28"/>
  <c r="J90" i="28"/>
  <c r="J78" i="28"/>
  <c r="J70" i="28"/>
  <c r="J62" i="28"/>
  <c r="J56" i="28"/>
  <c r="J151" i="28"/>
  <c r="J145" i="28"/>
  <c r="J125" i="28"/>
  <c r="J119" i="28"/>
  <c r="J113" i="28"/>
  <c r="J107" i="28"/>
  <c r="J101" i="28"/>
  <c r="J89" i="28"/>
  <c r="J77" i="28"/>
  <c r="J160" i="28"/>
  <c r="J156" i="28"/>
  <c r="J134" i="28"/>
  <c r="J130" i="28"/>
  <c r="J124" i="28"/>
  <c r="J104" i="28"/>
  <c r="J100" i="28"/>
  <c r="J88" i="28"/>
  <c r="J76" i="28"/>
  <c r="J68" i="28"/>
  <c r="J60" i="28"/>
  <c r="J163" i="28"/>
  <c r="J153" i="28"/>
  <c r="J141" i="28"/>
  <c r="J137" i="28"/>
  <c r="J127" i="28"/>
  <c r="J121" i="28"/>
  <c r="J115" i="28"/>
  <c r="J109" i="28"/>
  <c r="J99" i="28"/>
  <c r="J95" i="28"/>
  <c r="H84" i="28"/>
  <c r="J84" i="28" s="1"/>
  <c r="J75" i="28"/>
  <c r="J67" i="28"/>
  <c r="J59" i="28"/>
  <c r="J158" i="28"/>
  <c r="J150" i="28"/>
  <c r="J144" i="28"/>
  <c r="J118" i="28"/>
  <c r="J112" i="28"/>
  <c r="J106" i="28"/>
  <c r="J98" i="28"/>
  <c r="J94" i="28"/>
  <c r="J86" i="28"/>
  <c r="J82" i="28"/>
  <c r="J74" i="28"/>
  <c r="J66" i="28"/>
  <c r="J58" i="28"/>
  <c r="J167" i="28"/>
  <c r="J161" i="28"/>
  <c r="J155" i="28"/>
  <c r="J149" i="28"/>
  <c r="J133" i="28"/>
  <c r="J129" i="28"/>
  <c r="J123" i="28"/>
  <c r="J117" i="28"/>
  <c r="J103" i="28"/>
  <c r="J97" i="28"/>
  <c r="J93" i="28"/>
  <c r="J87" i="28"/>
  <c r="J81" i="28"/>
  <c r="J73" i="28"/>
  <c r="J65" i="28"/>
  <c r="J57" i="28"/>
  <c r="J126" i="28"/>
  <c r="J120" i="28"/>
  <c r="J114" i="28"/>
  <c r="J148" i="28"/>
  <c r="J140" i="28"/>
  <c r="J132" i="28"/>
  <c r="J92" i="28"/>
  <c r="J69" i="28"/>
  <c r="J108" i="28"/>
  <c r="J80" i="28"/>
  <c r="J72" i="28"/>
  <c r="J64" i="28"/>
  <c r="J61" i="28"/>
  <c r="J152" i="28"/>
  <c r="J136" i="28"/>
  <c r="H27" i="20"/>
  <c r="L27" i="20" s="1"/>
  <c r="N18" i="20"/>
  <c r="N217" i="15"/>
  <c r="D27" i="13"/>
  <c r="L18" i="13"/>
  <c r="D31" i="20"/>
  <c r="D168" i="34"/>
  <c r="L86" i="34"/>
  <c r="F117" i="25"/>
  <c r="F112" i="25"/>
  <c r="F103" i="25"/>
  <c r="F87" i="25"/>
  <c r="F84" i="25"/>
  <c r="F76" i="25"/>
  <c r="F64" i="25"/>
  <c r="F52" i="25"/>
  <c r="F44" i="25"/>
  <c r="L12" i="25"/>
  <c r="F121" i="25"/>
  <c r="F106" i="25"/>
  <c r="F99" i="25"/>
  <c r="F95" i="25"/>
  <c r="F83" i="25"/>
  <c r="F75" i="25"/>
  <c r="F71" i="25"/>
  <c r="F63" i="25"/>
  <c r="F51" i="25"/>
  <c r="F43" i="25"/>
  <c r="F105" i="25"/>
  <c r="F101" i="25"/>
  <c r="F97" i="25"/>
  <c r="F92" i="25"/>
  <c r="F80" i="25"/>
  <c r="F73" i="25"/>
  <c r="F69" i="25"/>
  <c r="D59" i="25"/>
  <c r="F57" i="25"/>
  <c r="F49" i="25"/>
  <c r="F41" i="25"/>
  <c r="F111" i="25"/>
  <c r="F108" i="25"/>
  <c r="F104" i="25"/>
  <c r="F88" i="25"/>
  <c r="F68" i="25"/>
  <c r="F56" i="25"/>
  <c r="F48" i="25"/>
  <c r="F116" i="25"/>
  <c r="F107" i="25"/>
  <c r="F94" i="25"/>
  <c r="F91" i="25"/>
  <c r="F82" i="25"/>
  <c r="F79" i="25"/>
  <c r="F67" i="25"/>
  <c r="F62" i="25"/>
  <c r="F61" i="25"/>
  <c r="F55" i="25"/>
  <c r="F47" i="25"/>
  <c r="F110" i="25"/>
  <c r="F90" i="25"/>
  <c r="F85" i="25"/>
  <c r="F78" i="25"/>
  <c r="F98" i="25"/>
  <c r="F45" i="25"/>
  <c r="F40" i="25"/>
  <c r="F59" i="25"/>
  <c r="F54" i="25"/>
  <c r="F50" i="25"/>
  <c r="F46" i="25"/>
  <c r="F42" i="25"/>
  <c r="F72" i="25"/>
  <c r="F114" i="25"/>
  <c r="F102" i="25"/>
  <c r="F77" i="25"/>
  <c r="F74" i="25"/>
  <c r="F65" i="25"/>
  <c r="F96" i="25"/>
  <c r="F89" i="25"/>
  <c r="F81" i="25"/>
  <c r="F66" i="25"/>
  <c r="F115" i="25"/>
  <c r="F109" i="25"/>
  <c r="F100" i="25"/>
  <c r="F93" i="25"/>
  <c r="F86" i="25"/>
  <c r="F70" i="25"/>
  <c r="F53" i="25"/>
  <c r="T165" i="28"/>
  <c r="V84" i="28"/>
  <c r="X18" i="10"/>
  <c r="P27" i="10"/>
  <c r="T26" i="6"/>
  <c r="Z22" i="6"/>
  <c r="Z18" i="13"/>
  <c r="T27" i="13"/>
  <c r="P26" i="6"/>
  <c r="X22" i="6"/>
  <c r="V268" i="3"/>
  <c r="V260" i="3"/>
  <c r="V250" i="3"/>
  <c r="V246" i="3"/>
  <c r="V238" i="3"/>
  <c r="V230" i="3"/>
  <c r="V226" i="3"/>
  <c r="V222" i="3"/>
  <c r="V218" i="3"/>
  <c r="V210" i="3"/>
  <c r="V198" i="3"/>
  <c r="V186" i="3"/>
  <c r="V178" i="3"/>
  <c r="V174" i="3"/>
  <c r="V166" i="3"/>
  <c r="T161" i="3"/>
  <c r="V154" i="3"/>
  <c r="V146" i="3"/>
  <c r="V138" i="3"/>
  <c r="V130" i="3"/>
  <c r="V122" i="3"/>
  <c r="V114" i="3"/>
  <c r="V263" i="3"/>
  <c r="V249" i="3"/>
  <c r="V245" i="3"/>
  <c r="V229" i="3"/>
  <c r="V225" i="3"/>
  <c r="V221" i="3"/>
  <c r="V213" i="3"/>
  <c r="V209" i="3"/>
  <c r="V201" i="3"/>
  <c r="V189" i="3"/>
  <c r="V185" i="3"/>
  <c r="V177" i="3"/>
  <c r="V173" i="3"/>
  <c r="V165" i="3"/>
  <c r="V153" i="3"/>
  <c r="V145" i="3"/>
  <c r="V137" i="3"/>
  <c r="V129" i="3"/>
  <c r="V121" i="3"/>
  <c r="V113" i="3"/>
  <c r="V266" i="3"/>
  <c r="V256" i="3"/>
  <c r="V252" i="3"/>
  <c r="V248" i="3"/>
  <c r="V244" i="3"/>
  <c r="V220" i="3"/>
  <c r="V212" i="3"/>
  <c r="V204" i="3"/>
  <c r="V200" i="3"/>
  <c r="V192" i="3"/>
  <c r="V188" i="3"/>
  <c r="V176" i="3"/>
  <c r="V172" i="3"/>
  <c r="V164" i="3"/>
  <c r="V152" i="3"/>
  <c r="V144" i="3"/>
  <c r="V136" i="3"/>
  <c r="V128" i="3"/>
  <c r="V120" i="3"/>
  <c r="V112" i="3"/>
  <c r="V278" i="3"/>
  <c r="V269" i="3"/>
  <c r="V261" i="3"/>
  <c r="V255" i="3"/>
  <c r="V251" i="3"/>
  <c r="V243" i="3"/>
  <c r="V215" i="3"/>
  <c r="V211" i="3"/>
  <c r="V203" i="3"/>
  <c r="V195" i="3"/>
  <c r="V191" i="3"/>
  <c r="V175" i="3"/>
  <c r="V171" i="3"/>
  <c r="V159" i="3"/>
  <c r="V151" i="3"/>
  <c r="V143" i="3"/>
  <c r="V135" i="3"/>
  <c r="V127" i="3"/>
  <c r="V119" i="3"/>
  <c r="V111" i="3"/>
  <c r="V264" i="3"/>
  <c r="V258" i="3"/>
  <c r="V254" i="3"/>
  <c r="V242" i="3"/>
  <c r="V234" i="3"/>
  <c r="V214" i="3"/>
  <c r="V206" i="3"/>
  <c r="V202" i="3"/>
  <c r="V194" i="3"/>
  <c r="V190" i="3"/>
  <c r="V182" i="3"/>
  <c r="V170" i="3"/>
  <c r="V158" i="3"/>
  <c r="V150" i="3"/>
  <c r="V142" i="3"/>
  <c r="V134" i="3"/>
  <c r="V126" i="3"/>
  <c r="V118" i="3"/>
  <c r="V110" i="3"/>
  <c r="V267" i="3"/>
  <c r="V257" i="3"/>
  <c r="V253" i="3"/>
  <c r="V241" i="3"/>
  <c r="V237" i="3"/>
  <c r="V233" i="3"/>
  <c r="V217" i="3"/>
  <c r="V205" i="3"/>
  <c r="V197" i="3"/>
  <c r="V193" i="3"/>
  <c r="V181" i="3"/>
  <c r="V169" i="3"/>
  <c r="V157" i="3"/>
  <c r="V149" i="3"/>
  <c r="V141" i="3"/>
  <c r="V133" i="3"/>
  <c r="V125" i="3"/>
  <c r="V117" i="3"/>
  <c r="V109" i="3"/>
  <c r="V262" i="3"/>
  <c r="V240" i="3"/>
  <c r="V236" i="3"/>
  <c r="V232" i="3"/>
  <c r="V228" i="3"/>
  <c r="V224" i="3"/>
  <c r="V216" i="3"/>
  <c r="V208" i="3"/>
  <c r="V196" i="3"/>
  <c r="V184" i="3"/>
  <c r="V180" i="3"/>
  <c r="V168" i="3"/>
  <c r="V156" i="3"/>
  <c r="V148" i="3"/>
  <c r="V140" i="3"/>
  <c r="V132" i="3"/>
  <c r="V124" i="3"/>
  <c r="V116" i="3"/>
  <c r="V108" i="3"/>
  <c r="V277" i="3"/>
  <c r="V247" i="3"/>
  <c r="V227" i="3"/>
  <c r="V107" i="3"/>
  <c r="V273" i="3"/>
  <c r="V183" i="3"/>
  <c r="V219" i="3"/>
  <c r="V163" i="3"/>
  <c r="V161" i="3"/>
  <c r="V123" i="3"/>
  <c r="V115" i="3"/>
  <c r="V265" i="3"/>
  <c r="V231" i="3"/>
  <c r="V207" i="3"/>
  <c r="V199" i="3"/>
  <c r="V155" i="3"/>
  <c r="V131" i="3"/>
  <c r="V167" i="3"/>
  <c r="V239" i="3"/>
  <c r="V147" i="3"/>
  <c r="V139" i="3"/>
  <c r="V223" i="3"/>
  <c r="V235" i="3"/>
  <c r="V187" i="3"/>
  <c r="V179" i="3"/>
  <c r="X18" i="99"/>
  <c r="P27" i="99"/>
  <c r="D24" i="96"/>
  <c r="L16" i="96"/>
  <c r="Z16" i="83"/>
  <c r="T38" i="83"/>
  <c r="H38" i="83"/>
  <c r="N16" i="83"/>
  <c r="H77" i="73"/>
  <c r="N23" i="73"/>
  <c r="T119" i="66"/>
  <c r="D30" i="55"/>
  <c r="L16" i="55"/>
  <c r="H27" i="37"/>
  <c r="L27" i="37" s="1"/>
  <c r="N18" i="37"/>
  <c r="P27" i="23"/>
  <c r="X18" i="23"/>
  <c r="F222" i="15"/>
  <c r="F213" i="15"/>
  <c r="F209" i="15"/>
  <c r="F201" i="15"/>
  <c r="F193" i="15"/>
  <c r="F180" i="15"/>
  <c r="F177" i="15"/>
  <c r="F165" i="15"/>
  <c r="F160" i="15"/>
  <c r="F153" i="15"/>
  <c r="F141" i="15"/>
  <c r="F137" i="15"/>
  <c r="F129" i="15"/>
  <c r="F117" i="15"/>
  <c r="F109" i="15"/>
  <c r="F101" i="15"/>
  <c r="F93" i="15"/>
  <c r="F85" i="15"/>
  <c r="F226" i="15"/>
  <c r="F217" i="15"/>
  <c r="F212" i="15"/>
  <c r="F200" i="15"/>
  <c r="F196" i="15"/>
  <c r="F192" i="15"/>
  <c r="F188" i="15"/>
  <c r="F184" i="15"/>
  <c r="F171" i="15"/>
  <c r="F168" i="15"/>
  <c r="F156" i="15"/>
  <c r="F147" i="15"/>
  <c r="F140" i="15"/>
  <c r="F136" i="15"/>
  <c r="F125" i="15"/>
  <c r="F116" i="15"/>
  <c r="F108" i="15"/>
  <c r="F100" i="15"/>
  <c r="F92" i="15"/>
  <c r="F84" i="15"/>
  <c r="L12" i="15"/>
  <c r="N12" i="15" s="1"/>
  <c r="F220" i="15"/>
  <c r="F215" i="15"/>
  <c r="F211" i="15"/>
  <c r="F199" i="15"/>
  <c r="F195" i="15"/>
  <c r="F191" i="15"/>
  <c r="F187" i="15"/>
  <c r="F183" i="15"/>
  <c r="F179" i="15"/>
  <c r="F167" i="15"/>
  <c r="F162" i="15"/>
  <c r="F159" i="15"/>
  <c r="F155" i="15"/>
  <c r="F135" i="15"/>
  <c r="D125" i="15"/>
  <c r="F123" i="15"/>
  <c r="F115" i="15"/>
  <c r="F107" i="15"/>
  <c r="F99" i="15"/>
  <c r="F91" i="15"/>
  <c r="F83" i="15"/>
  <c r="F205" i="15"/>
  <c r="F198" i="15"/>
  <c r="F190" i="15"/>
  <c r="F186" i="15"/>
  <c r="F182" i="15"/>
  <c r="F173" i="15"/>
  <c r="F170" i="15"/>
  <c r="F158" i="15"/>
  <c r="F149" i="15"/>
  <c r="F146" i="15"/>
  <c r="F134" i="15"/>
  <c r="F122" i="15"/>
  <c r="F114" i="15"/>
  <c r="F106" i="15"/>
  <c r="F98" i="15"/>
  <c r="F90" i="15"/>
  <c r="F218" i="15"/>
  <c r="F208" i="15"/>
  <c r="F181" i="15"/>
  <c r="F176" i="15"/>
  <c r="F164" i="15"/>
  <c r="F161" i="15"/>
  <c r="F152" i="15"/>
  <c r="F145" i="15"/>
  <c r="F133" i="15"/>
  <c r="F128" i="15"/>
  <c r="F127" i="15"/>
  <c r="F121" i="15"/>
  <c r="F113" i="15"/>
  <c r="F105" i="15"/>
  <c r="F97" i="15"/>
  <c r="F89" i="15"/>
  <c r="F221" i="15"/>
  <c r="F204" i="15"/>
  <c r="F172" i="15"/>
  <c r="F148" i="15"/>
  <c r="F144" i="15"/>
  <c r="F139" i="15"/>
  <c r="F132" i="15"/>
  <c r="F120" i="15"/>
  <c r="F112" i="15"/>
  <c r="F104" i="15"/>
  <c r="F96" i="15"/>
  <c r="F88" i="15"/>
  <c r="F210" i="15"/>
  <c r="F206" i="15"/>
  <c r="F203" i="15"/>
  <c r="F197" i="15"/>
  <c r="F163" i="15"/>
  <c r="F157" i="15"/>
  <c r="F150" i="15"/>
  <c r="F111" i="15"/>
  <c r="F94" i="15"/>
  <c r="F214" i="15"/>
  <c r="F194" i="15"/>
  <c r="F154" i="15"/>
  <c r="F130" i="15"/>
  <c r="F82" i="15"/>
  <c r="F175" i="15"/>
  <c r="F118" i="15"/>
  <c r="F103" i="15"/>
  <c r="F219" i="15"/>
  <c r="F207" i="15"/>
  <c r="F151" i="15"/>
  <c r="F142" i="15"/>
  <c r="F95" i="15"/>
  <c r="F131" i="15"/>
  <c r="F86" i="15"/>
  <c r="F202" i="15"/>
  <c r="F185" i="15"/>
  <c r="F169" i="15"/>
  <c r="F119" i="15"/>
  <c r="F189" i="15"/>
  <c r="F166" i="15"/>
  <c r="F143" i="15"/>
  <c r="F110" i="15"/>
  <c r="F87" i="15"/>
  <c r="F138" i="15"/>
  <c r="F178" i="15"/>
  <c r="F102" i="15"/>
  <c r="F174" i="15"/>
  <c r="T90" i="9"/>
  <c r="Z16" i="9"/>
  <c r="N27" i="7"/>
  <c r="H31" i="7"/>
  <c r="N27" i="10"/>
  <c r="H31" i="10"/>
  <c r="V223" i="12"/>
  <c r="V219" i="12"/>
  <c r="V215" i="12"/>
  <c r="V211" i="12"/>
  <c r="V203" i="12"/>
  <c r="V183" i="12"/>
  <c r="V175" i="12"/>
  <c r="V171" i="12"/>
  <c r="V163" i="12"/>
  <c r="V159" i="12"/>
  <c r="V147" i="12"/>
  <c r="V143" i="12"/>
  <c r="V135" i="12"/>
  <c r="V123" i="12"/>
  <c r="V115" i="12"/>
  <c r="V107" i="12"/>
  <c r="V99" i="12"/>
  <c r="V91" i="12"/>
  <c r="V236" i="12"/>
  <c r="V228" i="12"/>
  <c r="V222" i="12"/>
  <c r="V218" i="12"/>
  <c r="V210" i="12"/>
  <c r="V206" i="12"/>
  <c r="V202" i="12"/>
  <c r="V186" i="12"/>
  <c r="V182" i="12"/>
  <c r="V174" i="12"/>
  <c r="V166" i="12"/>
  <c r="V162" i="12"/>
  <c r="V146" i="12"/>
  <c r="V142" i="12"/>
  <c r="V130" i="12"/>
  <c r="V122" i="12"/>
  <c r="V114" i="12"/>
  <c r="V106" i="12"/>
  <c r="V231" i="12"/>
  <c r="V225" i="12"/>
  <c r="V221" i="12"/>
  <c r="V209" i="12"/>
  <c r="V205" i="12"/>
  <c r="V201" i="12"/>
  <c r="V197" i="12"/>
  <c r="V193" i="12"/>
  <c r="V185" i="12"/>
  <c r="V177" i="12"/>
  <c r="V173" i="12"/>
  <c r="V165" i="12"/>
  <c r="V161" i="12"/>
  <c r="V153" i="12"/>
  <c r="V141" i="12"/>
  <c r="V129" i="12"/>
  <c r="V121" i="12"/>
  <c r="V113" i="12"/>
  <c r="V105" i="12"/>
  <c r="V97" i="12"/>
  <c r="V89" i="12"/>
  <c r="V224" i="12"/>
  <c r="V220" i="12"/>
  <c r="V208" i="12"/>
  <c r="V204" i="12"/>
  <c r="V200" i="12"/>
  <c r="V196" i="12"/>
  <c r="V192" i="12"/>
  <c r="V188" i="12"/>
  <c r="V176" i="12"/>
  <c r="V168" i="12"/>
  <c r="V164" i="12"/>
  <c r="V152" i="12"/>
  <c r="V140" i="12"/>
  <c r="V128" i="12"/>
  <c r="V120" i="12"/>
  <c r="V112" i="12"/>
  <c r="V104" i="12"/>
  <c r="V96" i="12"/>
  <c r="V88" i="12"/>
  <c r="V229" i="12"/>
  <c r="V207" i="12"/>
  <c r="V199" i="12"/>
  <c r="V195" i="12"/>
  <c r="V191" i="12"/>
  <c r="V187" i="12"/>
  <c r="V179" i="12"/>
  <c r="V167" i="12"/>
  <c r="V155" i="12"/>
  <c r="V151" i="12"/>
  <c r="V139" i="12"/>
  <c r="V127" i="12"/>
  <c r="V119" i="12"/>
  <c r="V111" i="12"/>
  <c r="V103" i="12"/>
  <c r="V95" i="12"/>
  <c r="V87" i="12"/>
  <c r="V232" i="12"/>
  <c r="V214" i="12"/>
  <c r="V198" i="12"/>
  <c r="V194" i="12"/>
  <c r="V190" i="12"/>
  <c r="V178" i="12"/>
  <c r="V170" i="12"/>
  <c r="V158" i="12"/>
  <c r="V154" i="12"/>
  <c r="V150" i="12"/>
  <c r="V138" i="12"/>
  <c r="V134" i="12"/>
  <c r="V132" i="12"/>
  <c r="V126" i="12"/>
  <c r="V118" i="12"/>
  <c r="V180" i="12"/>
  <c r="V169" i="12"/>
  <c r="V144" i="12"/>
  <c r="V124" i="12"/>
  <c r="V94" i="12"/>
  <c r="Z12" i="12"/>
  <c r="V216" i="12"/>
  <c r="V212" i="12"/>
  <c r="V189" i="12"/>
  <c r="V108" i="12"/>
  <c r="V230" i="12"/>
  <c r="V184" i="12"/>
  <c r="V157" i="12"/>
  <c r="V148" i="12"/>
  <c r="V136" i="12"/>
  <c r="V100" i="12"/>
  <c r="V181" i="12"/>
  <c r="V145" i="12"/>
  <c r="V125" i="12"/>
  <c r="V109" i="12"/>
  <c r="V101" i="12"/>
  <c r="V90" i="12"/>
  <c r="V217" i="12"/>
  <c r="V213" i="12"/>
  <c r="T132" i="12"/>
  <c r="V102" i="12"/>
  <c r="V149" i="12"/>
  <c r="V137" i="12"/>
  <c r="V116" i="12"/>
  <c r="V110" i="12"/>
  <c r="V172" i="12"/>
  <c r="V98" i="12"/>
  <c r="V92" i="12"/>
  <c r="V156" i="12"/>
  <c r="V227" i="12"/>
  <c r="V160" i="12"/>
  <c r="V117" i="12"/>
  <c r="V93" i="12"/>
  <c r="D64" i="97"/>
  <c r="L17" i="97"/>
  <c r="N17" i="97" s="1"/>
  <c r="F17" i="97"/>
  <c r="H28" i="96"/>
  <c r="V77" i="95"/>
  <c r="V69" i="95"/>
  <c r="V65" i="95"/>
  <c r="V61" i="95"/>
  <c r="V53" i="95"/>
  <c r="V45" i="95"/>
  <c r="V29" i="95"/>
  <c r="V90" i="95"/>
  <c r="V85" i="95"/>
  <c r="V83" i="95"/>
  <c r="V79" i="95"/>
  <c r="V67" i="95"/>
  <c r="V63" i="95"/>
  <c r="V55" i="95"/>
  <c r="V47" i="95"/>
  <c r="V39" i="95"/>
  <c r="V27" i="95"/>
  <c r="V23" i="95"/>
  <c r="V21" i="95"/>
  <c r="V78" i="95"/>
  <c r="V70" i="95"/>
  <c r="V66" i="95"/>
  <c r="V58" i="95"/>
  <c r="Z12" i="95"/>
  <c r="V73" i="95"/>
  <c r="V72" i="95"/>
  <c r="V71" i="95"/>
  <c r="V59" i="95"/>
  <c r="V46" i="95"/>
  <c r="V43" i="95"/>
  <c r="V42" i="95"/>
  <c r="V34" i="95"/>
  <c r="V25" i="95"/>
  <c r="V24" i="95"/>
  <c r="V76" i="95"/>
  <c r="V56" i="95"/>
  <c r="V54" i="95"/>
  <c r="V51" i="95"/>
  <c r="V50" i="95"/>
  <c r="V38" i="95"/>
  <c r="V37" i="95"/>
  <c r="V36" i="95"/>
  <c r="V35" i="95"/>
  <c r="V26" i="95"/>
  <c r="T21" i="95"/>
  <c r="V81" i="95"/>
  <c r="V57" i="95"/>
  <c r="V28" i="95"/>
  <c r="V87" i="95"/>
  <c r="V44" i="95"/>
  <c r="V30" i="95"/>
  <c r="V74" i="95"/>
  <c r="V31" i="95"/>
  <c r="V18" i="95"/>
  <c r="V52" i="95"/>
  <c r="V32" i="95"/>
  <c r="V19" i="95"/>
  <c r="V48" i="95"/>
  <c r="V62" i="95"/>
  <c r="V33" i="95"/>
  <c r="V60" i="95"/>
  <c r="V49" i="95"/>
  <c r="V40" i="95"/>
  <c r="V64" i="95"/>
  <c r="V41" i="95"/>
  <c r="V68" i="95"/>
  <c r="V75" i="95"/>
  <c r="V17" i="95"/>
  <c r="L87" i="94"/>
  <c r="D91" i="94"/>
  <c r="H83" i="95"/>
  <c r="N21" i="95"/>
  <c r="F35" i="87"/>
  <c r="F28" i="87"/>
  <c r="F16" i="87"/>
  <c r="F23" i="87"/>
  <c r="L12" i="87"/>
  <c r="N12" i="87" s="1"/>
  <c r="F22" i="87"/>
  <c r="F32" i="87"/>
  <c r="F26" i="87"/>
  <c r="F18" i="87"/>
  <c r="F30" i="87"/>
  <c r="F24" i="87"/>
  <c r="D18" i="87"/>
  <c r="F21" i="87"/>
  <c r="F20" i="87"/>
  <c r="N16" i="88"/>
  <c r="H32" i="88"/>
  <c r="D36" i="88"/>
  <c r="L32" i="88"/>
  <c r="D38" i="93"/>
  <c r="L19" i="93"/>
  <c r="X66" i="86"/>
  <c r="F44" i="84"/>
  <c r="F37" i="84"/>
  <c r="F29" i="84"/>
  <c r="F26" i="84"/>
  <c r="F21" i="84"/>
  <c r="F20" i="84"/>
  <c r="F31" i="84"/>
  <c r="F28" i="84"/>
  <c r="F23" i="84"/>
  <c r="F15" i="84"/>
  <c r="L12" i="84"/>
  <c r="F41" i="84"/>
  <c r="F35" i="84"/>
  <c r="F30" i="84"/>
  <c r="F25" i="84"/>
  <c r="F22" i="84"/>
  <c r="F27" i="84"/>
  <c r="F18" i="84"/>
  <c r="D18" i="84"/>
  <c r="F39" i="84"/>
  <c r="F24" i="84"/>
  <c r="F32" i="84"/>
  <c r="F33" i="84"/>
  <c r="F16" i="84"/>
  <c r="X16" i="83"/>
  <c r="P38" i="83"/>
  <c r="P28" i="87"/>
  <c r="X18" i="87"/>
  <c r="N35" i="82"/>
  <c r="H39" i="82"/>
  <c r="D38" i="83"/>
  <c r="L16" i="83"/>
  <c r="X16" i="81"/>
  <c r="P77" i="81"/>
  <c r="Z20" i="79"/>
  <c r="T84" i="79"/>
  <c r="F71" i="76"/>
  <c r="F75" i="76"/>
  <c r="F79" i="76"/>
  <c r="F73" i="76"/>
  <c r="F68" i="76"/>
  <c r="F57" i="76"/>
  <c r="F40" i="76"/>
  <c r="F37" i="76"/>
  <c r="F33" i="76"/>
  <c r="F29" i="76"/>
  <c r="F17" i="76"/>
  <c r="F70" i="76"/>
  <c r="F67" i="76"/>
  <c r="F42" i="76"/>
  <c r="F39" i="76"/>
  <c r="F27" i="76"/>
  <c r="F66" i="76"/>
  <c r="F61" i="76"/>
  <c r="F53" i="76"/>
  <c r="F50" i="76"/>
  <c r="F45" i="76"/>
  <c r="F26" i="76"/>
  <c r="F72" i="76"/>
  <c r="F69" i="76"/>
  <c r="F65" i="76"/>
  <c r="F56" i="76"/>
  <c r="F41" i="76"/>
  <c r="F36" i="76"/>
  <c r="F32" i="76"/>
  <c r="F25" i="76"/>
  <c r="F16" i="76"/>
  <c r="F64" i="76"/>
  <c r="F63" i="76"/>
  <c r="F55" i="76"/>
  <c r="F38" i="76"/>
  <c r="F30" i="76"/>
  <c r="F23" i="76"/>
  <c r="F43" i="76"/>
  <c r="F31" i="76"/>
  <c r="F58" i="76"/>
  <c r="F44" i="76"/>
  <c r="F18" i="76"/>
  <c r="F46" i="76"/>
  <c r="F28" i="76"/>
  <c r="F52" i="76"/>
  <c r="F34" i="76"/>
  <c r="F22" i="76"/>
  <c r="F62" i="76"/>
  <c r="F60" i="76"/>
  <c r="F59" i="76"/>
  <c r="F54" i="76"/>
  <c r="F48" i="76"/>
  <c r="F47" i="76"/>
  <c r="F35" i="76"/>
  <c r="D20" i="76"/>
  <c r="F51" i="76"/>
  <c r="F49" i="76"/>
  <c r="L12" i="76"/>
  <c r="F24" i="76"/>
  <c r="D44" i="74"/>
  <c r="L17" i="74"/>
  <c r="D77" i="73"/>
  <c r="L23" i="73"/>
  <c r="F23" i="73"/>
  <c r="J85" i="70"/>
  <c r="J77" i="70"/>
  <c r="J63" i="70"/>
  <c r="J59" i="70"/>
  <c r="J53" i="70"/>
  <c r="J43" i="70"/>
  <c r="J39" i="70"/>
  <c r="J33" i="70"/>
  <c r="J74" i="70"/>
  <c r="J68" i="70"/>
  <c r="J62" i="70"/>
  <c r="J50" i="70"/>
  <c r="J38" i="70"/>
  <c r="J73" i="70"/>
  <c r="J65" i="70"/>
  <c r="J61" i="70"/>
  <c r="J55" i="70"/>
  <c r="J47" i="70"/>
  <c r="J37" i="70"/>
  <c r="J27" i="70"/>
  <c r="J80" i="70"/>
  <c r="J76" i="70"/>
  <c r="J72" i="70"/>
  <c r="J58" i="70"/>
  <c r="J52" i="70"/>
  <c r="J42" i="70"/>
  <c r="J36" i="70"/>
  <c r="J71" i="70"/>
  <c r="J67" i="70"/>
  <c r="J49" i="70"/>
  <c r="J35" i="70"/>
  <c r="J78" i="70"/>
  <c r="J70" i="70"/>
  <c r="J64" i="70"/>
  <c r="J60" i="70"/>
  <c r="J54" i="70"/>
  <c r="J46" i="70"/>
  <c r="J34" i="70"/>
  <c r="J81" i="70"/>
  <c r="J75" i="70"/>
  <c r="J69" i="70"/>
  <c r="J57" i="70"/>
  <c r="J51" i="70"/>
  <c r="J45" i="70"/>
  <c r="J41" i="70"/>
  <c r="H30" i="70"/>
  <c r="J48" i="70"/>
  <c r="J44" i="70"/>
  <c r="J28" i="70"/>
  <c r="J56" i="70"/>
  <c r="J66" i="70"/>
  <c r="N12" i="70"/>
  <c r="J40" i="70"/>
  <c r="J32" i="70"/>
  <c r="N143" i="69"/>
  <c r="R52" i="71"/>
  <c r="D103" i="71"/>
  <c r="F52" i="71"/>
  <c r="L22" i="65"/>
  <c r="D59" i="65"/>
  <c r="X18" i="62"/>
  <c r="P100" i="62"/>
  <c r="D50" i="61"/>
  <c r="P69" i="58"/>
  <c r="X16" i="58"/>
  <c r="H37" i="55"/>
  <c r="T27" i="47"/>
  <c r="Z18" i="47"/>
  <c r="X18" i="52"/>
  <c r="P27" i="52"/>
  <c r="X18" i="43"/>
  <c r="P27" i="43"/>
  <c r="L18" i="41"/>
  <c r="D27" i="41"/>
  <c r="L24" i="42"/>
  <c r="D106" i="42"/>
  <c r="P31" i="40"/>
  <c r="R166" i="34"/>
  <c r="R159" i="34"/>
  <c r="R156" i="34"/>
  <c r="R144" i="34"/>
  <c r="R136" i="34"/>
  <c r="R132" i="34"/>
  <c r="R127" i="34"/>
  <c r="R115" i="34"/>
  <c r="R103" i="34"/>
  <c r="R91" i="34"/>
  <c r="R79" i="34"/>
  <c r="R71" i="34"/>
  <c r="R63" i="34"/>
  <c r="R147" i="34"/>
  <c r="R139" i="34"/>
  <c r="R126" i="34"/>
  <c r="R123" i="34"/>
  <c r="R111" i="34"/>
  <c r="R106" i="34"/>
  <c r="R102" i="34"/>
  <c r="R90" i="34"/>
  <c r="R88" i="34"/>
  <c r="P86" i="34"/>
  <c r="R78" i="34"/>
  <c r="R70" i="34"/>
  <c r="R62" i="34"/>
  <c r="R164" i="34"/>
  <c r="R161" i="34"/>
  <c r="R158" i="34"/>
  <c r="R153" i="34"/>
  <c r="R129" i="34"/>
  <c r="R117" i="34"/>
  <c r="R114" i="34"/>
  <c r="R101" i="34"/>
  <c r="R97" i="34"/>
  <c r="R77" i="34"/>
  <c r="R69" i="34"/>
  <c r="R61" i="34"/>
  <c r="R160" i="34"/>
  <c r="R155" i="34"/>
  <c r="R151" i="34"/>
  <c r="R165" i="34"/>
  <c r="R150" i="34"/>
  <c r="R146" i="34"/>
  <c r="R142" i="34"/>
  <c r="R138" i="34"/>
  <c r="R134" i="34"/>
  <c r="R122" i="34"/>
  <c r="R110" i="34"/>
  <c r="R107" i="34"/>
  <c r="R94" i="34"/>
  <c r="R82" i="34"/>
  <c r="R74" i="34"/>
  <c r="R66" i="34"/>
  <c r="R112" i="34"/>
  <c r="R109" i="34"/>
  <c r="R170" i="34"/>
  <c r="R133" i="34"/>
  <c r="R130" i="34"/>
  <c r="R113" i="34"/>
  <c r="R84" i="34"/>
  <c r="R72" i="34"/>
  <c r="R131" i="34"/>
  <c r="R118" i="34"/>
  <c r="R83" i="34"/>
  <c r="R73" i="34"/>
  <c r="R68" i="34"/>
  <c r="R67" i="34"/>
  <c r="R157" i="34"/>
  <c r="R152" i="34"/>
  <c r="R145" i="34"/>
  <c r="R143" i="34"/>
  <c r="R120" i="34"/>
  <c r="R119" i="34"/>
  <c r="R96" i="34"/>
  <c r="R95" i="34"/>
  <c r="R163" i="34"/>
  <c r="R137" i="34"/>
  <c r="R125" i="34"/>
  <c r="R121" i="34"/>
  <c r="R105" i="34"/>
  <c r="R154" i="34"/>
  <c r="R149" i="34"/>
  <c r="R141" i="34"/>
  <c r="R128" i="34"/>
  <c r="R124" i="34"/>
  <c r="R104" i="34"/>
  <c r="R100" i="34"/>
  <c r="R99" i="34"/>
  <c r="R93" i="34"/>
  <c r="R81" i="34"/>
  <c r="R65" i="34"/>
  <c r="R59" i="34"/>
  <c r="R58" i="34"/>
  <c r="R116" i="34"/>
  <c r="R108" i="34"/>
  <c r="R89" i="34"/>
  <c r="X12" i="34"/>
  <c r="Z12" i="34" s="1"/>
  <c r="R135" i="34"/>
  <c r="R60" i="34"/>
  <c r="R80" i="34"/>
  <c r="R75" i="34"/>
  <c r="R140" i="34"/>
  <c r="R92" i="34"/>
  <c r="R148" i="34"/>
  <c r="R76" i="34"/>
  <c r="R98" i="34"/>
  <c r="R64" i="34"/>
  <c r="N163" i="34"/>
  <c r="J79" i="31"/>
  <c r="J65" i="31"/>
  <c r="J61" i="31"/>
  <c r="J55" i="31"/>
  <c r="J84" i="31"/>
  <c r="J76" i="31"/>
  <c r="J75" i="31"/>
  <c r="J67" i="31"/>
  <c r="J63" i="31"/>
  <c r="J57" i="31"/>
  <c r="J49" i="31"/>
  <c r="J88" i="31"/>
  <c r="J82" i="31"/>
  <c r="J78" i="31"/>
  <c r="J74" i="31"/>
  <c r="J80" i="31"/>
  <c r="J72" i="31"/>
  <c r="J66" i="31"/>
  <c r="J62" i="31"/>
  <c r="J56" i="31"/>
  <c r="J48" i="31"/>
  <c r="J83" i="31"/>
  <c r="J77" i="31"/>
  <c r="J71" i="31"/>
  <c r="J59" i="31"/>
  <c r="J53" i="31"/>
  <c r="J47" i="31"/>
  <c r="J43" i="31"/>
  <c r="J70" i="31"/>
  <c r="J68" i="31"/>
  <c r="J51" i="31"/>
  <c r="J44" i="31"/>
  <c r="J35" i="31"/>
  <c r="J29" i="31"/>
  <c r="J73" i="31"/>
  <c r="J69" i="31"/>
  <c r="J41" i="31"/>
  <c r="J40" i="31"/>
  <c r="J28" i="31"/>
  <c r="N12" i="31"/>
  <c r="J52" i="31"/>
  <c r="J50" i="31"/>
  <c r="J42" i="31"/>
  <c r="J39" i="31"/>
  <c r="J38" i="31"/>
  <c r="J54" i="31"/>
  <c r="J37" i="31"/>
  <c r="J27" i="31"/>
  <c r="J36" i="31"/>
  <c r="J32" i="31"/>
  <c r="J64" i="31"/>
  <c r="J60" i="31"/>
  <c r="J58" i="31"/>
  <c r="J45" i="31"/>
  <c r="H32" i="31"/>
  <c r="J46" i="31"/>
  <c r="J34" i="31"/>
  <c r="J30" i="31"/>
  <c r="D31" i="32"/>
  <c r="L18" i="24"/>
  <c r="D27" i="24"/>
  <c r="V117" i="25"/>
  <c r="V107" i="25"/>
  <c r="V103" i="25"/>
  <c r="V91" i="25"/>
  <c r="V87" i="25"/>
  <c r="V79" i="25"/>
  <c r="V67" i="25"/>
  <c r="V55" i="25"/>
  <c r="V47" i="25"/>
  <c r="V110" i="25"/>
  <c r="V106" i="25"/>
  <c r="V90" i="25"/>
  <c r="V78" i="25"/>
  <c r="V66" i="25"/>
  <c r="V54" i="25"/>
  <c r="V46" i="25"/>
  <c r="V112" i="25"/>
  <c r="V92" i="25"/>
  <c r="V84" i="25"/>
  <c r="V80" i="25"/>
  <c r="V76" i="25"/>
  <c r="V64" i="25"/>
  <c r="T59" i="25"/>
  <c r="V52" i="25"/>
  <c r="V44" i="25"/>
  <c r="Z12" i="25"/>
  <c r="V121" i="25"/>
  <c r="V111" i="25"/>
  <c r="V99" i="25"/>
  <c r="V95" i="25"/>
  <c r="V83" i="25"/>
  <c r="V75" i="25"/>
  <c r="V71" i="25"/>
  <c r="V63" i="25"/>
  <c r="V51" i="25"/>
  <c r="V43" i="25"/>
  <c r="V116" i="25"/>
  <c r="V102" i="25"/>
  <c r="V98" i="25"/>
  <c r="V94" i="25"/>
  <c r="V86" i="25"/>
  <c r="V82" i="25"/>
  <c r="V74" i="25"/>
  <c r="V70" i="25"/>
  <c r="V62" i="25"/>
  <c r="V50" i="25"/>
  <c r="V42" i="25"/>
  <c r="V105" i="25"/>
  <c r="V101" i="25"/>
  <c r="V97" i="25"/>
  <c r="V85" i="25"/>
  <c r="V115" i="25"/>
  <c r="V109" i="25"/>
  <c r="V89" i="25"/>
  <c r="V65" i="25"/>
  <c r="V114" i="25"/>
  <c r="V96" i="25"/>
  <c r="V88" i="25"/>
  <c r="V77" i="25"/>
  <c r="V68" i="25"/>
  <c r="V108" i="25"/>
  <c r="V100" i="25"/>
  <c r="V81" i="25"/>
  <c r="V69" i="25"/>
  <c r="V56" i="25"/>
  <c r="V48" i="25"/>
  <c r="V93" i="25"/>
  <c r="V57" i="25"/>
  <c r="V53" i="25"/>
  <c r="V49" i="25"/>
  <c r="V45" i="25"/>
  <c r="V40" i="25"/>
  <c r="V41" i="25"/>
  <c r="V104" i="25"/>
  <c r="V72" i="25"/>
  <c r="V61" i="25"/>
  <c r="V59" i="25"/>
  <c r="V73" i="25"/>
  <c r="X18" i="20"/>
  <c r="P27" i="20"/>
  <c r="H27" i="19"/>
  <c r="N18" i="19"/>
  <c r="P36" i="19"/>
  <c r="X31" i="19"/>
  <c r="P27" i="17"/>
  <c r="X18" i="17"/>
  <c r="Z27" i="20"/>
  <c r="T31" i="20"/>
  <c r="J245" i="18"/>
  <c r="J205" i="18"/>
  <c r="J185" i="18"/>
  <c r="J169" i="18"/>
  <c r="J163" i="18"/>
  <c r="J157" i="18"/>
  <c r="J145" i="18"/>
  <c r="J137" i="18"/>
  <c r="J129" i="18"/>
  <c r="J248" i="18"/>
  <c r="J238" i="18"/>
  <c r="J234" i="18"/>
  <c r="J228" i="18"/>
  <c r="J218" i="18"/>
  <c r="J202" i="18"/>
  <c r="J196" i="18"/>
  <c r="J190" i="18"/>
  <c r="J178" i="18"/>
  <c r="J172" i="18"/>
  <c r="J168" i="18"/>
  <c r="J156" i="18"/>
  <c r="J144" i="18"/>
  <c r="J136" i="18"/>
  <c r="J128" i="18"/>
  <c r="J120" i="18"/>
  <c r="J112" i="18"/>
  <c r="J104" i="18"/>
  <c r="J243" i="18"/>
  <c r="J231" i="18"/>
  <c r="J227" i="18"/>
  <c r="J221" i="18"/>
  <c r="J213" i="18"/>
  <c r="J209" i="18"/>
  <c r="J199" i="18"/>
  <c r="J193" i="18"/>
  <c r="J187" i="18"/>
  <c r="J181" i="18"/>
  <c r="J175" i="18"/>
  <c r="J167" i="18"/>
  <c r="J155" i="18"/>
  <c r="J252" i="18"/>
  <c r="J246" i="18"/>
  <c r="J230" i="18"/>
  <c r="J226" i="18"/>
  <c r="J204" i="18"/>
  <c r="J198" i="18"/>
  <c r="J184" i="18"/>
  <c r="J174" i="18"/>
  <c r="J166" i="18"/>
  <c r="J162" i="18"/>
  <c r="J154" i="18"/>
  <c r="J142" i="18"/>
  <c r="J134" i="18"/>
  <c r="J126" i="18"/>
  <c r="J118" i="18"/>
  <c r="J110" i="18"/>
  <c r="J102" i="18"/>
  <c r="J241" i="18"/>
  <c r="J237" i="18"/>
  <c r="J233" i="18"/>
  <c r="J225" i="18"/>
  <c r="J217" i="18"/>
  <c r="J201" i="18"/>
  <c r="J195" i="18"/>
  <c r="J189" i="18"/>
  <c r="J177" i="18"/>
  <c r="J171" i="18"/>
  <c r="J165" i="18"/>
  <c r="J161" i="18"/>
  <c r="J153" i="18"/>
  <c r="J141" i="18"/>
  <c r="J133" i="18"/>
  <c r="J125" i="18"/>
  <c r="J117" i="18"/>
  <c r="J109" i="18"/>
  <c r="J101" i="18"/>
  <c r="J244" i="18"/>
  <c r="J236" i="18"/>
  <c r="J224" i="18"/>
  <c r="J220" i="18"/>
  <c r="J216" i="18"/>
  <c r="J212" i="18"/>
  <c r="J208" i="18"/>
  <c r="J192" i="18"/>
  <c r="J186" i="18"/>
  <c r="J180" i="18"/>
  <c r="J164" i="18"/>
  <c r="J160" i="18"/>
  <c r="H149" i="18"/>
  <c r="J140" i="18"/>
  <c r="J132" i="18"/>
  <c r="J124" i="18"/>
  <c r="J116" i="18"/>
  <c r="J108" i="18"/>
  <c r="J100" i="18"/>
  <c r="J247" i="18"/>
  <c r="J239" i="18"/>
  <c r="J235" i="18"/>
  <c r="J229" i="18"/>
  <c r="J223" i="18"/>
  <c r="J219" i="18"/>
  <c r="J215" i="18"/>
  <c r="J211" i="18"/>
  <c r="J207" i="18"/>
  <c r="J203" i="18"/>
  <c r="J197" i="18"/>
  <c r="J191" i="18"/>
  <c r="J183" i="18"/>
  <c r="J179" i="18"/>
  <c r="J173" i="18"/>
  <c r="J159" i="18"/>
  <c r="J151" i="18"/>
  <c r="J147" i="18"/>
  <c r="J139" i="18"/>
  <c r="J131" i="18"/>
  <c r="J123" i="18"/>
  <c r="J115" i="18"/>
  <c r="J107" i="18"/>
  <c r="J99" i="18"/>
  <c r="J210" i="18"/>
  <c r="J182" i="18"/>
  <c r="J152" i="18"/>
  <c r="J135" i="18"/>
  <c r="J122" i="18"/>
  <c r="J111" i="18"/>
  <c r="J103" i="18"/>
  <c r="J232" i="18"/>
  <c r="J138" i="18"/>
  <c r="N12" i="18"/>
  <c r="J206" i="18"/>
  <c r="J119" i="18"/>
  <c r="J242" i="18"/>
  <c r="J222" i="18"/>
  <c r="J214" i="18"/>
  <c r="J188" i="18"/>
  <c r="J200" i="18"/>
  <c r="J113" i="18"/>
  <c r="J105" i="18"/>
  <c r="J97" i="18"/>
  <c r="J121" i="18"/>
  <c r="J158" i="18"/>
  <c r="J143" i="18"/>
  <c r="J146" i="18"/>
  <c r="J170" i="18"/>
  <c r="J98" i="18"/>
  <c r="J127" i="18"/>
  <c r="J106" i="18"/>
  <c r="J194" i="18"/>
  <c r="J176" i="18"/>
  <c r="J130" i="18"/>
  <c r="J114" i="18"/>
  <c r="L18" i="20"/>
  <c r="N18" i="17"/>
  <c r="H27" i="17"/>
  <c r="X217" i="15"/>
  <c r="L18" i="4"/>
  <c r="D27" i="4"/>
  <c r="Z18" i="16"/>
  <c r="T27" i="16"/>
  <c r="X27" i="16" s="1"/>
  <c r="H27" i="8"/>
  <c r="N18" i="8"/>
  <c r="R273" i="3"/>
  <c r="R262" i="3"/>
  <c r="R247" i="3"/>
  <c r="R239" i="3"/>
  <c r="R231" i="3"/>
  <c r="R227" i="3"/>
  <c r="R223" i="3"/>
  <c r="R219" i="3"/>
  <c r="R216" i="3"/>
  <c r="R199" i="3"/>
  <c r="R196" i="3"/>
  <c r="R187" i="3"/>
  <c r="R179" i="3"/>
  <c r="R167" i="3"/>
  <c r="R155" i="3"/>
  <c r="R147" i="3"/>
  <c r="R139" i="3"/>
  <c r="R131" i="3"/>
  <c r="R123" i="3"/>
  <c r="R115" i="3"/>
  <c r="R277" i="3"/>
  <c r="R265" i="3"/>
  <c r="R250" i="3"/>
  <c r="R246" i="3"/>
  <c r="R235" i="3"/>
  <c r="R230" i="3"/>
  <c r="R226" i="3"/>
  <c r="R222" i="3"/>
  <c r="R210" i="3"/>
  <c r="R207" i="3"/>
  <c r="R186" i="3"/>
  <c r="R183" i="3"/>
  <c r="R178" i="3"/>
  <c r="R174" i="3"/>
  <c r="R166" i="3"/>
  <c r="R154" i="3"/>
  <c r="R146" i="3"/>
  <c r="R138" i="3"/>
  <c r="R130" i="3"/>
  <c r="R122" i="3"/>
  <c r="R114" i="3"/>
  <c r="R107" i="3"/>
  <c r="R268" i="3"/>
  <c r="R260" i="3"/>
  <c r="R249" i="3"/>
  <c r="R245" i="3"/>
  <c r="R238" i="3"/>
  <c r="R221" i="3"/>
  <c r="R218" i="3"/>
  <c r="R213" i="3"/>
  <c r="R201" i="3"/>
  <c r="R198" i="3"/>
  <c r="R189" i="3"/>
  <c r="R177" i="3"/>
  <c r="R173" i="3"/>
  <c r="R165" i="3"/>
  <c r="R163" i="3"/>
  <c r="P161" i="3"/>
  <c r="R161" i="3" s="1"/>
  <c r="R153" i="3"/>
  <c r="R145" i="3"/>
  <c r="R137" i="3"/>
  <c r="R129" i="3"/>
  <c r="R121" i="3"/>
  <c r="R113" i="3"/>
  <c r="R263" i="3"/>
  <c r="R256" i="3"/>
  <c r="R252" i="3"/>
  <c r="R244" i="3"/>
  <c r="R229" i="3"/>
  <c r="R225" i="3"/>
  <c r="R212" i="3"/>
  <c r="R209" i="3"/>
  <c r="R204" i="3"/>
  <c r="R192" i="3"/>
  <c r="R185" i="3"/>
  <c r="R176" i="3"/>
  <c r="R172" i="3"/>
  <c r="R152" i="3"/>
  <c r="R144" i="3"/>
  <c r="R136" i="3"/>
  <c r="R128" i="3"/>
  <c r="R120" i="3"/>
  <c r="R112" i="3"/>
  <c r="R266" i="3"/>
  <c r="R255" i="3"/>
  <c r="R248" i="3"/>
  <c r="R243" i="3"/>
  <c r="R220" i="3"/>
  <c r="R215" i="3"/>
  <c r="R203" i="3"/>
  <c r="R200" i="3"/>
  <c r="R195" i="3"/>
  <c r="R191" i="3"/>
  <c r="R188" i="3"/>
  <c r="R171" i="3"/>
  <c r="R164" i="3"/>
  <c r="R159" i="3"/>
  <c r="R151" i="3"/>
  <c r="R143" i="3"/>
  <c r="R135" i="3"/>
  <c r="R127" i="3"/>
  <c r="R119" i="3"/>
  <c r="R111" i="3"/>
  <c r="R278" i="3"/>
  <c r="R269" i="3"/>
  <c r="R261" i="3"/>
  <c r="R258" i="3"/>
  <c r="R254" i="3"/>
  <c r="R251" i="3"/>
  <c r="R242" i="3"/>
  <c r="R234" i="3"/>
  <c r="R211" i="3"/>
  <c r="R206" i="3"/>
  <c r="R194" i="3"/>
  <c r="R182" i="3"/>
  <c r="R175" i="3"/>
  <c r="R170" i="3"/>
  <c r="R158" i="3"/>
  <c r="R150" i="3"/>
  <c r="R142" i="3"/>
  <c r="R134" i="3"/>
  <c r="R126" i="3"/>
  <c r="R118" i="3"/>
  <c r="R110" i="3"/>
  <c r="R264" i="3"/>
  <c r="R241" i="3"/>
  <c r="R237" i="3"/>
  <c r="R233" i="3"/>
  <c r="R217" i="3"/>
  <c r="R214" i="3"/>
  <c r="R202" i="3"/>
  <c r="R197" i="3"/>
  <c r="R190" i="3"/>
  <c r="R181" i="3"/>
  <c r="R169" i="3"/>
  <c r="R157" i="3"/>
  <c r="R149" i="3"/>
  <c r="R141" i="3"/>
  <c r="R133" i="3"/>
  <c r="R125" i="3"/>
  <c r="R117" i="3"/>
  <c r="R109" i="3"/>
  <c r="R224" i="3"/>
  <c r="R208" i="3"/>
  <c r="R205" i="3"/>
  <c r="R180" i="3"/>
  <c r="R240" i="3"/>
  <c r="R193" i="3"/>
  <c r="R168" i="3"/>
  <c r="R148" i="3"/>
  <c r="R257" i="3"/>
  <c r="R253" i="3"/>
  <c r="R236" i="3"/>
  <c r="R228" i="3"/>
  <c r="R124" i="3"/>
  <c r="R116" i="3"/>
  <c r="R108" i="3"/>
  <c r="R267" i="3"/>
  <c r="R156" i="3"/>
  <c r="X12" i="3"/>
  <c r="Z12" i="3" s="1"/>
  <c r="R140" i="3"/>
  <c r="R232" i="3"/>
  <c r="R184" i="3"/>
  <c r="R132" i="3"/>
  <c r="P97" i="9"/>
  <c r="N16" i="6"/>
  <c r="H22" i="6"/>
  <c r="Z18" i="10"/>
  <c r="T27" i="10"/>
  <c r="T36" i="11"/>
  <c r="Z36" i="11" s="1"/>
  <c r="Z31" i="11"/>
  <c r="P44" i="74"/>
  <c r="X17" i="74"/>
  <c r="T44" i="74"/>
  <c r="Z17" i="74"/>
  <c r="V134" i="69"/>
  <c r="V126" i="69"/>
  <c r="V122" i="69"/>
  <c r="V110" i="69"/>
  <c r="V90" i="69"/>
  <c r="V143" i="69"/>
  <c r="V137" i="69"/>
  <c r="V133" i="69"/>
  <c r="V129" i="69"/>
  <c r="V125" i="69"/>
  <c r="V121" i="69"/>
  <c r="V113" i="69"/>
  <c r="V109" i="69"/>
  <c r="V101" i="69"/>
  <c r="V89" i="69"/>
  <c r="V85" i="69"/>
  <c r="V77" i="69"/>
  <c r="V69" i="69"/>
  <c r="V61" i="69"/>
  <c r="V146" i="69"/>
  <c r="V136" i="69"/>
  <c r="V132" i="69"/>
  <c r="V128" i="69"/>
  <c r="V124" i="69"/>
  <c r="V112" i="69"/>
  <c r="V100" i="69"/>
  <c r="V88" i="69"/>
  <c r="V144" i="69"/>
  <c r="V138" i="69"/>
  <c r="V130" i="69"/>
  <c r="V118" i="69"/>
  <c r="V114" i="69"/>
  <c r="V106" i="69"/>
  <c r="V102" i="69"/>
  <c r="V98" i="69"/>
  <c r="V94" i="69"/>
  <c r="V86" i="69"/>
  <c r="V74" i="69"/>
  <c r="V66" i="69"/>
  <c r="V58" i="69"/>
  <c r="V141" i="69"/>
  <c r="V117" i="69"/>
  <c r="V105" i="69"/>
  <c r="V97" i="69"/>
  <c r="V93" i="69"/>
  <c r="V81" i="69"/>
  <c r="V73" i="69"/>
  <c r="V65" i="69"/>
  <c r="V57" i="69"/>
  <c r="V119" i="69"/>
  <c r="V111" i="69"/>
  <c r="V99" i="69"/>
  <c r="V96" i="69"/>
  <c r="V76" i="69"/>
  <c r="V68" i="69"/>
  <c r="V56" i="69"/>
  <c r="V139" i="69"/>
  <c r="V120" i="69"/>
  <c r="V107" i="69"/>
  <c r="V87" i="69"/>
  <c r="V62" i="69"/>
  <c r="V108" i="69"/>
  <c r="V91" i="69"/>
  <c r="V72" i="69"/>
  <c r="V64" i="69"/>
  <c r="V63" i="69"/>
  <c r="V123" i="69"/>
  <c r="V116" i="69"/>
  <c r="V92" i="69"/>
  <c r="V80" i="69"/>
  <c r="V79" i="69"/>
  <c r="V78" i="69"/>
  <c r="V71" i="69"/>
  <c r="V70" i="69"/>
  <c r="V150" i="69"/>
  <c r="V135" i="69"/>
  <c r="V104" i="69"/>
  <c r="T83" i="69"/>
  <c r="V131" i="69"/>
  <c r="V115" i="69"/>
  <c r="V59" i="69"/>
  <c r="V145" i="69"/>
  <c r="V127" i="69"/>
  <c r="V103" i="69"/>
  <c r="V60" i="69"/>
  <c r="V67" i="69"/>
  <c r="V140" i="69"/>
  <c r="V75" i="69"/>
  <c r="V95" i="69"/>
  <c r="P46" i="61"/>
  <c r="X16" i="61"/>
  <c r="D62" i="57"/>
  <c r="L16" i="57"/>
  <c r="N16" i="56"/>
  <c r="H67" i="56"/>
  <c r="L67" i="56" s="1"/>
  <c r="X18" i="47"/>
  <c r="P27" i="47"/>
  <c r="D27" i="29"/>
  <c r="L18" i="29"/>
  <c r="L18" i="27"/>
  <c r="D27" i="27"/>
  <c r="H27" i="16"/>
  <c r="N18" i="16"/>
  <c r="T27" i="99"/>
  <c r="Z18" i="99"/>
  <c r="L18" i="99"/>
  <c r="D27" i="99"/>
  <c r="H68" i="97"/>
  <c r="H42" i="93"/>
  <c r="N38" i="93"/>
  <c r="D82" i="92"/>
  <c r="Z66" i="86"/>
  <c r="J87" i="85"/>
  <c r="J79" i="85"/>
  <c r="J73" i="85"/>
  <c r="J65" i="85"/>
  <c r="J57" i="85"/>
  <c r="J49" i="85"/>
  <c r="J43" i="85"/>
  <c r="J37" i="85"/>
  <c r="J25" i="85"/>
  <c r="J76" i="85"/>
  <c r="J72" i="85"/>
  <c r="J64" i="85"/>
  <c r="J60" i="85"/>
  <c r="J54" i="85"/>
  <c r="J40" i="85"/>
  <c r="J36" i="85"/>
  <c r="J32" i="85"/>
  <c r="J24" i="85"/>
  <c r="J20" i="85"/>
  <c r="N12" i="85"/>
  <c r="J71" i="85"/>
  <c r="J67" i="85"/>
  <c r="J63" i="85"/>
  <c r="J59" i="85"/>
  <c r="J51" i="85"/>
  <c r="J45" i="85"/>
  <c r="J35" i="85"/>
  <c r="J31" i="85"/>
  <c r="H20" i="85"/>
  <c r="J82" i="85"/>
  <c r="J78" i="85"/>
  <c r="J70" i="85"/>
  <c r="J62" i="85"/>
  <c r="J56" i="85"/>
  <c r="J48" i="85"/>
  <c r="J42" i="85"/>
  <c r="J34" i="85"/>
  <c r="J30" i="85"/>
  <c r="J22" i="85"/>
  <c r="J18" i="85"/>
  <c r="J75" i="85"/>
  <c r="J69" i="85"/>
  <c r="J53" i="85"/>
  <c r="J39" i="85"/>
  <c r="J29" i="85"/>
  <c r="J23" i="85"/>
  <c r="J17" i="85"/>
  <c r="J80" i="85"/>
  <c r="J66" i="85"/>
  <c r="J58" i="85"/>
  <c r="J50" i="85"/>
  <c r="J44" i="85"/>
  <c r="J28" i="85"/>
  <c r="J47" i="85"/>
  <c r="J33" i="85"/>
  <c r="J27" i="85"/>
  <c r="J77" i="85"/>
  <c r="J41" i="85"/>
  <c r="J74" i="85"/>
  <c r="J68" i="85"/>
  <c r="J55" i="85"/>
  <c r="J52" i="85"/>
  <c r="J38" i="85"/>
  <c r="J16" i="85"/>
  <c r="J46" i="85"/>
  <c r="J83" i="85"/>
  <c r="J61" i="85"/>
  <c r="J26" i="85"/>
  <c r="P69" i="86"/>
  <c r="F45" i="90"/>
  <c r="F35" i="90"/>
  <c r="F32" i="90"/>
  <c r="F27" i="90"/>
  <c r="D18" i="90"/>
  <c r="F16" i="90"/>
  <c r="F49" i="90"/>
  <c r="F43" i="90"/>
  <c r="F38" i="90"/>
  <c r="F34" i="90"/>
  <c r="F29" i="90"/>
  <c r="F26" i="90"/>
  <c r="F21" i="90"/>
  <c r="F20" i="90"/>
  <c r="F36" i="90"/>
  <c r="F31" i="90"/>
  <c r="F28" i="90"/>
  <c r="F24" i="90"/>
  <c r="F15" i="90"/>
  <c r="L12" i="90"/>
  <c r="F25" i="90"/>
  <c r="F18" i="90"/>
  <c r="F30" i="90"/>
  <c r="F42" i="90"/>
  <c r="F22" i="90"/>
  <c r="F39" i="90"/>
  <c r="F40" i="90"/>
  <c r="F41" i="90"/>
  <c r="F23" i="90"/>
  <c r="F33" i="90"/>
  <c r="F37" i="90"/>
  <c r="N16" i="80"/>
  <c r="H32" i="80"/>
  <c r="V18" i="87"/>
  <c r="P30" i="89"/>
  <c r="X16" i="89"/>
  <c r="T35" i="82"/>
  <c r="Z16" i="82"/>
  <c r="V20" i="85"/>
  <c r="P32" i="80"/>
  <c r="X16" i="80"/>
  <c r="D36" i="80"/>
  <c r="L32" i="80"/>
  <c r="H30" i="78"/>
  <c r="R108" i="77"/>
  <c r="R97" i="77"/>
  <c r="R96" i="77"/>
  <c r="R112" i="77"/>
  <c r="R106" i="77"/>
  <c r="R103" i="77"/>
  <c r="R105" i="77"/>
  <c r="R100" i="77"/>
  <c r="R92" i="77"/>
  <c r="R88" i="77"/>
  <c r="R84" i="77"/>
  <c r="R81" i="77"/>
  <c r="R76" i="77"/>
  <c r="R73" i="77"/>
  <c r="R82" i="77"/>
  <c r="R75" i="77"/>
  <c r="R63" i="77"/>
  <c r="R59" i="77"/>
  <c r="R39" i="77"/>
  <c r="R87" i="77"/>
  <c r="R70" i="77"/>
  <c r="R67" i="77"/>
  <c r="R62" i="77"/>
  <c r="R58" i="77"/>
  <c r="R51" i="77"/>
  <c r="R46" i="77"/>
  <c r="R86" i="77"/>
  <c r="R61" i="77"/>
  <c r="R57" i="77"/>
  <c r="R45" i="77"/>
  <c r="R38" i="77"/>
  <c r="R99" i="77"/>
  <c r="R98" i="77"/>
  <c r="R89" i="77"/>
  <c r="R85" i="77"/>
  <c r="R80" i="77"/>
  <c r="R79" i="77"/>
  <c r="R74" i="77"/>
  <c r="R69" i="77"/>
  <c r="R56" i="77"/>
  <c r="R44" i="77"/>
  <c r="X12" i="77"/>
  <c r="Z12" i="77" s="1"/>
  <c r="R101" i="77"/>
  <c r="R91" i="77"/>
  <c r="R90" i="77"/>
  <c r="R60" i="77"/>
  <c r="R55" i="77"/>
  <c r="R43" i="77"/>
  <c r="R104" i="77"/>
  <c r="R83" i="77"/>
  <c r="R66" i="77"/>
  <c r="R54" i="77"/>
  <c r="R42" i="77"/>
  <c r="R102" i="77"/>
  <c r="R93" i="77"/>
  <c r="R78" i="77"/>
  <c r="R77" i="77"/>
  <c r="R72" i="77"/>
  <c r="R71" i="77"/>
  <c r="R65" i="77"/>
  <c r="R53" i="77"/>
  <c r="R41" i="77"/>
  <c r="R95" i="77"/>
  <c r="R94" i="77"/>
  <c r="R68" i="77"/>
  <c r="R64" i="77"/>
  <c r="R52" i="77"/>
  <c r="R50" i="77"/>
  <c r="P48" i="77"/>
  <c r="R40" i="77"/>
  <c r="R27" i="75"/>
  <c r="R23" i="75"/>
  <c r="P23" i="75"/>
  <c r="R21" i="75"/>
  <c r="R20" i="75"/>
  <c r="R19" i="75"/>
  <c r="R18" i="75"/>
  <c r="R31" i="75"/>
  <c r="R25" i="75"/>
  <c r="X12" i="75"/>
  <c r="Z12" i="75" s="1"/>
  <c r="N98" i="71"/>
  <c r="P50" i="67"/>
  <c r="F43" i="67"/>
  <c r="F40" i="67"/>
  <c r="F35" i="67"/>
  <c r="F32" i="67"/>
  <c r="F21" i="67"/>
  <c r="L12" i="67"/>
  <c r="F57" i="67"/>
  <c r="F50" i="67"/>
  <c r="F31" i="67"/>
  <c r="D21" i="67"/>
  <c r="F19" i="67"/>
  <c r="F45" i="67"/>
  <c r="F42" i="67"/>
  <c r="F37" i="67"/>
  <c r="F34" i="67"/>
  <c r="F30" i="67"/>
  <c r="F29" i="67"/>
  <c r="F24" i="67"/>
  <c r="F23" i="67"/>
  <c r="F44" i="67"/>
  <c r="F39" i="67"/>
  <c r="F36" i="67"/>
  <c r="F28" i="67"/>
  <c r="F54" i="67"/>
  <c r="F48" i="67"/>
  <c r="F27" i="67"/>
  <c r="F18" i="67"/>
  <c r="F52" i="67"/>
  <c r="F46" i="67"/>
  <c r="F41" i="67"/>
  <c r="F38" i="67"/>
  <c r="F33" i="67"/>
  <c r="F26" i="67"/>
  <c r="F25" i="67"/>
  <c r="R121" i="66"/>
  <c r="R99" i="66"/>
  <c r="R95" i="66"/>
  <c r="R92" i="66"/>
  <c r="R111" i="66"/>
  <c r="R102" i="66"/>
  <c r="R98" i="66"/>
  <c r="R86" i="66"/>
  <c r="R74" i="66"/>
  <c r="R116" i="66"/>
  <c r="R105" i="66"/>
  <c r="R101" i="66"/>
  <c r="R97" i="66"/>
  <c r="R94" i="66"/>
  <c r="R82" i="66"/>
  <c r="R73" i="66"/>
  <c r="R69" i="66"/>
  <c r="R62" i="66"/>
  <c r="R57" i="66"/>
  <c r="R49" i="66"/>
  <c r="R41" i="66"/>
  <c r="R108" i="66"/>
  <c r="R104" i="66"/>
  <c r="R88" i="66"/>
  <c r="R85" i="66"/>
  <c r="R114" i="66"/>
  <c r="R107" i="66"/>
  <c r="R100" i="66"/>
  <c r="R96" i="66"/>
  <c r="R91" i="66"/>
  <c r="R79" i="66"/>
  <c r="R72" i="66"/>
  <c r="R67" i="66"/>
  <c r="R55" i="66"/>
  <c r="R47" i="66"/>
  <c r="R117" i="66"/>
  <c r="R110" i="66"/>
  <c r="R103" i="66"/>
  <c r="R90" i="66"/>
  <c r="R87" i="66"/>
  <c r="R78" i="66"/>
  <c r="R66" i="66"/>
  <c r="R54" i="66"/>
  <c r="R46" i="66"/>
  <c r="R106" i="66"/>
  <c r="R93" i="66"/>
  <c r="R81" i="66"/>
  <c r="R77" i="66"/>
  <c r="R65" i="66"/>
  <c r="R53" i="66"/>
  <c r="R45" i="66"/>
  <c r="R115" i="66"/>
  <c r="P59" i="66"/>
  <c r="R42" i="66"/>
  <c r="R83" i="66"/>
  <c r="R44" i="66"/>
  <c r="R43" i="66"/>
  <c r="R89" i="66"/>
  <c r="R84" i="66"/>
  <c r="R76" i="66"/>
  <c r="R75" i="66"/>
  <c r="R70" i="66"/>
  <c r="X12" i="66"/>
  <c r="Z12" i="66" s="1"/>
  <c r="R112" i="66"/>
  <c r="R80" i="66"/>
  <c r="R71" i="66"/>
  <c r="R56" i="66"/>
  <c r="R50" i="66"/>
  <c r="R40" i="66"/>
  <c r="R68" i="66"/>
  <c r="R52" i="66"/>
  <c r="R51" i="66"/>
  <c r="R61" i="66"/>
  <c r="R109" i="66"/>
  <c r="R48" i="66"/>
  <c r="R63" i="66"/>
  <c r="R59" i="66"/>
  <c r="R64" i="66"/>
  <c r="X16" i="59"/>
  <c r="P56" i="59"/>
  <c r="H100" i="62"/>
  <c r="N18" i="62"/>
  <c r="T104" i="62"/>
  <c r="J114" i="66"/>
  <c r="J110" i="66"/>
  <c r="J100" i="66"/>
  <c r="J96" i="66"/>
  <c r="J90" i="66"/>
  <c r="J117" i="66"/>
  <c r="J103" i="66"/>
  <c r="J93" i="66"/>
  <c r="J87" i="66"/>
  <c r="J81" i="66"/>
  <c r="J77" i="66"/>
  <c r="J112" i="66"/>
  <c r="J106" i="66"/>
  <c r="J84" i="66"/>
  <c r="J76" i="66"/>
  <c r="J64" i="66"/>
  <c r="J52" i="66"/>
  <c r="J44" i="66"/>
  <c r="N12" i="66"/>
  <c r="J121" i="66"/>
  <c r="J115" i="66"/>
  <c r="J109" i="66"/>
  <c r="J99" i="66"/>
  <c r="J95" i="66"/>
  <c r="J89" i="66"/>
  <c r="J83" i="66"/>
  <c r="J102" i="66"/>
  <c r="J98" i="66"/>
  <c r="J92" i="66"/>
  <c r="J86" i="66"/>
  <c r="J80" i="66"/>
  <c r="J74" i="66"/>
  <c r="J70" i="66"/>
  <c r="H59" i="66"/>
  <c r="J50" i="66"/>
  <c r="J42" i="66"/>
  <c r="J111" i="66"/>
  <c r="J105" i="66"/>
  <c r="J101" i="66"/>
  <c r="J97" i="66"/>
  <c r="J73" i="66"/>
  <c r="J69" i="66"/>
  <c r="J61" i="66"/>
  <c r="J57" i="66"/>
  <c r="J49" i="66"/>
  <c r="J41" i="66"/>
  <c r="J116" i="66"/>
  <c r="J108" i="66"/>
  <c r="J104" i="66"/>
  <c r="J94" i="66"/>
  <c r="J88" i="66"/>
  <c r="J82" i="66"/>
  <c r="J68" i="66"/>
  <c r="J62" i="66"/>
  <c r="J56" i="66"/>
  <c r="J48" i="66"/>
  <c r="J51" i="66"/>
  <c r="J78" i="66"/>
  <c r="J53" i="66"/>
  <c r="J47" i="66"/>
  <c r="J63" i="66"/>
  <c r="J59" i="66"/>
  <c r="J54" i="66"/>
  <c r="J65" i="66"/>
  <c r="J91" i="66"/>
  <c r="J85" i="66"/>
  <c r="J79" i="66"/>
  <c r="J72" i="66"/>
  <c r="J66" i="66"/>
  <c r="J43" i="66"/>
  <c r="J75" i="66"/>
  <c r="J55" i="66"/>
  <c r="J71" i="66"/>
  <c r="J46" i="66"/>
  <c r="J107" i="66"/>
  <c r="J67" i="66"/>
  <c r="J40" i="66"/>
  <c r="J45" i="66"/>
  <c r="V85" i="64"/>
  <c r="V79" i="64"/>
  <c r="V71" i="64"/>
  <c r="V67" i="64"/>
  <c r="V59" i="64"/>
  <c r="V43" i="64"/>
  <c r="V31" i="64"/>
  <c r="V78" i="64"/>
  <c r="V74" i="64"/>
  <c r="V70" i="64"/>
  <c r="V62" i="64"/>
  <c r="V58" i="64"/>
  <c r="V81" i="64"/>
  <c r="V77" i="64"/>
  <c r="V73" i="64"/>
  <c r="V61" i="64"/>
  <c r="V53" i="64"/>
  <c r="V37" i="64"/>
  <c r="V29" i="64"/>
  <c r="V80" i="64"/>
  <c r="V76" i="64"/>
  <c r="V64" i="64"/>
  <c r="V52" i="64"/>
  <c r="V48" i="64"/>
  <c r="V36" i="64"/>
  <c r="V89" i="64"/>
  <c r="V83" i="64"/>
  <c r="V75" i="64"/>
  <c r="V63" i="64"/>
  <c r="V55" i="64"/>
  <c r="V51" i="64"/>
  <c r="V47" i="64"/>
  <c r="V35" i="64"/>
  <c r="V27" i="64"/>
  <c r="V82" i="64"/>
  <c r="V66" i="64"/>
  <c r="V54" i="64"/>
  <c r="V44" i="64"/>
  <c r="V30" i="64"/>
  <c r="V45" i="64"/>
  <c r="V46" i="64"/>
  <c r="V72" i="64"/>
  <c r="V60" i="64"/>
  <c r="V32" i="64"/>
  <c r="V56" i="64"/>
  <c r="V49" i="64"/>
  <c r="V42" i="64"/>
  <c r="T39" i="64"/>
  <c r="V39" i="64" s="1"/>
  <c r="V34" i="64"/>
  <c r="V33" i="64"/>
  <c r="V68" i="64"/>
  <c r="V50" i="64"/>
  <c r="Z12" i="64"/>
  <c r="V57" i="64"/>
  <c r="V69" i="64"/>
  <c r="V41" i="64"/>
  <c r="V65" i="64"/>
  <c r="V28" i="64"/>
  <c r="T27" i="52"/>
  <c r="Z18" i="52"/>
  <c r="J88" i="51"/>
  <c r="J80" i="51"/>
  <c r="J74" i="51"/>
  <c r="J66" i="51"/>
  <c r="J62" i="51"/>
  <c r="J54" i="51"/>
  <c r="J50" i="51"/>
  <c r="J42" i="51"/>
  <c r="J36" i="51"/>
  <c r="J95" i="51"/>
  <c r="J85" i="51"/>
  <c r="J71" i="51"/>
  <c r="J61" i="51"/>
  <c r="J55" i="51"/>
  <c r="J49" i="51"/>
  <c r="J41" i="51"/>
  <c r="J100" i="51"/>
  <c r="J92" i="51"/>
  <c r="J82" i="51"/>
  <c r="J76" i="51"/>
  <c r="J60" i="51"/>
  <c r="J48" i="51"/>
  <c r="J40" i="51"/>
  <c r="J91" i="51"/>
  <c r="J87" i="51"/>
  <c r="J79" i="51"/>
  <c r="J73" i="51"/>
  <c r="J65" i="51"/>
  <c r="J59" i="51"/>
  <c r="J47" i="51"/>
  <c r="J39" i="51"/>
  <c r="J98" i="51"/>
  <c r="J94" i="51"/>
  <c r="J90" i="51"/>
  <c r="J84" i="51"/>
  <c r="J78" i="51"/>
  <c r="J70" i="51"/>
  <c r="J58" i="51"/>
  <c r="J46" i="51"/>
  <c r="J38" i="51"/>
  <c r="J101" i="51"/>
  <c r="J89" i="51"/>
  <c r="J81" i="51"/>
  <c r="J75" i="51"/>
  <c r="J69" i="51"/>
  <c r="J57" i="51"/>
  <c r="J45" i="51"/>
  <c r="J37" i="51"/>
  <c r="J96" i="51"/>
  <c r="J86" i="51"/>
  <c r="J72" i="51"/>
  <c r="J68" i="51"/>
  <c r="J64" i="51"/>
  <c r="J56" i="51"/>
  <c r="J44" i="51"/>
  <c r="N12" i="51"/>
  <c r="J83" i="51"/>
  <c r="J77" i="51"/>
  <c r="J99" i="51"/>
  <c r="J67" i="51"/>
  <c r="J43" i="51"/>
  <c r="J93" i="51"/>
  <c r="H52" i="51"/>
  <c r="J105" i="51"/>
  <c r="J63" i="51"/>
  <c r="T67" i="56"/>
  <c r="Z16" i="56"/>
  <c r="T27" i="44"/>
  <c r="Z18" i="44"/>
  <c r="D27" i="47"/>
  <c r="L18" i="47"/>
  <c r="X24" i="42"/>
  <c r="P106" i="42"/>
  <c r="D27" i="38"/>
  <c r="L18" i="38"/>
  <c r="R88" i="45"/>
  <c r="R83" i="45"/>
  <c r="R68" i="45"/>
  <c r="R64" i="45"/>
  <c r="R59" i="45"/>
  <c r="R56" i="45"/>
  <c r="R93" i="45"/>
  <c r="R82" i="45"/>
  <c r="R75" i="45"/>
  <c r="R63" i="45"/>
  <c r="R51" i="45"/>
  <c r="R48" i="45"/>
  <c r="R43" i="45"/>
  <c r="R36" i="45"/>
  <c r="R31" i="45"/>
  <c r="R87" i="45"/>
  <c r="R74" i="45"/>
  <c r="R73" i="45"/>
  <c r="R62" i="45"/>
  <c r="R42" i="45"/>
  <c r="R30" i="45"/>
  <c r="R19" i="45"/>
  <c r="R86" i="45"/>
  <c r="R61" i="45"/>
  <c r="R60" i="45"/>
  <c r="R50" i="45"/>
  <c r="R45" i="45"/>
  <c r="R41" i="45"/>
  <c r="R29" i="45"/>
  <c r="R85" i="45"/>
  <c r="R84" i="45"/>
  <c r="R69" i="45"/>
  <c r="R55" i="45"/>
  <c r="R40" i="45"/>
  <c r="R28" i="45"/>
  <c r="R80" i="45"/>
  <c r="R79" i="45"/>
  <c r="R78" i="45"/>
  <c r="R65" i="45"/>
  <c r="R53" i="45"/>
  <c r="R52" i="45"/>
  <c r="R38" i="45"/>
  <c r="R34" i="45"/>
  <c r="R89" i="45"/>
  <c r="R67" i="45"/>
  <c r="R66" i="45"/>
  <c r="R49" i="45"/>
  <c r="R46" i="45"/>
  <c r="R37" i="45"/>
  <c r="R33" i="45"/>
  <c r="R26" i="45"/>
  <c r="R21" i="45"/>
  <c r="R91" i="45"/>
  <c r="R90" i="45"/>
  <c r="R57" i="45"/>
  <c r="R32" i="45"/>
  <c r="R20" i="45"/>
  <c r="X12" i="45"/>
  <c r="R81" i="45"/>
  <c r="R71" i="45"/>
  <c r="P23" i="45"/>
  <c r="R76" i="45"/>
  <c r="R58" i="45"/>
  <c r="R39" i="45"/>
  <c r="R77" i="45"/>
  <c r="R72" i="45"/>
  <c r="R54" i="45"/>
  <c r="R47" i="45"/>
  <c r="R25" i="45"/>
  <c r="R70" i="45"/>
  <c r="R27" i="45"/>
  <c r="R97" i="45"/>
  <c r="R44" i="45"/>
  <c r="R35" i="45"/>
  <c r="R114" i="39"/>
  <c r="R103" i="39"/>
  <c r="R99" i="39"/>
  <c r="R92" i="39"/>
  <c r="R75" i="39"/>
  <c r="R72" i="39"/>
  <c r="R60" i="39"/>
  <c r="R55" i="39"/>
  <c r="R98" i="39"/>
  <c r="R82" i="39"/>
  <c r="R112" i="39"/>
  <c r="R105" i="39"/>
  <c r="R102" i="39"/>
  <c r="R97" i="39"/>
  <c r="R89" i="39"/>
  <c r="R81" i="39"/>
  <c r="R77" i="39"/>
  <c r="R74" i="39"/>
  <c r="R69" i="39"/>
  <c r="R57" i="39"/>
  <c r="R54" i="39"/>
  <c r="R49" i="39"/>
  <c r="R45" i="39"/>
  <c r="R37" i="39"/>
  <c r="R35" i="39"/>
  <c r="P33" i="39"/>
  <c r="R107" i="39"/>
  <c r="R104" i="39"/>
  <c r="R95" i="39"/>
  <c r="R91" i="39"/>
  <c r="R87" i="39"/>
  <c r="R79" i="39"/>
  <c r="R76" i="39"/>
  <c r="R71" i="39"/>
  <c r="R59" i="39"/>
  <c r="R56" i="39"/>
  <c r="R47" i="39"/>
  <c r="R43" i="39"/>
  <c r="R36" i="39"/>
  <c r="R113" i="39"/>
  <c r="R110" i="39"/>
  <c r="R94" i="39"/>
  <c r="R86" i="39"/>
  <c r="R83" i="39"/>
  <c r="R67" i="39"/>
  <c r="R62" i="39"/>
  <c r="R42" i="39"/>
  <c r="R30" i="39"/>
  <c r="R106" i="39"/>
  <c r="R96" i="39"/>
  <c r="R90" i="39"/>
  <c r="R73" i="39"/>
  <c r="R64" i="39"/>
  <c r="R63" i="39"/>
  <c r="R53" i="39"/>
  <c r="R52" i="39"/>
  <c r="R51" i="39"/>
  <c r="R50" i="39"/>
  <c r="R39" i="39"/>
  <c r="R38" i="39"/>
  <c r="R108" i="39"/>
  <c r="R100" i="39"/>
  <c r="R41" i="39"/>
  <c r="R40" i="39"/>
  <c r="X12" i="39"/>
  <c r="Z12" i="39" s="1"/>
  <c r="R109" i="39"/>
  <c r="R101" i="39"/>
  <c r="R29" i="39"/>
  <c r="R28" i="39"/>
  <c r="R93" i="39"/>
  <c r="R68" i="39"/>
  <c r="R58" i="39"/>
  <c r="R46" i="39"/>
  <c r="R44" i="39"/>
  <c r="R33" i="39"/>
  <c r="R119" i="39"/>
  <c r="R88" i="39"/>
  <c r="R48" i="39"/>
  <c r="R31" i="39"/>
  <c r="R84" i="39"/>
  <c r="R70" i="39"/>
  <c r="R65" i="39"/>
  <c r="R85" i="39"/>
  <c r="R78" i="39"/>
  <c r="R66" i="39"/>
  <c r="R61" i="39"/>
  <c r="R80" i="39"/>
  <c r="R115" i="39"/>
  <c r="H27" i="40"/>
  <c r="N18" i="40"/>
  <c r="X18" i="40"/>
  <c r="F107" i="36"/>
  <c r="F103" i="36"/>
  <c r="F95" i="36"/>
  <c r="F90" i="36"/>
  <c r="F82" i="36"/>
  <c r="F79" i="36"/>
  <c r="F55" i="36"/>
  <c r="F50" i="36"/>
  <c r="F47" i="36"/>
  <c r="F35" i="36"/>
  <c r="F30" i="36"/>
  <c r="F29" i="36"/>
  <c r="F111" i="36"/>
  <c r="F106" i="36"/>
  <c r="F94" i="36"/>
  <c r="F86" i="36"/>
  <c r="F78" i="36"/>
  <c r="F74" i="36"/>
  <c r="F69" i="36"/>
  <c r="F66" i="36"/>
  <c r="F61" i="36"/>
  <c r="F58" i="36"/>
  <c r="F46" i="36"/>
  <c r="F34" i="36"/>
  <c r="F114" i="36"/>
  <c r="F109" i="36"/>
  <c r="F105" i="36"/>
  <c r="F100" i="36"/>
  <c r="F93" i="36"/>
  <c r="F89" i="36"/>
  <c r="F85" i="36"/>
  <c r="F81" i="36"/>
  <c r="F77" i="36"/>
  <c r="F52" i="36"/>
  <c r="F49" i="36"/>
  <c r="F45" i="36"/>
  <c r="F40" i="36"/>
  <c r="F33" i="36"/>
  <c r="F118" i="36"/>
  <c r="F112" i="36"/>
  <c r="F102" i="36"/>
  <c r="F99" i="36"/>
  <c r="F91" i="36"/>
  <c r="F83" i="36"/>
  <c r="F54" i="36"/>
  <c r="F51" i="36"/>
  <c r="F43" i="36"/>
  <c r="F39" i="36"/>
  <c r="F31" i="36"/>
  <c r="F98" i="36"/>
  <c r="F73" i="36"/>
  <c r="F70" i="36"/>
  <c r="F65" i="36"/>
  <c r="F62" i="36"/>
  <c r="F57" i="36"/>
  <c r="F42" i="36"/>
  <c r="F38" i="36"/>
  <c r="F76" i="36"/>
  <c r="F75" i="36"/>
  <c r="F68" i="36"/>
  <c r="F67" i="36"/>
  <c r="F60" i="36"/>
  <c r="F59" i="36"/>
  <c r="F23" i="36"/>
  <c r="F113" i="36"/>
  <c r="F80" i="36"/>
  <c r="F32" i="36"/>
  <c r="F24" i="36"/>
  <c r="F92" i="36"/>
  <c r="F71" i="36"/>
  <c r="F63" i="36"/>
  <c r="F36" i="36"/>
  <c r="F25" i="36"/>
  <c r="F72" i="36"/>
  <c r="F64" i="36"/>
  <c r="F56" i="36"/>
  <c r="F37" i="36"/>
  <c r="F97" i="36"/>
  <c r="F53" i="36"/>
  <c r="F41" i="36"/>
  <c r="D27" i="36"/>
  <c r="L12" i="36"/>
  <c r="F108" i="36"/>
  <c r="F101" i="36"/>
  <c r="F84" i="36"/>
  <c r="F48" i="36"/>
  <c r="F44" i="36"/>
  <c r="F88" i="36"/>
  <c r="F104" i="36"/>
  <c r="F96" i="36"/>
  <c r="F87" i="36"/>
  <c r="V33" i="39"/>
  <c r="F161" i="28"/>
  <c r="F155" i="28"/>
  <c r="F152" i="28"/>
  <c r="F148" i="28"/>
  <c r="F140" i="28"/>
  <c r="F136" i="28"/>
  <c r="F132" i="28"/>
  <c r="F123" i="28"/>
  <c r="F120" i="28"/>
  <c r="F108" i="28"/>
  <c r="F103" i="28"/>
  <c r="F92" i="28"/>
  <c r="F87" i="28"/>
  <c r="F86" i="28"/>
  <c r="F80" i="28"/>
  <c r="F72" i="28"/>
  <c r="F64" i="28"/>
  <c r="F147" i="28"/>
  <c r="F143" i="28"/>
  <c r="F139" i="28"/>
  <c r="F135" i="28"/>
  <c r="F131" i="28"/>
  <c r="F126" i="28"/>
  <c r="F114" i="28"/>
  <c r="F111" i="28"/>
  <c r="F91" i="28"/>
  <c r="F79" i="28"/>
  <c r="F71" i="28"/>
  <c r="F63" i="28"/>
  <c r="F157" i="28"/>
  <c r="F154" i="28"/>
  <c r="F146" i="28"/>
  <c r="F142" i="28"/>
  <c r="F138" i="28"/>
  <c r="F122" i="28"/>
  <c r="F110" i="28"/>
  <c r="F105" i="28"/>
  <c r="F102" i="28"/>
  <c r="F90" i="28"/>
  <c r="F78" i="28"/>
  <c r="F70" i="28"/>
  <c r="F162" i="28"/>
  <c r="F145" i="28"/>
  <c r="F128" i="28"/>
  <c r="F125" i="28"/>
  <c r="F116" i="28"/>
  <c r="F113" i="28"/>
  <c r="F101" i="28"/>
  <c r="F96" i="28"/>
  <c r="F89" i="28"/>
  <c r="F77" i="28"/>
  <c r="F69" i="28"/>
  <c r="F61" i="28"/>
  <c r="F56" i="28"/>
  <c r="F156" i="28"/>
  <c r="F151" i="28"/>
  <c r="F124" i="28"/>
  <c r="F119" i="28"/>
  <c r="F107" i="28"/>
  <c r="F104" i="28"/>
  <c r="F100" i="28"/>
  <c r="F88" i="28"/>
  <c r="F76" i="28"/>
  <c r="F68" i="28"/>
  <c r="F60" i="28"/>
  <c r="L12" i="28"/>
  <c r="N12" i="28" s="1"/>
  <c r="F160" i="28"/>
  <c r="F134" i="28"/>
  <c r="F130" i="28"/>
  <c r="F127" i="28"/>
  <c r="F115" i="28"/>
  <c r="F99" i="28"/>
  <c r="F95" i="28"/>
  <c r="F75" i="28"/>
  <c r="F67" i="28"/>
  <c r="F59" i="28"/>
  <c r="F163" i="28"/>
  <c r="F158" i="28"/>
  <c r="F153" i="28"/>
  <c r="F150" i="28"/>
  <c r="F141" i="28"/>
  <c r="F137" i="28"/>
  <c r="F121" i="28"/>
  <c r="F118" i="28"/>
  <c r="F109" i="28"/>
  <c r="F106" i="28"/>
  <c r="F98" i="28"/>
  <c r="F94" i="28"/>
  <c r="D84" i="28"/>
  <c r="F82" i="28"/>
  <c r="F74" i="28"/>
  <c r="F66" i="28"/>
  <c r="F58" i="28"/>
  <c r="F112" i="28"/>
  <c r="F93" i="28"/>
  <c r="F81" i="28"/>
  <c r="F65" i="28"/>
  <c r="F57" i="28"/>
  <c r="F97" i="28"/>
  <c r="F149" i="28"/>
  <c r="F129" i="28"/>
  <c r="F133" i="28"/>
  <c r="F117" i="28"/>
  <c r="F73" i="28"/>
  <c r="F62" i="28"/>
  <c r="F167" i="28"/>
  <c r="F144" i="28"/>
  <c r="Z18" i="23"/>
  <c r="T27" i="23"/>
  <c r="N27" i="23"/>
  <c r="H31" i="23"/>
  <c r="T86" i="31"/>
  <c r="P31" i="29"/>
  <c r="H224" i="15"/>
  <c r="L27" i="11"/>
  <c r="D31" i="11"/>
  <c r="H27" i="4"/>
  <c r="N18" i="4"/>
  <c r="P67" i="56"/>
  <c r="X16" i="56"/>
  <c r="Z82" i="31"/>
  <c r="P31" i="26"/>
  <c r="J121" i="25"/>
  <c r="J115" i="25"/>
  <c r="J109" i="25"/>
  <c r="J99" i="25"/>
  <c r="J95" i="25"/>
  <c r="J89" i="25"/>
  <c r="J83" i="25"/>
  <c r="J75" i="25"/>
  <c r="J71" i="25"/>
  <c r="J63" i="25"/>
  <c r="J59" i="25"/>
  <c r="J51" i="25"/>
  <c r="J43" i="25"/>
  <c r="J102" i="25"/>
  <c r="J98" i="25"/>
  <c r="J92" i="25"/>
  <c r="J86" i="25"/>
  <c r="J80" i="25"/>
  <c r="J74" i="25"/>
  <c r="J70" i="25"/>
  <c r="H59" i="25"/>
  <c r="J50" i="25"/>
  <c r="J42" i="25"/>
  <c r="J116" i="25"/>
  <c r="J108" i="25"/>
  <c r="J104" i="25"/>
  <c r="J94" i="25"/>
  <c r="J88" i="25"/>
  <c r="J82" i="25"/>
  <c r="J68" i="25"/>
  <c r="J62" i="25"/>
  <c r="J56" i="25"/>
  <c r="J48" i="25"/>
  <c r="J107" i="25"/>
  <c r="J91" i="25"/>
  <c r="J85" i="25"/>
  <c r="J79" i="25"/>
  <c r="J67" i="25"/>
  <c r="J55" i="25"/>
  <c r="J47" i="25"/>
  <c r="J114" i="25"/>
  <c r="J110" i="25"/>
  <c r="J100" i="25"/>
  <c r="J96" i="25"/>
  <c r="J90" i="25"/>
  <c r="J78" i="25"/>
  <c r="J72" i="25"/>
  <c r="J66" i="25"/>
  <c r="J54" i="25"/>
  <c r="J46" i="25"/>
  <c r="J40" i="25"/>
  <c r="J117" i="25"/>
  <c r="J103" i="25"/>
  <c r="J93" i="25"/>
  <c r="J87" i="25"/>
  <c r="J81" i="25"/>
  <c r="J77" i="25"/>
  <c r="J101" i="25"/>
  <c r="J76" i="25"/>
  <c r="J64" i="25"/>
  <c r="J57" i="25"/>
  <c r="J49" i="25"/>
  <c r="J41" i="25"/>
  <c r="J84" i="25"/>
  <c r="J61" i="25"/>
  <c r="J105" i="25"/>
  <c r="J73" i="25"/>
  <c r="J65" i="25"/>
  <c r="J106" i="25"/>
  <c r="J111" i="25"/>
  <c r="J52" i="25"/>
  <c r="J44" i="25"/>
  <c r="J69" i="25"/>
  <c r="J53" i="25"/>
  <c r="N12" i="25"/>
  <c r="J45" i="25"/>
  <c r="J97" i="25"/>
  <c r="J112" i="25"/>
  <c r="L18" i="16"/>
  <c r="D27" i="16"/>
  <c r="Z20" i="96"/>
  <c r="T38" i="93"/>
  <c r="Z19" i="93"/>
  <c r="L66" i="86"/>
  <c r="N16" i="91"/>
  <c r="H48" i="91"/>
  <c r="P32" i="88"/>
  <c r="X16" i="88"/>
  <c r="H69" i="86"/>
  <c r="N17" i="86"/>
  <c r="N16" i="81"/>
  <c r="H77" i="81"/>
  <c r="L77" i="81" s="1"/>
  <c r="T30" i="89"/>
  <c r="Z16" i="89"/>
  <c r="D81" i="81"/>
  <c r="L16" i="80"/>
  <c r="H44" i="74"/>
  <c r="N17" i="74"/>
  <c r="T29" i="75"/>
  <c r="L23" i="75"/>
  <c r="N23" i="75" s="1"/>
  <c r="P77" i="73"/>
  <c r="X23" i="73"/>
  <c r="Z23" i="73" s="1"/>
  <c r="V94" i="71"/>
  <c r="V90" i="71"/>
  <c r="V86" i="71"/>
  <c r="V78" i="71"/>
  <c r="V70" i="71"/>
  <c r="V58" i="71"/>
  <c r="V54" i="71"/>
  <c r="V52" i="71"/>
  <c r="V46" i="71"/>
  <c r="V38" i="71"/>
  <c r="V99" i="71"/>
  <c r="V93" i="71"/>
  <c r="V89" i="71"/>
  <c r="V81" i="71"/>
  <c r="V77" i="71"/>
  <c r="V69" i="71"/>
  <c r="V57" i="71"/>
  <c r="T52" i="71"/>
  <c r="X52" i="71" s="1"/>
  <c r="V96" i="71"/>
  <c r="V88" i="71"/>
  <c r="V80" i="71"/>
  <c r="V72" i="71"/>
  <c r="V68" i="71"/>
  <c r="V64" i="71"/>
  <c r="V56" i="71"/>
  <c r="V105" i="71"/>
  <c r="V100" i="71"/>
  <c r="V82" i="71"/>
  <c r="V74" i="71"/>
  <c r="V66" i="71"/>
  <c r="V62" i="71"/>
  <c r="V85" i="71"/>
  <c r="V73" i="71"/>
  <c r="V65" i="71"/>
  <c r="V61" i="71"/>
  <c r="V49" i="71"/>
  <c r="V41" i="71"/>
  <c r="V95" i="71"/>
  <c r="V55" i="71"/>
  <c r="V44" i="71"/>
  <c r="V42" i="71"/>
  <c r="V83" i="71"/>
  <c r="V71" i="71"/>
  <c r="V45" i="71"/>
  <c r="V43" i="71"/>
  <c r="V79" i="71"/>
  <c r="V48" i="71"/>
  <c r="V47" i="71"/>
  <c r="V59" i="71"/>
  <c r="V50" i="71"/>
  <c r="V98" i="71"/>
  <c r="V36" i="71"/>
  <c r="V87" i="71"/>
  <c r="V67" i="71"/>
  <c r="V63" i="71"/>
  <c r="V60" i="71"/>
  <c r="V37" i="71"/>
  <c r="V101" i="71"/>
  <c r="V91" i="71"/>
  <c r="V76" i="71"/>
  <c r="V75" i="71"/>
  <c r="V39" i="71"/>
  <c r="V92" i="71"/>
  <c r="V40" i="71"/>
  <c r="V84" i="71"/>
  <c r="V81" i="70"/>
  <c r="V75" i="70"/>
  <c r="V71" i="70"/>
  <c r="V67" i="70"/>
  <c r="V51" i="70"/>
  <c r="V35" i="70"/>
  <c r="V78" i="70"/>
  <c r="V70" i="70"/>
  <c r="V66" i="70"/>
  <c r="V54" i="70"/>
  <c r="V46" i="70"/>
  <c r="V34" i="70"/>
  <c r="V77" i="70"/>
  <c r="V69" i="70"/>
  <c r="V57" i="70"/>
  <c r="V53" i="70"/>
  <c r="V45" i="70"/>
  <c r="V41" i="70"/>
  <c r="V33" i="70"/>
  <c r="V68" i="70"/>
  <c r="V56" i="70"/>
  <c r="V48" i="70"/>
  <c r="V44" i="70"/>
  <c r="V40" i="70"/>
  <c r="V28" i="70"/>
  <c r="Z12" i="70"/>
  <c r="V85" i="70"/>
  <c r="V63" i="70"/>
  <c r="V59" i="70"/>
  <c r="V55" i="70"/>
  <c r="V47" i="70"/>
  <c r="V43" i="70"/>
  <c r="V39" i="70"/>
  <c r="V27" i="70"/>
  <c r="V80" i="70"/>
  <c r="V74" i="70"/>
  <c r="V62" i="70"/>
  <c r="V58" i="70"/>
  <c r="V50" i="70"/>
  <c r="V42" i="70"/>
  <c r="V38" i="70"/>
  <c r="V73" i="70"/>
  <c r="V65" i="70"/>
  <c r="V61" i="70"/>
  <c r="V49" i="70"/>
  <c r="V37" i="70"/>
  <c r="V52" i="70"/>
  <c r="V32" i="70"/>
  <c r="V30" i="70"/>
  <c r="T30" i="70"/>
  <c r="V60" i="70"/>
  <c r="V72" i="70"/>
  <c r="V36" i="70"/>
  <c r="V76" i="70"/>
  <c r="V64" i="70"/>
  <c r="X30" i="70"/>
  <c r="P83" i="70"/>
  <c r="J143" i="69"/>
  <c r="P63" i="65"/>
  <c r="F85" i="64"/>
  <c r="F76" i="64"/>
  <c r="F67" i="64"/>
  <c r="F64" i="64"/>
  <c r="F52" i="64"/>
  <c r="F48" i="64"/>
  <c r="F36" i="64"/>
  <c r="F28" i="64"/>
  <c r="L12" i="64"/>
  <c r="F89" i="64"/>
  <c r="F83" i="64"/>
  <c r="F70" i="64"/>
  <c r="F58" i="64"/>
  <c r="F73" i="64"/>
  <c r="F66" i="64"/>
  <c r="F61" i="64"/>
  <c r="F50" i="64"/>
  <c r="F46" i="64"/>
  <c r="F34" i="64"/>
  <c r="F80" i="64"/>
  <c r="F69" i="64"/>
  <c r="F57" i="64"/>
  <c r="F45" i="64"/>
  <c r="F33" i="64"/>
  <c r="F75" i="64"/>
  <c r="F72" i="64"/>
  <c r="F68" i="64"/>
  <c r="F63" i="64"/>
  <c r="F60" i="64"/>
  <c r="F44" i="64"/>
  <c r="F32" i="64"/>
  <c r="F27" i="64"/>
  <c r="F82" i="64"/>
  <c r="F79" i="64"/>
  <c r="F71" i="64"/>
  <c r="F59" i="64"/>
  <c r="F54" i="64"/>
  <c r="F74" i="64"/>
  <c r="F49" i="64"/>
  <c r="D39" i="64"/>
  <c r="F35" i="64"/>
  <c r="F56" i="64"/>
  <c r="F51" i="64"/>
  <c r="F43" i="64"/>
  <c r="F65" i="64"/>
  <c r="F42" i="64"/>
  <c r="F29" i="64"/>
  <c r="F37" i="64"/>
  <c r="F31" i="64"/>
  <c r="F30" i="64"/>
  <c r="F77" i="64"/>
  <c r="F53" i="64"/>
  <c r="F81" i="64"/>
  <c r="F47" i="64"/>
  <c r="F78" i="64"/>
  <c r="F39" i="64"/>
  <c r="F62" i="64"/>
  <c r="F55" i="64"/>
  <c r="F41" i="64"/>
  <c r="D104" i="62"/>
  <c r="N16" i="59"/>
  <c r="H56" i="59"/>
  <c r="L56" i="59" s="1"/>
  <c r="J89" i="64"/>
  <c r="J83" i="64"/>
  <c r="J73" i="64"/>
  <c r="J61" i="64"/>
  <c r="J55" i="64"/>
  <c r="J51" i="64"/>
  <c r="J47" i="64"/>
  <c r="J35" i="64"/>
  <c r="J80" i="64"/>
  <c r="J66" i="64"/>
  <c r="J94" i="64"/>
  <c r="J87" i="64"/>
  <c r="J75" i="64"/>
  <c r="J69" i="64"/>
  <c r="J63" i="64"/>
  <c r="J57" i="64"/>
  <c r="J45" i="64"/>
  <c r="J33" i="64"/>
  <c r="J27" i="64"/>
  <c r="J82" i="64"/>
  <c r="J72" i="64"/>
  <c r="J68" i="64"/>
  <c r="J60" i="64"/>
  <c r="J54" i="64"/>
  <c r="J44" i="64"/>
  <c r="J32" i="64"/>
  <c r="J79" i="64"/>
  <c r="J71" i="64"/>
  <c r="J65" i="64"/>
  <c r="J59" i="64"/>
  <c r="J49" i="64"/>
  <c r="J43" i="64"/>
  <c r="J39" i="64"/>
  <c r="J31" i="64"/>
  <c r="J78" i="64"/>
  <c r="J74" i="64"/>
  <c r="J62" i="64"/>
  <c r="J56" i="64"/>
  <c r="J34" i="64"/>
  <c r="N12" i="64"/>
  <c r="J70" i="64"/>
  <c r="J58" i="64"/>
  <c r="J50" i="64"/>
  <c r="J42" i="64"/>
  <c r="J91" i="64"/>
  <c r="J64" i="64"/>
  <c r="J36" i="64"/>
  <c r="J29" i="64"/>
  <c r="J28" i="64"/>
  <c r="J76" i="64"/>
  <c r="J52" i="64"/>
  <c r="J37" i="64"/>
  <c r="J30" i="64"/>
  <c r="J77" i="64"/>
  <c r="J53" i="64"/>
  <c r="J85" i="64"/>
  <c r="J81" i="64"/>
  <c r="J67" i="64"/>
  <c r="J41" i="64"/>
  <c r="J46" i="64"/>
  <c r="H39" i="64"/>
  <c r="J48" i="64"/>
  <c r="Z61" i="48"/>
  <c r="L16" i="59"/>
  <c r="L18" i="52"/>
  <c r="D27" i="52"/>
  <c r="P53" i="60"/>
  <c r="N98" i="51"/>
  <c r="H27" i="50"/>
  <c r="L27" i="50" s="1"/>
  <c r="N18" i="50"/>
  <c r="F61" i="48"/>
  <c r="F40" i="48"/>
  <c r="F32" i="48"/>
  <c r="F28" i="48"/>
  <c r="F59" i="48"/>
  <c r="F46" i="48"/>
  <c r="F43" i="48"/>
  <c r="F31" i="48"/>
  <c r="F27" i="48"/>
  <c r="D17" i="48"/>
  <c r="F53" i="48"/>
  <c r="F42" i="48"/>
  <c r="F37" i="48"/>
  <c r="F26" i="48"/>
  <c r="F62" i="48"/>
  <c r="F56" i="48"/>
  <c r="F48" i="48"/>
  <c r="F45" i="48"/>
  <c r="F25" i="48"/>
  <c r="F20" i="48"/>
  <c r="F19" i="48"/>
  <c r="F66" i="48"/>
  <c r="F52" i="48"/>
  <c r="F39" i="48"/>
  <c r="F36" i="48"/>
  <c r="F24" i="48"/>
  <c r="F58" i="48"/>
  <c r="F55" i="48"/>
  <c r="F51" i="48"/>
  <c r="F47" i="48"/>
  <c r="F35" i="48"/>
  <c r="F30" i="48"/>
  <c r="F23" i="48"/>
  <c r="F54" i="48"/>
  <c r="F50" i="48"/>
  <c r="F41" i="48"/>
  <c r="F38" i="48"/>
  <c r="F34" i="48"/>
  <c r="F22" i="48"/>
  <c r="F57" i="48"/>
  <c r="F44" i="48"/>
  <c r="F33" i="48"/>
  <c r="F17" i="48"/>
  <c r="L12" i="48"/>
  <c r="N12" i="48" s="1"/>
  <c r="F49" i="48"/>
  <c r="F21" i="48"/>
  <c r="F29" i="48"/>
  <c r="F15" i="48"/>
  <c r="D31" i="50"/>
  <c r="L16" i="56"/>
  <c r="V61" i="48"/>
  <c r="V55" i="48"/>
  <c r="V51" i="48"/>
  <c r="V47" i="48"/>
  <c r="V35" i="48"/>
  <c r="V54" i="48"/>
  <c r="V50" i="48"/>
  <c r="V46" i="48"/>
  <c r="V38" i="48"/>
  <c r="V34" i="48"/>
  <c r="V22" i="48"/>
  <c r="T17" i="48"/>
  <c r="V57" i="48"/>
  <c r="V53" i="48"/>
  <c r="V49" i="48"/>
  <c r="V37" i="48"/>
  <c r="V33" i="48"/>
  <c r="V29" i="48"/>
  <c r="V21" i="48"/>
  <c r="V62" i="48"/>
  <c r="V56" i="48"/>
  <c r="V48" i="48"/>
  <c r="V40" i="48"/>
  <c r="V32" i="48"/>
  <c r="V28" i="48"/>
  <c r="V20" i="48"/>
  <c r="V59" i="48"/>
  <c r="V43" i="48"/>
  <c r="V39" i="48"/>
  <c r="V31" i="48"/>
  <c r="V27" i="48"/>
  <c r="V58" i="48"/>
  <c r="V42" i="48"/>
  <c r="V30" i="48"/>
  <c r="V26" i="48"/>
  <c r="V45" i="48"/>
  <c r="V41" i="48"/>
  <c r="V25" i="48"/>
  <c r="X12" i="48"/>
  <c r="V36" i="48"/>
  <c r="V23" i="48"/>
  <c r="V52" i="48"/>
  <c r="V15" i="48"/>
  <c r="V24" i="48"/>
  <c r="V66" i="48"/>
  <c r="V19" i="48"/>
  <c r="Z12" i="48"/>
  <c r="V44" i="48"/>
  <c r="D27" i="44"/>
  <c r="L18" i="44"/>
  <c r="V97" i="42"/>
  <c r="V93" i="42"/>
  <c r="V85" i="42"/>
  <c r="V77" i="42"/>
  <c r="V73" i="42"/>
  <c r="V69" i="42"/>
  <c r="V65" i="42"/>
  <c r="V57" i="42"/>
  <c r="V49" i="42"/>
  <c r="V102" i="42"/>
  <c r="V96" i="42"/>
  <c r="V84" i="42"/>
  <c r="V80" i="42"/>
  <c r="V76" i="42"/>
  <c r="V72" i="42"/>
  <c r="V68" i="42"/>
  <c r="V60" i="42"/>
  <c r="V52" i="42"/>
  <c r="V48" i="42"/>
  <c r="V32" i="42"/>
  <c r="V20" i="42"/>
  <c r="Z12" i="42"/>
  <c r="V99" i="42"/>
  <c r="V95" i="42"/>
  <c r="V83" i="42"/>
  <c r="V79" i="42"/>
  <c r="V75" i="42"/>
  <c r="V67" i="42"/>
  <c r="V59" i="42"/>
  <c r="V51" i="42"/>
  <c r="V43" i="42"/>
  <c r="V31" i="42"/>
  <c r="V108" i="42"/>
  <c r="V98" i="42"/>
  <c r="V90" i="42"/>
  <c r="V82" i="42"/>
  <c r="V74" i="42"/>
  <c r="V62" i="42"/>
  <c r="V54" i="42"/>
  <c r="V50" i="42"/>
  <c r="V42" i="42"/>
  <c r="V30" i="42"/>
  <c r="V26" i="42"/>
  <c r="V92" i="42"/>
  <c r="V88" i="42"/>
  <c r="V64" i="42"/>
  <c r="V56" i="42"/>
  <c r="V44" i="42"/>
  <c r="V40" i="42"/>
  <c r="V36" i="42"/>
  <c r="V28" i="42"/>
  <c r="V101" i="42"/>
  <c r="V91" i="42"/>
  <c r="V87" i="42"/>
  <c r="V71" i="42"/>
  <c r="V63" i="42"/>
  <c r="V55" i="42"/>
  <c r="V47" i="42"/>
  <c r="V39" i="42"/>
  <c r="V35" i="42"/>
  <c r="V27" i="42"/>
  <c r="V104" i="42"/>
  <c r="V103" i="42"/>
  <c r="V70" i="42"/>
  <c r="V66" i="42"/>
  <c r="V58" i="42"/>
  <c r="V45" i="42"/>
  <c r="T24" i="42"/>
  <c r="V94" i="42"/>
  <c r="V89" i="42"/>
  <c r="V78" i="42"/>
  <c r="V41" i="42"/>
  <c r="V38" i="42"/>
  <c r="V86" i="42"/>
  <c r="V33" i="42"/>
  <c r="V29" i="42"/>
  <c r="V34" i="42"/>
  <c r="V81" i="42"/>
  <c r="V61" i="42"/>
  <c r="V53" i="42"/>
  <c r="V21" i="42"/>
  <c r="V46" i="42"/>
  <c r="V22" i="42"/>
  <c r="V37" i="42"/>
  <c r="T22" i="54"/>
  <c r="Z16" i="54"/>
  <c r="X12" i="42"/>
  <c r="X18" i="44"/>
  <c r="H106" i="42"/>
  <c r="N24" i="42"/>
  <c r="L111" i="36"/>
  <c r="N111" i="36" s="1"/>
  <c r="Z18" i="38"/>
  <c r="T27" i="38"/>
  <c r="T31" i="43"/>
  <c r="Z27" i="43"/>
  <c r="J110" i="39"/>
  <c r="J104" i="39"/>
  <c r="J94" i="39"/>
  <c r="J86" i="39"/>
  <c r="J76" i="39"/>
  <c r="J62" i="39"/>
  <c r="J56" i="39"/>
  <c r="J119" i="39"/>
  <c r="J113" i="39"/>
  <c r="J101" i="39"/>
  <c r="J93" i="39"/>
  <c r="J83" i="39"/>
  <c r="J106" i="39"/>
  <c r="J100" i="39"/>
  <c r="J90" i="39"/>
  <c r="J78" i="39"/>
  <c r="J70" i="39"/>
  <c r="J64" i="39"/>
  <c r="J58" i="39"/>
  <c r="J52" i="39"/>
  <c r="J46" i="39"/>
  <c r="J40" i="39"/>
  <c r="J114" i="39"/>
  <c r="J98" i="39"/>
  <c r="J92" i="39"/>
  <c r="J82" i="39"/>
  <c r="J72" i="39"/>
  <c r="J66" i="39"/>
  <c r="J60" i="39"/>
  <c r="J50" i="39"/>
  <c r="J38" i="39"/>
  <c r="J105" i="39"/>
  <c r="J97" i="39"/>
  <c r="J89" i="39"/>
  <c r="J81" i="39"/>
  <c r="J77" i="39"/>
  <c r="J69" i="39"/>
  <c r="J63" i="39"/>
  <c r="J57" i="39"/>
  <c r="J49" i="39"/>
  <c r="J45" i="39"/>
  <c r="J37" i="39"/>
  <c r="J33" i="39"/>
  <c r="J85" i="39"/>
  <c r="J84" i="39"/>
  <c r="J65" i="39"/>
  <c r="J36" i="39"/>
  <c r="J71" i="39"/>
  <c r="J61" i="39"/>
  <c r="J115" i="39"/>
  <c r="J112" i="39"/>
  <c r="J80" i="39"/>
  <c r="J79" i="39"/>
  <c r="J74" i="39"/>
  <c r="J54" i="39"/>
  <c r="J99" i="39"/>
  <c r="J96" i="39"/>
  <c r="J95" i="39"/>
  <c r="J73" i="39"/>
  <c r="J53" i="39"/>
  <c r="J51" i="39"/>
  <c r="J39" i="39"/>
  <c r="J35" i="39"/>
  <c r="J109" i="39"/>
  <c r="J108" i="39"/>
  <c r="J107" i="39"/>
  <c r="J102" i="39"/>
  <c r="J91" i="39"/>
  <c r="J75" i="39"/>
  <c r="J55" i="39"/>
  <c r="J42" i="39"/>
  <c r="J41" i="39"/>
  <c r="J43" i="39"/>
  <c r="J30" i="39"/>
  <c r="J29" i="39"/>
  <c r="J28" i="39"/>
  <c r="J103" i="39"/>
  <c r="J87" i="39"/>
  <c r="J68" i="39"/>
  <c r="J47" i="39"/>
  <c r="J44" i="39"/>
  <c r="H33" i="39"/>
  <c r="J31" i="39"/>
  <c r="J67" i="39"/>
  <c r="J88" i="39"/>
  <c r="J59" i="39"/>
  <c r="J48" i="39"/>
  <c r="Z112" i="39"/>
  <c r="T31" i="35"/>
  <c r="Z27" i="35"/>
  <c r="P27" i="33"/>
  <c r="X18" i="33"/>
  <c r="H27" i="32"/>
  <c r="L27" i="32" s="1"/>
  <c r="N18" i="32"/>
  <c r="L18" i="23"/>
  <c r="D27" i="23"/>
  <c r="X18" i="22"/>
  <c r="P27" i="22"/>
  <c r="P27" i="27"/>
  <c r="X18" i="27"/>
  <c r="D31" i="22"/>
  <c r="P119" i="25"/>
  <c r="J88" i="21"/>
  <c r="J72" i="21"/>
  <c r="J66" i="21"/>
  <c r="J58" i="21"/>
  <c r="J52" i="21"/>
  <c r="J38" i="21"/>
  <c r="J26" i="21"/>
  <c r="J85" i="21"/>
  <c r="J79" i="21"/>
  <c r="J63" i="21"/>
  <c r="J57" i="21"/>
  <c r="J49" i="21"/>
  <c r="J43" i="21"/>
  <c r="J37" i="21"/>
  <c r="J90" i="21"/>
  <c r="J84" i="21"/>
  <c r="J74" i="21"/>
  <c r="J68" i="21"/>
  <c r="J60" i="21"/>
  <c r="J54" i="21"/>
  <c r="J48" i="21"/>
  <c r="J36" i="21"/>
  <c r="J97" i="21"/>
  <c r="J87" i="21"/>
  <c r="J83" i="21"/>
  <c r="J71" i="21"/>
  <c r="J65" i="21"/>
  <c r="J51" i="21"/>
  <c r="J47" i="21"/>
  <c r="J35" i="21"/>
  <c r="J25" i="21"/>
  <c r="J82" i="21"/>
  <c r="J78" i="21"/>
  <c r="J70" i="21"/>
  <c r="J62" i="21"/>
  <c r="J56" i="21"/>
  <c r="J46" i="21"/>
  <c r="J42" i="21"/>
  <c r="J34" i="21"/>
  <c r="J89" i="21"/>
  <c r="J81" i="21"/>
  <c r="J77" i="21"/>
  <c r="J73" i="21"/>
  <c r="J67" i="21"/>
  <c r="J59" i="21"/>
  <c r="J53" i="21"/>
  <c r="J45" i="21"/>
  <c r="J41" i="21"/>
  <c r="H30" i="21"/>
  <c r="J93" i="21"/>
  <c r="J86" i="21"/>
  <c r="J80" i="21"/>
  <c r="J76" i="21"/>
  <c r="J64" i="21"/>
  <c r="J50" i="21"/>
  <c r="J44" i="21"/>
  <c r="J40" i="21"/>
  <c r="J32" i="21"/>
  <c r="J28" i="21"/>
  <c r="N12" i="21"/>
  <c r="J75" i="21"/>
  <c r="J55" i="21"/>
  <c r="J39" i="21"/>
  <c r="J91" i="21"/>
  <c r="J27" i="21"/>
  <c r="J33" i="21"/>
  <c r="J69" i="21"/>
  <c r="J61" i="21"/>
  <c r="P31" i="16"/>
  <c r="D22" i="6"/>
  <c r="L16" i="6"/>
  <c r="J217" i="15"/>
  <c r="N27" i="14"/>
  <c r="H31" i="14"/>
  <c r="X27" i="5"/>
  <c r="P31" i="5"/>
  <c r="X260" i="3"/>
  <c r="L27" i="10"/>
  <c r="F268" i="3"/>
  <c r="F260" i="3"/>
  <c r="F255" i="3"/>
  <c r="F243" i="3"/>
  <c r="F238" i="3"/>
  <c r="F218" i="3"/>
  <c r="F215" i="3"/>
  <c r="F203" i="3"/>
  <c r="F198" i="3"/>
  <c r="F195" i="3"/>
  <c r="F191" i="3"/>
  <c r="F171" i="3"/>
  <c r="D161" i="3"/>
  <c r="F159" i="3"/>
  <c r="F151" i="3"/>
  <c r="F143" i="3"/>
  <c r="F135" i="3"/>
  <c r="F127" i="3"/>
  <c r="F119" i="3"/>
  <c r="F111" i="3"/>
  <c r="F263" i="3"/>
  <c r="F258" i="3"/>
  <c r="F254" i="3"/>
  <c r="F242" i="3"/>
  <c r="F234" i="3"/>
  <c r="F229" i="3"/>
  <c r="F225" i="3"/>
  <c r="F209" i="3"/>
  <c r="F206" i="3"/>
  <c r="F194" i="3"/>
  <c r="F185" i="3"/>
  <c r="F182" i="3"/>
  <c r="F170" i="3"/>
  <c r="F158" i="3"/>
  <c r="F150" i="3"/>
  <c r="F142" i="3"/>
  <c r="F134" i="3"/>
  <c r="F126" i="3"/>
  <c r="F118" i="3"/>
  <c r="F110" i="3"/>
  <c r="F266" i="3"/>
  <c r="F248" i="3"/>
  <c r="F241" i="3"/>
  <c r="F237" i="3"/>
  <c r="F233" i="3"/>
  <c r="F220" i="3"/>
  <c r="F217" i="3"/>
  <c r="F200" i="3"/>
  <c r="F197" i="3"/>
  <c r="F188" i="3"/>
  <c r="F181" i="3"/>
  <c r="F169" i="3"/>
  <c r="F164" i="3"/>
  <c r="F163" i="3"/>
  <c r="F157" i="3"/>
  <c r="F149" i="3"/>
  <c r="F141" i="3"/>
  <c r="F133" i="3"/>
  <c r="F125" i="3"/>
  <c r="F117" i="3"/>
  <c r="F109" i="3"/>
  <c r="F278" i="3"/>
  <c r="F269" i="3"/>
  <c r="F261" i="3"/>
  <c r="F251" i="3"/>
  <c r="F240" i="3"/>
  <c r="F236" i="3"/>
  <c r="F232" i="3"/>
  <c r="F228" i="3"/>
  <c r="F224" i="3"/>
  <c r="F211" i="3"/>
  <c r="F208" i="3"/>
  <c r="F184" i="3"/>
  <c r="F180" i="3"/>
  <c r="F175" i="3"/>
  <c r="F168" i="3"/>
  <c r="F156" i="3"/>
  <c r="F148" i="3"/>
  <c r="F140" i="3"/>
  <c r="F132" i="3"/>
  <c r="F124" i="3"/>
  <c r="F116" i="3"/>
  <c r="F108" i="3"/>
  <c r="L12" i="3"/>
  <c r="N12" i="3" s="1"/>
  <c r="F273" i="3"/>
  <c r="F264" i="3"/>
  <c r="F247" i="3"/>
  <c r="F239" i="3"/>
  <c r="F231" i="3"/>
  <c r="F227" i="3"/>
  <c r="F223" i="3"/>
  <c r="F219" i="3"/>
  <c r="F214" i="3"/>
  <c r="F202" i="3"/>
  <c r="F199" i="3"/>
  <c r="F190" i="3"/>
  <c r="F187" i="3"/>
  <c r="F179" i="3"/>
  <c r="F167" i="3"/>
  <c r="F155" i="3"/>
  <c r="F147" i="3"/>
  <c r="F139" i="3"/>
  <c r="F131" i="3"/>
  <c r="F123" i="3"/>
  <c r="F115" i="3"/>
  <c r="F267" i="3"/>
  <c r="F257" i="3"/>
  <c r="F253" i="3"/>
  <c r="F250" i="3"/>
  <c r="F246" i="3"/>
  <c r="F230" i="3"/>
  <c r="F226" i="3"/>
  <c r="F222" i="3"/>
  <c r="F210" i="3"/>
  <c r="F205" i="3"/>
  <c r="F193" i="3"/>
  <c r="F186" i="3"/>
  <c r="F178" i="3"/>
  <c r="F174" i="3"/>
  <c r="F166" i="3"/>
  <c r="F154" i="3"/>
  <c r="F146" i="3"/>
  <c r="F138" i="3"/>
  <c r="F130" i="3"/>
  <c r="F122" i="3"/>
  <c r="F114" i="3"/>
  <c r="F262" i="3"/>
  <c r="F249" i="3"/>
  <c r="F245" i="3"/>
  <c r="F221" i="3"/>
  <c r="F216" i="3"/>
  <c r="F213" i="3"/>
  <c r="F201" i="3"/>
  <c r="F196" i="3"/>
  <c r="F189" i="3"/>
  <c r="F177" i="3"/>
  <c r="F173" i="3"/>
  <c r="F165" i="3"/>
  <c r="F153" i="3"/>
  <c r="F145" i="3"/>
  <c r="F137" i="3"/>
  <c r="F129" i="3"/>
  <c r="F121" i="3"/>
  <c r="F113" i="3"/>
  <c r="F204" i="3"/>
  <c r="F172" i="3"/>
  <c r="F120" i="3"/>
  <c r="F112" i="3"/>
  <c r="F265" i="3"/>
  <c r="F235" i="3"/>
  <c r="F212" i="3"/>
  <c r="F128" i="3"/>
  <c r="F192" i="3"/>
  <c r="F161" i="3"/>
  <c r="F277" i="3"/>
  <c r="F176" i="3"/>
  <c r="F152" i="3"/>
  <c r="F144" i="3"/>
  <c r="F136" i="3"/>
  <c r="F107" i="3"/>
  <c r="F207" i="3"/>
  <c r="F256" i="3"/>
  <c r="F252" i="3"/>
  <c r="F183" i="3"/>
  <c r="F244" i="3"/>
  <c r="Z27" i="5"/>
  <c r="T31" i="5"/>
  <c r="T52" i="91"/>
  <c r="Z48" i="91"/>
  <c r="T36" i="88"/>
  <c r="V28" i="78"/>
  <c r="V32" i="78"/>
  <c r="V18" i="78"/>
  <c r="V26" i="78"/>
  <c r="V25" i="78"/>
  <c r="V17" i="78"/>
  <c r="V16" i="78"/>
  <c r="T20" i="78"/>
  <c r="V23" i="78"/>
  <c r="V22" i="78"/>
  <c r="Z12" i="78"/>
  <c r="V24" i="78"/>
  <c r="F112" i="39"/>
  <c r="F107" i="39"/>
  <c r="F102" i="39"/>
  <c r="F95" i="39"/>
  <c r="F91" i="39"/>
  <c r="F87" i="39"/>
  <c r="F79" i="39"/>
  <c r="F74" i="39"/>
  <c r="F71" i="39"/>
  <c r="F59" i="39"/>
  <c r="F54" i="39"/>
  <c r="F115" i="39"/>
  <c r="F110" i="39"/>
  <c r="F94" i="39"/>
  <c r="F86" i="39"/>
  <c r="F119" i="39"/>
  <c r="F104" i="39"/>
  <c r="F101" i="39"/>
  <c r="F93" i="39"/>
  <c r="F76" i="39"/>
  <c r="F73" i="39"/>
  <c r="F61" i="39"/>
  <c r="F56" i="39"/>
  <c r="F53" i="39"/>
  <c r="F41" i="39"/>
  <c r="F36" i="39"/>
  <c r="F35" i="39"/>
  <c r="F29" i="39"/>
  <c r="F106" i="39"/>
  <c r="F103" i="39"/>
  <c r="F99" i="39"/>
  <c r="F90" i="39"/>
  <c r="F78" i="39"/>
  <c r="F75" i="39"/>
  <c r="F70" i="39"/>
  <c r="F58" i="39"/>
  <c r="F55" i="39"/>
  <c r="F51" i="39"/>
  <c r="F46" i="39"/>
  <c r="F39" i="39"/>
  <c r="F109" i="39"/>
  <c r="F98" i="39"/>
  <c r="F85" i="39"/>
  <c r="F82" i="39"/>
  <c r="F66" i="39"/>
  <c r="F50" i="39"/>
  <c r="F38" i="39"/>
  <c r="F88" i="39"/>
  <c r="F69" i="39"/>
  <c r="F60" i="39"/>
  <c r="F49" i="39"/>
  <c r="F48" i="39"/>
  <c r="F37" i="39"/>
  <c r="D33" i="39"/>
  <c r="F105" i="39"/>
  <c r="F89" i="39"/>
  <c r="F84" i="39"/>
  <c r="F83" i="39"/>
  <c r="F67" i="39"/>
  <c r="F72" i="39"/>
  <c r="F65" i="39"/>
  <c r="F62" i="39"/>
  <c r="F114" i="39"/>
  <c r="F80" i="39"/>
  <c r="F64" i="39"/>
  <c r="F52" i="39"/>
  <c r="F113" i="39"/>
  <c r="F100" i="39"/>
  <c r="F96" i="39"/>
  <c r="F92" i="39"/>
  <c r="F81" i="39"/>
  <c r="F63" i="39"/>
  <c r="F40" i="39"/>
  <c r="L12" i="39"/>
  <c r="N12" i="39" s="1"/>
  <c r="F108" i="39"/>
  <c r="F97" i="39"/>
  <c r="F42" i="39"/>
  <c r="F57" i="39"/>
  <c r="F43" i="39"/>
  <c r="F30" i="39"/>
  <c r="F33" i="39"/>
  <c r="F68" i="39"/>
  <c r="F47" i="39"/>
  <c r="F44" i="39"/>
  <c r="F28" i="39"/>
  <c r="F45" i="39"/>
  <c r="F77" i="39"/>
  <c r="F31" i="39"/>
  <c r="N160" i="28"/>
  <c r="Z18" i="22"/>
  <c r="T27" i="22"/>
  <c r="J231" i="12"/>
  <c r="J199" i="12"/>
  <c r="J195" i="12"/>
  <c r="J191" i="12"/>
  <c r="J185" i="12"/>
  <c r="J179" i="12"/>
  <c r="J173" i="12"/>
  <c r="J161" i="12"/>
  <c r="J155" i="12"/>
  <c r="J151" i="12"/>
  <c r="J139" i="12"/>
  <c r="J127" i="12"/>
  <c r="J119" i="12"/>
  <c r="J111" i="12"/>
  <c r="J103" i="12"/>
  <c r="J95" i="12"/>
  <c r="J224" i="12"/>
  <c r="J220" i="12"/>
  <c r="J214" i="12"/>
  <c r="J204" i="12"/>
  <c r="J190" i="12"/>
  <c r="J176" i="12"/>
  <c r="J170" i="12"/>
  <c r="J164" i="12"/>
  <c r="J158" i="12"/>
  <c r="J150" i="12"/>
  <c r="J138" i="12"/>
  <c r="J126" i="12"/>
  <c r="J118" i="12"/>
  <c r="J110" i="12"/>
  <c r="J229" i="12"/>
  <c r="J217" i="12"/>
  <c r="J213" i="12"/>
  <c r="J207" i="12"/>
  <c r="J187" i="12"/>
  <c r="J181" i="12"/>
  <c r="J167" i="12"/>
  <c r="J157" i="12"/>
  <c r="J149" i="12"/>
  <c r="J145" i="12"/>
  <c r="J137" i="12"/>
  <c r="J125" i="12"/>
  <c r="J117" i="12"/>
  <c r="J109" i="12"/>
  <c r="J101" i="12"/>
  <c r="J93" i="12"/>
  <c r="J87" i="12"/>
  <c r="J232" i="12"/>
  <c r="J216" i="12"/>
  <c r="J212" i="12"/>
  <c r="J198" i="12"/>
  <c r="J194" i="12"/>
  <c r="J184" i="12"/>
  <c r="J178" i="12"/>
  <c r="J172" i="12"/>
  <c r="J160" i="12"/>
  <c r="J154" i="12"/>
  <c r="J148" i="12"/>
  <c r="J144" i="12"/>
  <c r="J136" i="12"/>
  <c r="J124" i="12"/>
  <c r="J116" i="12"/>
  <c r="J108" i="12"/>
  <c r="J100" i="12"/>
  <c r="J92" i="12"/>
  <c r="J227" i="12"/>
  <c r="J223" i="12"/>
  <c r="J219" i="12"/>
  <c r="J211" i="12"/>
  <c r="J203" i="12"/>
  <c r="J189" i="12"/>
  <c r="J183" i="12"/>
  <c r="J175" i="12"/>
  <c r="J169" i="12"/>
  <c r="J163" i="12"/>
  <c r="J147" i="12"/>
  <c r="J143" i="12"/>
  <c r="H132" i="12"/>
  <c r="J123" i="12"/>
  <c r="J115" i="12"/>
  <c r="J107" i="12"/>
  <c r="J99" i="12"/>
  <c r="J91" i="12"/>
  <c r="J236" i="12"/>
  <c r="J230" i="12"/>
  <c r="J222" i="12"/>
  <c r="J210" i="12"/>
  <c r="J206" i="12"/>
  <c r="J202" i="12"/>
  <c r="J186" i="12"/>
  <c r="J180" i="12"/>
  <c r="J174" i="12"/>
  <c r="J166" i="12"/>
  <c r="J162" i="12"/>
  <c r="J156" i="12"/>
  <c r="J142" i="12"/>
  <c r="J134" i="12"/>
  <c r="J130" i="12"/>
  <c r="J122" i="12"/>
  <c r="J114" i="12"/>
  <c r="J152" i="12"/>
  <c r="J140" i="12"/>
  <c r="J102" i="12"/>
  <c r="J215" i="12"/>
  <c r="J209" i="12"/>
  <c r="J196" i="12"/>
  <c r="J120" i="12"/>
  <c r="J98" i="12"/>
  <c r="J197" i="12"/>
  <c r="J168" i="12"/>
  <c r="J153" i="12"/>
  <c r="J141" i="12"/>
  <c r="J135" i="12"/>
  <c r="J121" i="12"/>
  <c r="J104" i="12"/>
  <c r="J88" i="12"/>
  <c r="N12" i="12"/>
  <c r="J228" i="12"/>
  <c r="J188" i="12"/>
  <c r="J177" i="12"/>
  <c r="J112" i="12"/>
  <c r="J105" i="12"/>
  <c r="J89" i="12"/>
  <c r="J221" i="12"/>
  <c r="J200" i="12"/>
  <c r="J165" i="12"/>
  <c r="J94" i="12"/>
  <c r="J225" i="12"/>
  <c r="J201" i="12"/>
  <c r="J192" i="12"/>
  <c r="J113" i="12"/>
  <c r="J182" i="12"/>
  <c r="J171" i="12"/>
  <c r="J146" i="12"/>
  <c r="J128" i="12"/>
  <c r="J106" i="12"/>
  <c r="J96" i="12"/>
  <c r="J90" i="12"/>
  <c r="J205" i="12"/>
  <c r="J129" i="12"/>
  <c r="J208" i="12"/>
  <c r="J159" i="12"/>
  <c r="J218" i="12"/>
  <c r="J97" i="12"/>
  <c r="J193" i="12"/>
  <c r="H27" i="99"/>
  <c r="N18" i="99"/>
  <c r="R36" i="93"/>
  <c r="R32" i="93"/>
  <c r="R29" i="93"/>
  <c r="R24" i="93"/>
  <c r="R23" i="93"/>
  <c r="R21" i="93"/>
  <c r="P19" i="93"/>
  <c r="R19" i="93" s="1"/>
  <c r="R34" i="93"/>
  <c r="R31" i="93"/>
  <c r="R26" i="93"/>
  <c r="R40" i="93"/>
  <c r="R22" i="93"/>
  <c r="R17" i="93"/>
  <c r="R16" i="93"/>
  <c r="R33" i="93"/>
  <c r="R30" i="93"/>
  <c r="R28" i="93"/>
  <c r="R27" i="93"/>
  <c r="R25" i="93"/>
  <c r="X12" i="93"/>
  <c r="D83" i="95"/>
  <c r="L21" i="95"/>
  <c r="N87" i="94"/>
  <c r="H91" i="94"/>
  <c r="F19" i="93"/>
  <c r="J84" i="92"/>
  <c r="J78" i="92"/>
  <c r="J68" i="92"/>
  <c r="J64" i="92"/>
  <c r="J60" i="92"/>
  <c r="J52" i="92"/>
  <c r="J44" i="92"/>
  <c r="J36" i="92"/>
  <c r="J32" i="92"/>
  <c r="H21" i="92"/>
  <c r="N12" i="92"/>
  <c r="J67" i="92"/>
  <c r="J63" i="92"/>
  <c r="J57" i="92"/>
  <c r="J49" i="92"/>
  <c r="J41" i="92"/>
  <c r="J82" i="92"/>
  <c r="J80" i="92"/>
  <c r="J77" i="92"/>
  <c r="J74" i="92"/>
  <c r="J54" i="92"/>
  <c r="J46" i="92"/>
  <c r="J30" i="92"/>
  <c r="J24" i="92"/>
  <c r="J18" i="92"/>
  <c r="J86" i="92"/>
  <c r="J76" i="92"/>
  <c r="J72" i="92"/>
  <c r="J66" i="92"/>
  <c r="J62" i="92"/>
  <c r="J56" i="92"/>
  <c r="J48" i="92"/>
  <c r="J40" i="92"/>
  <c r="J34" i="92"/>
  <c r="J28" i="92"/>
  <c r="J89" i="92"/>
  <c r="J71" i="92"/>
  <c r="J53" i="92"/>
  <c r="J45" i="92"/>
  <c r="J39" i="92"/>
  <c r="J27" i="92"/>
  <c r="J17" i="92"/>
  <c r="J75" i="92"/>
  <c r="J73" i="92"/>
  <c r="J70" i="92"/>
  <c r="J69" i="92"/>
  <c r="J65" i="92"/>
  <c r="J61" i="92"/>
  <c r="J55" i="92"/>
  <c r="J31" i="92"/>
  <c r="J59" i="92"/>
  <c r="J58" i="92"/>
  <c r="J38" i="92"/>
  <c r="J35" i="92"/>
  <c r="J19" i="92"/>
  <c r="J51" i="92"/>
  <c r="J50" i="92"/>
  <c r="J47" i="92"/>
  <c r="J23" i="92"/>
  <c r="J21" i="92"/>
  <c r="J33" i="92"/>
  <c r="J25" i="92"/>
  <c r="J26" i="92"/>
  <c r="J37" i="92"/>
  <c r="J42" i="92"/>
  <c r="J29" i="92"/>
  <c r="J43" i="92"/>
  <c r="L20" i="85"/>
  <c r="D85" i="85"/>
  <c r="L16" i="81"/>
  <c r="J20" i="78"/>
  <c r="P77" i="76"/>
  <c r="X20" i="76"/>
  <c r="Z20" i="76" s="1"/>
  <c r="H81" i="76"/>
  <c r="T39" i="80"/>
  <c r="J48" i="77"/>
  <c r="L29" i="75"/>
  <c r="D33" i="75"/>
  <c r="R23" i="73"/>
  <c r="J88" i="71"/>
  <c r="J80" i="71"/>
  <c r="J74" i="71"/>
  <c r="J66" i="71"/>
  <c r="J62" i="71"/>
  <c r="J54" i="71"/>
  <c r="J50" i="71"/>
  <c r="J42" i="71"/>
  <c r="J36" i="71"/>
  <c r="J95" i="71"/>
  <c r="J85" i="71"/>
  <c r="J71" i="71"/>
  <c r="J61" i="71"/>
  <c r="J55" i="71"/>
  <c r="J100" i="71"/>
  <c r="J92" i="71"/>
  <c r="J82" i="71"/>
  <c r="J76" i="71"/>
  <c r="J60" i="71"/>
  <c r="J98" i="71"/>
  <c r="J94" i="71"/>
  <c r="J90" i="71"/>
  <c r="J84" i="71"/>
  <c r="J78" i="71"/>
  <c r="J70" i="71"/>
  <c r="J58" i="71"/>
  <c r="J101" i="71"/>
  <c r="J89" i="71"/>
  <c r="J81" i="71"/>
  <c r="J75" i="71"/>
  <c r="J69" i="71"/>
  <c r="J57" i="71"/>
  <c r="J45" i="71"/>
  <c r="J37" i="71"/>
  <c r="J99" i="71"/>
  <c r="J91" i="71"/>
  <c r="J77" i="71"/>
  <c r="H52" i="71"/>
  <c r="J93" i="71"/>
  <c r="J68" i="71"/>
  <c r="J65" i="71"/>
  <c r="J64" i="71"/>
  <c r="J39" i="71"/>
  <c r="J38" i="71"/>
  <c r="J105" i="71"/>
  <c r="J41" i="71"/>
  <c r="J40" i="71"/>
  <c r="J83" i="71"/>
  <c r="J44" i="71"/>
  <c r="J43" i="71"/>
  <c r="N12" i="71"/>
  <c r="J96" i="71"/>
  <c r="J86" i="71"/>
  <c r="J79" i="71"/>
  <c r="J59" i="71"/>
  <c r="J56" i="71"/>
  <c r="J49" i="71"/>
  <c r="J47" i="71"/>
  <c r="J46" i="71"/>
  <c r="J73" i="71"/>
  <c r="J72" i="71"/>
  <c r="J48" i="71"/>
  <c r="J87" i="71"/>
  <c r="J67" i="71"/>
  <c r="J63" i="71"/>
  <c r="X12" i="71"/>
  <c r="Z12" i="71" s="1"/>
  <c r="R140" i="69"/>
  <c r="R135" i="69"/>
  <c r="R123" i="69"/>
  <c r="R116" i="69"/>
  <c r="R104" i="69"/>
  <c r="R91" i="69"/>
  <c r="R145" i="69"/>
  <c r="R134" i="69"/>
  <c r="R126" i="69"/>
  <c r="R122" i="69"/>
  <c r="R119" i="69"/>
  <c r="R110" i="69"/>
  <c r="R107" i="69"/>
  <c r="R95" i="69"/>
  <c r="R90" i="69"/>
  <c r="R78" i="69"/>
  <c r="R70" i="69"/>
  <c r="R62" i="69"/>
  <c r="R137" i="69"/>
  <c r="R133" i="69"/>
  <c r="R129" i="69"/>
  <c r="R125" i="69"/>
  <c r="R113" i="69"/>
  <c r="R101" i="69"/>
  <c r="R89" i="69"/>
  <c r="R146" i="69"/>
  <c r="R139" i="69"/>
  <c r="R136" i="69"/>
  <c r="R131" i="69"/>
  <c r="R124" i="69"/>
  <c r="R115" i="69"/>
  <c r="R103" i="69"/>
  <c r="R99" i="69"/>
  <c r="R87" i="69"/>
  <c r="R85" i="69"/>
  <c r="P83" i="69"/>
  <c r="R75" i="69"/>
  <c r="R67" i="69"/>
  <c r="R59" i="69"/>
  <c r="R127" i="69"/>
  <c r="R118" i="69"/>
  <c r="R111" i="69"/>
  <c r="R106" i="69"/>
  <c r="R98" i="69"/>
  <c r="R94" i="69"/>
  <c r="R74" i="69"/>
  <c r="R66" i="69"/>
  <c r="R58" i="69"/>
  <c r="R144" i="69"/>
  <c r="R128" i="69"/>
  <c r="R121" i="69"/>
  <c r="R105" i="69"/>
  <c r="R86" i="69"/>
  <c r="R138" i="69"/>
  <c r="R109" i="69"/>
  <c r="R100" i="69"/>
  <c r="R96" i="69"/>
  <c r="R77" i="69"/>
  <c r="R76" i="69"/>
  <c r="R69" i="69"/>
  <c r="R68" i="69"/>
  <c r="R120" i="69"/>
  <c r="R112" i="69"/>
  <c r="R97" i="69"/>
  <c r="R88" i="69"/>
  <c r="R56" i="69"/>
  <c r="X12" i="69"/>
  <c r="Z12" i="69" s="1"/>
  <c r="R141" i="69"/>
  <c r="R130" i="69"/>
  <c r="R108" i="69"/>
  <c r="R72" i="69"/>
  <c r="R64" i="69"/>
  <c r="R63" i="69"/>
  <c r="R57" i="69"/>
  <c r="R102" i="69"/>
  <c r="R92" i="69"/>
  <c r="R81" i="69"/>
  <c r="R80" i="69"/>
  <c r="R79" i="69"/>
  <c r="R73" i="69"/>
  <c r="R71" i="69"/>
  <c r="R65" i="69"/>
  <c r="R150" i="69"/>
  <c r="R114" i="69"/>
  <c r="R93" i="69"/>
  <c r="R83" i="69"/>
  <c r="R143" i="69"/>
  <c r="R132" i="69"/>
  <c r="R117" i="69"/>
  <c r="R60" i="69"/>
  <c r="R61" i="69"/>
  <c r="H46" i="60"/>
  <c r="N16" i="60"/>
  <c r="T46" i="60"/>
  <c r="Z16" i="60"/>
  <c r="H73" i="58"/>
  <c r="L18" i="50"/>
  <c r="X18" i="53"/>
  <c r="H46" i="61"/>
  <c r="L46" i="61" s="1"/>
  <c r="N16" i="61"/>
  <c r="H27" i="49"/>
  <c r="L27" i="49" s="1"/>
  <c r="N18" i="49"/>
  <c r="D31" i="43"/>
  <c r="L27" i="43"/>
  <c r="V82" i="45"/>
  <c r="V58" i="45"/>
  <c r="V85" i="45"/>
  <c r="V81" i="45"/>
  <c r="V61" i="45"/>
  <c r="V53" i="45"/>
  <c r="V87" i="45"/>
  <c r="V86" i="45"/>
  <c r="V74" i="45"/>
  <c r="V60" i="45"/>
  <c r="V50" i="45"/>
  <c r="V42" i="45"/>
  <c r="V30" i="45"/>
  <c r="V84" i="45"/>
  <c r="V45" i="45"/>
  <c r="V41" i="45"/>
  <c r="V29" i="45"/>
  <c r="V25" i="45"/>
  <c r="V69" i="45"/>
  <c r="V68" i="45"/>
  <c r="V55" i="45"/>
  <c r="V54" i="45"/>
  <c r="V44" i="45"/>
  <c r="V40" i="45"/>
  <c r="V28" i="45"/>
  <c r="T23" i="45"/>
  <c r="V97" i="45"/>
  <c r="V93" i="45"/>
  <c r="V77" i="45"/>
  <c r="V76" i="45"/>
  <c r="V72" i="45"/>
  <c r="V71" i="45"/>
  <c r="V70" i="45"/>
  <c r="V52" i="45"/>
  <c r="V47" i="45"/>
  <c r="V39" i="45"/>
  <c r="V35" i="45"/>
  <c r="V27" i="45"/>
  <c r="V89" i="45"/>
  <c r="V88" i="45"/>
  <c r="V83" i="45"/>
  <c r="V67" i="45"/>
  <c r="V66" i="45"/>
  <c r="V49" i="45"/>
  <c r="V37" i="45"/>
  <c r="V33" i="45"/>
  <c r="V21" i="45"/>
  <c r="V91" i="45"/>
  <c r="V90" i="45"/>
  <c r="V57" i="45"/>
  <c r="V56" i="45"/>
  <c r="V48" i="45"/>
  <c r="V36" i="45"/>
  <c r="V32" i="45"/>
  <c r="V20" i="45"/>
  <c r="Z12" i="45"/>
  <c r="V73" i="45"/>
  <c r="V63" i="45"/>
  <c r="V62" i="45"/>
  <c r="V51" i="45"/>
  <c r="V43" i="45"/>
  <c r="V31" i="45"/>
  <c r="V19" i="45"/>
  <c r="V38" i="45"/>
  <c r="V26" i="45"/>
  <c r="V79" i="45"/>
  <c r="V64" i="45"/>
  <c r="V59" i="45"/>
  <c r="V34" i="45"/>
  <c r="V80" i="45"/>
  <c r="V75" i="45"/>
  <c r="V78" i="45"/>
  <c r="V65" i="45"/>
  <c r="V46" i="45"/>
  <c r="R101" i="42"/>
  <c r="X18" i="37"/>
  <c r="P27" i="37"/>
  <c r="H27" i="44"/>
  <c r="N18" i="44"/>
  <c r="P27" i="38"/>
  <c r="X18" i="38"/>
  <c r="J114" i="36"/>
  <c r="J106" i="36"/>
  <c r="J100" i="36"/>
  <c r="J94" i="36"/>
  <c r="J86" i="36"/>
  <c r="J78" i="36"/>
  <c r="J74" i="36"/>
  <c r="J66" i="36"/>
  <c r="J58" i="36"/>
  <c r="J52" i="36"/>
  <c r="J46" i="36"/>
  <c r="J40" i="36"/>
  <c r="J34" i="36"/>
  <c r="J109" i="36"/>
  <c r="J105" i="36"/>
  <c r="J93" i="36"/>
  <c r="J89" i="36"/>
  <c r="J85" i="36"/>
  <c r="J81" i="36"/>
  <c r="J77" i="36"/>
  <c r="J71" i="36"/>
  <c r="J63" i="36"/>
  <c r="J49" i="36"/>
  <c r="J45" i="36"/>
  <c r="J33" i="36"/>
  <c r="J23" i="36"/>
  <c r="J118" i="36"/>
  <c r="J112" i="36"/>
  <c r="J102" i="36"/>
  <c r="J92" i="36"/>
  <c r="J88" i="36"/>
  <c r="J84" i="36"/>
  <c r="J76" i="36"/>
  <c r="J68" i="36"/>
  <c r="J60" i="36"/>
  <c r="J54" i="36"/>
  <c r="J44" i="36"/>
  <c r="J32" i="36"/>
  <c r="N12" i="36"/>
  <c r="J99" i="36"/>
  <c r="J108" i="36"/>
  <c r="J104" i="36"/>
  <c r="J98" i="36"/>
  <c r="J80" i="36"/>
  <c r="J70" i="36"/>
  <c r="J62" i="36"/>
  <c r="J48" i="36"/>
  <c r="J42" i="36"/>
  <c r="J38" i="36"/>
  <c r="H27" i="36"/>
  <c r="J113" i="36"/>
  <c r="J101" i="36"/>
  <c r="J97" i="36"/>
  <c r="J87" i="36"/>
  <c r="J75" i="36"/>
  <c r="J67" i="36"/>
  <c r="J59" i="36"/>
  <c r="J53" i="36"/>
  <c r="J41" i="36"/>
  <c r="J37" i="36"/>
  <c r="J29" i="36"/>
  <c r="J25" i="36"/>
  <c r="J91" i="36"/>
  <c r="J50" i="36"/>
  <c r="J35" i="36"/>
  <c r="J24" i="36"/>
  <c r="J55" i="36"/>
  <c r="J95" i="36"/>
  <c r="J82" i="36"/>
  <c r="J51" i="36"/>
  <c r="J39" i="36"/>
  <c r="J36" i="36"/>
  <c r="J103" i="36"/>
  <c r="J73" i="36"/>
  <c r="J72" i="36"/>
  <c r="J65" i="36"/>
  <c r="J64" i="36"/>
  <c r="J57" i="36"/>
  <c r="J56" i="36"/>
  <c r="J111" i="36"/>
  <c r="J96" i="36"/>
  <c r="J83" i="36"/>
  <c r="J43" i="36"/>
  <c r="J30" i="36"/>
  <c r="J90" i="36"/>
  <c r="J47" i="36"/>
  <c r="J31" i="36"/>
  <c r="J79" i="36"/>
  <c r="J69" i="36"/>
  <c r="J61" i="36"/>
  <c r="J27" i="36"/>
  <c r="J107" i="36"/>
  <c r="N18" i="38"/>
  <c r="H27" i="38"/>
  <c r="X18" i="35"/>
  <c r="P27" i="35"/>
  <c r="D31" i="37"/>
  <c r="X111" i="36"/>
  <c r="Z111" i="36" s="1"/>
  <c r="H95" i="45"/>
  <c r="V98" i="36"/>
  <c r="V90" i="36"/>
  <c r="V82" i="36"/>
  <c r="V70" i="36"/>
  <c r="V62" i="36"/>
  <c r="V50" i="36"/>
  <c r="V42" i="36"/>
  <c r="V38" i="36"/>
  <c r="V30" i="36"/>
  <c r="V111" i="36"/>
  <c r="V101" i="36"/>
  <c r="V97" i="36"/>
  <c r="V69" i="36"/>
  <c r="V61" i="36"/>
  <c r="V53" i="36"/>
  <c r="V41" i="36"/>
  <c r="V37" i="36"/>
  <c r="V25" i="36"/>
  <c r="V114" i="36"/>
  <c r="V100" i="36"/>
  <c r="V96" i="36"/>
  <c r="V72" i="36"/>
  <c r="V64" i="36"/>
  <c r="V56" i="36"/>
  <c r="V52" i="36"/>
  <c r="V40" i="36"/>
  <c r="V36" i="36"/>
  <c r="V24" i="36"/>
  <c r="V107" i="36"/>
  <c r="V103" i="36"/>
  <c r="V112" i="36"/>
  <c r="V106" i="36"/>
  <c r="V102" i="36"/>
  <c r="V94" i="36"/>
  <c r="V86" i="36"/>
  <c r="V78" i="36"/>
  <c r="V74" i="36"/>
  <c r="V66" i="36"/>
  <c r="V58" i="36"/>
  <c r="V54" i="36"/>
  <c r="V46" i="36"/>
  <c r="V34" i="36"/>
  <c r="V109" i="36"/>
  <c r="V105" i="36"/>
  <c r="V93" i="36"/>
  <c r="V89" i="36"/>
  <c r="V85" i="36"/>
  <c r="V81" i="36"/>
  <c r="V77" i="36"/>
  <c r="V73" i="36"/>
  <c r="V65" i="36"/>
  <c r="V57" i="36"/>
  <c r="V49" i="36"/>
  <c r="V45" i="36"/>
  <c r="V33" i="36"/>
  <c r="V29" i="36"/>
  <c r="V27" i="36"/>
  <c r="V95" i="36"/>
  <c r="V87" i="36"/>
  <c r="V51" i="36"/>
  <c r="V39" i="36"/>
  <c r="V104" i="36"/>
  <c r="V99" i="36"/>
  <c r="V88" i="36"/>
  <c r="V83" i="36"/>
  <c r="V48" i="36"/>
  <c r="V43" i="36"/>
  <c r="V108" i="36"/>
  <c r="V84" i="36"/>
  <c r="V75" i="36"/>
  <c r="V67" i="36"/>
  <c r="V59" i="36"/>
  <c r="V47" i="36"/>
  <c r="V44" i="36"/>
  <c r="T27" i="36"/>
  <c r="V23" i="36"/>
  <c r="V80" i="36"/>
  <c r="V76" i="36"/>
  <c r="V68" i="36"/>
  <c r="V60" i="36"/>
  <c r="V31" i="36"/>
  <c r="Z12" i="36"/>
  <c r="V91" i="36"/>
  <c r="V71" i="36"/>
  <c r="V63" i="36"/>
  <c r="V35" i="36"/>
  <c r="V92" i="36"/>
  <c r="V55" i="36"/>
  <c r="V79" i="36"/>
  <c r="V32" i="36"/>
  <c r="V118" i="36"/>
  <c r="V113" i="36"/>
  <c r="H27" i="26"/>
  <c r="N18" i="26"/>
  <c r="T27" i="33"/>
  <c r="Z18" i="33"/>
  <c r="X160" i="28"/>
  <c r="Z160" i="28" s="1"/>
  <c r="L18" i="19"/>
  <c r="D27" i="19"/>
  <c r="L18" i="30"/>
  <c r="V97" i="21"/>
  <c r="V91" i="21"/>
  <c r="V86" i="21"/>
  <c r="V82" i="21"/>
  <c r="V78" i="21"/>
  <c r="V70" i="21"/>
  <c r="V62" i="21"/>
  <c r="V50" i="21"/>
  <c r="V46" i="21"/>
  <c r="V42" i="21"/>
  <c r="V34" i="21"/>
  <c r="V93" i="21"/>
  <c r="V89" i="21"/>
  <c r="V81" i="21"/>
  <c r="V77" i="21"/>
  <c r="V73" i="21"/>
  <c r="V69" i="21"/>
  <c r="V61" i="21"/>
  <c r="V53" i="21"/>
  <c r="V45" i="21"/>
  <c r="V41" i="21"/>
  <c r="V33" i="21"/>
  <c r="V88" i="21"/>
  <c r="V80" i="21"/>
  <c r="V76" i="21"/>
  <c r="V72" i="21"/>
  <c r="V64" i="21"/>
  <c r="V52" i="21"/>
  <c r="V44" i="21"/>
  <c r="V40" i="21"/>
  <c r="V28" i="21"/>
  <c r="Z12" i="21"/>
  <c r="V79" i="21"/>
  <c r="V75" i="21"/>
  <c r="V63" i="21"/>
  <c r="V55" i="21"/>
  <c r="V43" i="21"/>
  <c r="V39" i="21"/>
  <c r="V27" i="21"/>
  <c r="V90" i="21"/>
  <c r="V74" i="21"/>
  <c r="V66" i="21"/>
  <c r="V58" i="21"/>
  <c r="V54" i="21"/>
  <c r="V38" i="21"/>
  <c r="V26" i="21"/>
  <c r="V85" i="21"/>
  <c r="V65" i="21"/>
  <c r="V57" i="21"/>
  <c r="V49" i="21"/>
  <c r="V37" i="21"/>
  <c r="V25" i="21"/>
  <c r="V84" i="21"/>
  <c r="V68" i="21"/>
  <c r="V60" i="21"/>
  <c r="V56" i="21"/>
  <c r="V48" i="21"/>
  <c r="V36" i="21"/>
  <c r="V32" i="21"/>
  <c r="V67" i="21"/>
  <c r="V59" i="21"/>
  <c r="V83" i="21"/>
  <c r="V47" i="21"/>
  <c r="V35" i="21"/>
  <c r="V71" i="21"/>
  <c r="V51" i="21"/>
  <c r="T30" i="21"/>
  <c r="V87" i="21"/>
  <c r="N114" i="25"/>
  <c r="V82" i="31"/>
  <c r="T36" i="19"/>
  <c r="Z36" i="19" s="1"/>
  <c r="Z31" i="19"/>
  <c r="V247" i="18"/>
  <c r="V237" i="18"/>
  <c r="V233" i="18"/>
  <c r="V229" i="18"/>
  <c r="V225" i="18"/>
  <c r="V217" i="18"/>
  <c r="V201" i="18"/>
  <c r="V197" i="18"/>
  <c r="V189" i="18"/>
  <c r="V177" i="18"/>
  <c r="V173" i="18"/>
  <c r="V165" i="18"/>
  <c r="V161" i="18"/>
  <c r="V153" i="18"/>
  <c r="V141" i="18"/>
  <c r="V133" i="18"/>
  <c r="V125" i="18"/>
  <c r="V242" i="18"/>
  <c r="V236" i="18"/>
  <c r="V232" i="18"/>
  <c r="V224" i="18"/>
  <c r="V220" i="18"/>
  <c r="V216" i="18"/>
  <c r="V212" i="18"/>
  <c r="V208" i="18"/>
  <c r="V200" i="18"/>
  <c r="V192" i="18"/>
  <c r="V188" i="18"/>
  <c r="V180" i="18"/>
  <c r="V176" i="18"/>
  <c r="V164" i="18"/>
  <c r="V160" i="18"/>
  <c r="V152" i="18"/>
  <c r="V140" i="18"/>
  <c r="V132" i="18"/>
  <c r="V124" i="18"/>
  <c r="V116" i="18"/>
  <c r="V108" i="18"/>
  <c r="V100" i="18"/>
  <c r="V245" i="18"/>
  <c r="V239" i="18"/>
  <c r="V235" i="18"/>
  <c r="V223" i="18"/>
  <c r="V219" i="18"/>
  <c r="V215" i="18"/>
  <c r="V211" i="18"/>
  <c r="V207" i="18"/>
  <c r="V203" i="18"/>
  <c r="V191" i="18"/>
  <c r="V183" i="18"/>
  <c r="V179" i="18"/>
  <c r="V163" i="18"/>
  <c r="V159" i="18"/>
  <c r="V248" i="18"/>
  <c r="V238" i="18"/>
  <c r="V234" i="18"/>
  <c r="V222" i="18"/>
  <c r="V218" i="18"/>
  <c r="V214" i="18"/>
  <c r="V210" i="18"/>
  <c r="V206" i="18"/>
  <c r="V202" i="18"/>
  <c r="V194" i="18"/>
  <c r="V190" i="18"/>
  <c r="V182" i="18"/>
  <c r="V178" i="18"/>
  <c r="V170" i="18"/>
  <c r="V158" i="18"/>
  <c r="V146" i="18"/>
  <c r="V138" i="18"/>
  <c r="V130" i="18"/>
  <c r="V122" i="18"/>
  <c r="V114" i="18"/>
  <c r="V106" i="18"/>
  <c r="V98" i="18"/>
  <c r="V243" i="18"/>
  <c r="V221" i="18"/>
  <c r="V213" i="18"/>
  <c r="V209" i="18"/>
  <c r="V205" i="18"/>
  <c r="V193" i="18"/>
  <c r="V185" i="18"/>
  <c r="V181" i="18"/>
  <c r="V169" i="18"/>
  <c r="V157" i="18"/>
  <c r="V145" i="18"/>
  <c r="V137" i="18"/>
  <c r="V129" i="18"/>
  <c r="V121" i="18"/>
  <c r="V113" i="18"/>
  <c r="V105" i="18"/>
  <c r="V97" i="18"/>
  <c r="V246" i="18"/>
  <c r="V228" i="18"/>
  <c r="V204" i="18"/>
  <c r="V196" i="18"/>
  <c r="V184" i="18"/>
  <c r="V172" i="18"/>
  <c r="V168" i="18"/>
  <c r="V156" i="18"/>
  <c r="V144" i="18"/>
  <c r="V136" i="18"/>
  <c r="V128" i="18"/>
  <c r="V120" i="18"/>
  <c r="V112" i="18"/>
  <c r="V104" i="18"/>
  <c r="V241" i="18"/>
  <c r="V231" i="18"/>
  <c r="V227" i="18"/>
  <c r="V199" i="18"/>
  <c r="V195" i="18"/>
  <c r="V187" i="18"/>
  <c r="V175" i="18"/>
  <c r="V171" i="18"/>
  <c r="V167" i="18"/>
  <c r="V155" i="18"/>
  <c r="V151" i="18"/>
  <c r="V149" i="18"/>
  <c r="V143" i="18"/>
  <c r="V135" i="18"/>
  <c r="V127" i="18"/>
  <c r="V119" i="18"/>
  <c r="V111" i="18"/>
  <c r="V103" i="18"/>
  <c r="V226" i="18"/>
  <c r="V198" i="18"/>
  <c r="V174" i="18"/>
  <c r="T149" i="18"/>
  <c r="V123" i="18"/>
  <c r="V162" i="18"/>
  <c r="V142" i="18"/>
  <c r="V139" i="18"/>
  <c r="V126" i="18"/>
  <c r="V109" i="18"/>
  <c r="V101" i="18"/>
  <c r="V117" i="18"/>
  <c r="V244" i="18"/>
  <c r="V230" i="18"/>
  <c r="V186" i="18"/>
  <c r="V134" i="18"/>
  <c r="V110" i="18"/>
  <c r="V102" i="18"/>
  <c r="V99" i="18"/>
  <c r="V131" i="18"/>
  <c r="V115" i="18"/>
  <c r="V154" i="18"/>
  <c r="Z12" i="18"/>
  <c r="V166" i="18"/>
  <c r="V147" i="18"/>
  <c r="V118" i="18"/>
  <c r="V107" i="18"/>
  <c r="V252" i="18"/>
  <c r="X18" i="13"/>
  <c r="P27" i="13"/>
  <c r="J125" i="15"/>
  <c r="X16" i="9"/>
  <c r="H27" i="5"/>
  <c r="N18" i="5"/>
  <c r="L27" i="7"/>
  <c r="D31" i="7"/>
  <c r="T36" i="7"/>
  <c r="Z36" i="7" s="1"/>
  <c r="Z31" i="7"/>
  <c r="Z27" i="8"/>
  <c r="T31" i="8"/>
  <c r="D234" i="12"/>
  <c r="L132" i="12"/>
  <c r="P27" i="11"/>
  <c r="X18" i="11"/>
  <c r="V222" i="15"/>
  <c r="V204" i="15"/>
  <c r="V180" i="15"/>
  <c r="V172" i="15"/>
  <c r="V160" i="15"/>
  <c r="V148" i="15"/>
  <c r="V144" i="15"/>
  <c r="V132" i="15"/>
  <c r="V120" i="15"/>
  <c r="V112" i="15"/>
  <c r="V104" i="15"/>
  <c r="V96" i="15"/>
  <c r="V88" i="15"/>
  <c r="V217" i="15"/>
  <c r="V207" i="15"/>
  <c r="V203" i="15"/>
  <c r="V175" i="15"/>
  <c r="V171" i="15"/>
  <c r="V163" i="15"/>
  <c r="V151" i="15"/>
  <c r="V147" i="15"/>
  <c r="V143" i="15"/>
  <c r="V131" i="15"/>
  <c r="V127" i="15"/>
  <c r="V125" i="15"/>
  <c r="V119" i="15"/>
  <c r="V111" i="15"/>
  <c r="V103" i="15"/>
  <c r="V95" i="15"/>
  <c r="V87" i="15"/>
  <c r="V220" i="15"/>
  <c r="V206" i="15"/>
  <c r="V202" i="15"/>
  <c r="V174" i="15"/>
  <c r="V162" i="15"/>
  <c r="V150" i="15"/>
  <c r="V142" i="15"/>
  <c r="V138" i="15"/>
  <c r="V130" i="15"/>
  <c r="T125" i="15"/>
  <c r="V118" i="15"/>
  <c r="V110" i="15"/>
  <c r="V102" i="15"/>
  <c r="V94" i="15"/>
  <c r="V86" i="15"/>
  <c r="V213" i="15"/>
  <c r="V209" i="15"/>
  <c r="V205" i="15"/>
  <c r="V201" i="15"/>
  <c r="V193" i="15"/>
  <c r="V177" i="15"/>
  <c r="V173" i="15"/>
  <c r="V165" i="15"/>
  <c r="V153" i="15"/>
  <c r="V149" i="15"/>
  <c r="V141" i="15"/>
  <c r="V137" i="15"/>
  <c r="V129" i="15"/>
  <c r="V117" i="15"/>
  <c r="V109" i="15"/>
  <c r="V101" i="15"/>
  <c r="V93" i="15"/>
  <c r="V85" i="15"/>
  <c r="V226" i="15"/>
  <c r="V218" i="15"/>
  <c r="V212" i="15"/>
  <c r="V208" i="15"/>
  <c r="V200" i="15"/>
  <c r="V196" i="15"/>
  <c r="V192" i="15"/>
  <c r="V188" i="15"/>
  <c r="V184" i="15"/>
  <c r="V176" i="15"/>
  <c r="V168" i="15"/>
  <c r="V164" i="15"/>
  <c r="V156" i="15"/>
  <c r="V152" i="15"/>
  <c r="V140" i="15"/>
  <c r="V136" i="15"/>
  <c r="V128" i="15"/>
  <c r="V116" i="15"/>
  <c r="V108" i="15"/>
  <c r="V100" i="15"/>
  <c r="V92" i="15"/>
  <c r="V84" i="15"/>
  <c r="Z12" i="15"/>
  <c r="V221" i="15"/>
  <c r="V215" i="15"/>
  <c r="V211" i="15"/>
  <c r="V199" i="15"/>
  <c r="V195" i="15"/>
  <c r="V191" i="15"/>
  <c r="V187" i="15"/>
  <c r="V183" i="15"/>
  <c r="V179" i="15"/>
  <c r="V167" i="15"/>
  <c r="V159" i="15"/>
  <c r="V155" i="15"/>
  <c r="V139" i="15"/>
  <c r="V135" i="15"/>
  <c r="V123" i="15"/>
  <c r="V115" i="15"/>
  <c r="V107" i="15"/>
  <c r="V99" i="15"/>
  <c r="V91" i="15"/>
  <c r="V83" i="15"/>
  <c r="V133" i="15"/>
  <c r="V121" i="15"/>
  <c r="V106" i="15"/>
  <c r="V185" i="15"/>
  <c r="V181" i="15"/>
  <c r="V169" i="15"/>
  <c r="V98" i="15"/>
  <c r="V89" i="15"/>
  <c r="V189" i="15"/>
  <c r="V166" i="15"/>
  <c r="V161" i="15"/>
  <c r="V145" i="15"/>
  <c r="V134" i="15"/>
  <c r="V122" i="15"/>
  <c r="V182" i="15"/>
  <c r="V178" i="15"/>
  <c r="V113" i="15"/>
  <c r="V90" i="15"/>
  <c r="V210" i="15"/>
  <c r="V197" i="15"/>
  <c r="V190" i="15"/>
  <c r="V186" i="15"/>
  <c r="V170" i="15"/>
  <c r="V157" i="15"/>
  <c r="V214" i="15"/>
  <c r="V194" i="15"/>
  <c r="V154" i="15"/>
  <c r="V146" i="15"/>
  <c r="V114" i="15"/>
  <c r="V105" i="15"/>
  <c r="V82" i="15"/>
  <c r="V158" i="15"/>
  <c r="V97" i="15"/>
  <c r="V219" i="15"/>
  <c r="V198" i="15"/>
  <c r="T27" i="98"/>
  <c r="Z18" i="98"/>
  <c r="R28" i="78"/>
  <c r="R23" i="78"/>
  <c r="R18" i="78"/>
  <c r="R26" i="78"/>
  <c r="R17" i="78"/>
  <c r="R25" i="78"/>
  <c r="R32" i="78"/>
  <c r="X12" i="78"/>
  <c r="R22" i="78"/>
  <c r="R24" i="78"/>
  <c r="R16" i="78"/>
  <c r="P20" i="78"/>
  <c r="H22" i="54"/>
  <c r="N16" i="54"/>
  <c r="T168" i="34"/>
  <c r="D31" i="35"/>
  <c r="X18" i="30"/>
  <c r="P27" i="30"/>
  <c r="R82" i="31"/>
  <c r="R75" i="31"/>
  <c r="R88" i="31"/>
  <c r="R78" i="31"/>
  <c r="R74" i="31"/>
  <c r="R54" i="31"/>
  <c r="R51" i="31"/>
  <c r="R73" i="31"/>
  <c r="R83" i="31"/>
  <c r="R80" i="31"/>
  <c r="R77" i="31"/>
  <c r="R72" i="31"/>
  <c r="R56" i="31"/>
  <c r="R53" i="31"/>
  <c r="R48" i="31"/>
  <c r="R71" i="31"/>
  <c r="R68" i="31"/>
  <c r="R84" i="31"/>
  <c r="R70" i="31"/>
  <c r="R65" i="31"/>
  <c r="R61" i="31"/>
  <c r="R76" i="31"/>
  <c r="R64" i="31"/>
  <c r="R57" i="31"/>
  <c r="R52" i="31"/>
  <c r="R49" i="31"/>
  <c r="R40" i="31"/>
  <c r="R79" i="31"/>
  <c r="R38" i="31"/>
  <c r="R27" i="31"/>
  <c r="R62" i="31"/>
  <c r="R55" i="31"/>
  <c r="R37" i="31"/>
  <c r="R63" i="31"/>
  <c r="R36" i="31"/>
  <c r="R34" i="31"/>
  <c r="P32" i="31"/>
  <c r="R60" i="31"/>
  <c r="R59" i="31"/>
  <c r="R58" i="31"/>
  <c r="R47" i="31"/>
  <c r="R46" i="31"/>
  <c r="R45" i="31"/>
  <c r="R35" i="31"/>
  <c r="R30" i="31"/>
  <c r="R66" i="31"/>
  <c r="R44" i="31"/>
  <c r="R29" i="31"/>
  <c r="R69" i="31"/>
  <c r="R28" i="31"/>
  <c r="X12" i="31"/>
  <c r="Z12" i="31" s="1"/>
  <c r="R41" i="31"/>
  <c r="R39" i="31"/>
  <c r="R67" i="31"/>
  <c r="R42" i="31"/>
  <c r="R43" i="31"/>
  <c r="R50" i="31"/>
  <c r="R227" i="12"/>
  <c r="R216" i="12"/>
  <c r="R212" i="12"/>
  <c r="R189" i="12"/>
  <c r="R184" i="12"/>
  <c r="R172" i="12"/>
  <c r="R169" i="12"/>
  <c r="R160" i="12"/>
  <c r="R148" i="12"/>
  <c r="R144" i="12"/>
  <c r="R136" i="12"/>
  <c r="R134" i="12"/>
  <c r="P132" i="12"/>
  <c r="R124" i="12"/>
  <c r="R116" i="12"/>
  <c r="R108" i="12"/>
  <c r="R100" i="12"/>
  <c r="R92" i="12"/>
  <c r="X12" i="12"/>
  <c r="R230" i="12"/>
  <c r="R223" i="12"/>
  <c r="R219" i="12"/>
  <c r="R211" i="12"/>
  <c r="R203" i="12"/>
  <c r="R183" i="12"/>
  <c r="R180" i="12"/>
  <c r="R175" i="12"/>
  <c r="R163" i="12"/>
  <c r="R156" i="12"/>
  <c r="R147" i="12"/>
  <c r="R143" i="12"/>
  <c r="R123" i="12"/>
  <c r="R115" i="12"/>
  <c r="R107" i="12"/>
  <c r="R236" i="12"/>
  <c r="R222" i="12"/>
  <c r="R215" i="12"/>
  <c r="R210" i="12"/>
  <c r="R206" i="12"/>
  <c r="R202" i="12"/>
  <c r="R186" i="12"/>
  <c r="R174" i="12"/>
  <c r="R171" i="12"/>
  <c r="R166" i="12"/>
  <c r="R162" i="12"/>
  <c r="R159" i="12"/>
  <c r="R142" i="12"/>
  <c r="R135" i="12"/>
  <c r="R130" i="12"/>
  <c r="R122" i="12"/>
  <c r="R114" i="12"/>
  <c r="R106" i="12"/>
  <c r="R98" i="12"/>
  <c r="R90" i="12"/>
  <c r="R228" i="12"/>
  <c r="R225" i="12"/>
  <c r="R221" i="12"/>
  <c r="R218" i="12"/>
  <c r="R209" i="12"/>
  <c r="R205" i="12"/>
  <c r="R201" i="12"/>
  <c r="R197" i="12"/>
  <c r="R193" i="12"/>
  <c r="R182" i="12"/>
  <c r="R177" i="12"/>
  <c r="R165" i="12"/>
  <c r="R153" i="12"/>
  <c r="R146" i="12"/>
  <c r="R141" i="12"/>
  <c r="R129" i="12"/>
  <c r="R121" i="12"/>
  <c r="R113" i="12"/>
  <c r="R105" i="12"/>
  <c r="R97" i="12"/>
  <c r="R89" i="12"/>
  <c r="R231" i="12"/>
  <c r="R208" i="12"/>
  <c r="R200" i="12"/>
  <c r="R196" i="12"/>
  <c r="R192" i="12"/>
  <c r="R188" i="12"/>
  <c r="R185" i="12"/>
  <c r="R173" i="12"/>
  <c r="R168" i="12"/>
  <c r="R161" i="12"/>
  <c r="R152" i="12"/>
  <c r="R140" i="12"/>
  <c r="R128" i="12"/>
  <c r="R120" i="12"/>
  <c r="R112" i="12"/>
  <c r="R104" i="12"/>
  <c r="R96" i="12"/>
  <c r="R88" i="12"/>
  <c r="R224" i="12"/>
  <c r="R220" i="12"/>
  <c r="R204" i="12"/>
  <c r="R199" i="12"/>
  <c r="R195" i="12"/>
  <c r="R191" i="12"/>
  <c r="R179" i="12"/>
  <c r="R176" i="12"/>
  <c r="R164" i="12"/>
  <c r="R155" i="12"/>
  <c r="R151" i="12"/>
  <c r="R139" i="12"/>
  <c r="R127" i="12"/>
  <c r="R119" i="12"/>
  <c r="R194" i="12"/>
  <c r="R150" i="12"/>
  <c r="R138" i="12"/>
  <c r="R117" i="12"/>
  <c r="R99" i="12"/>
  <c r="R93" i="12"/>
  <c r="R95" i="12"/>
  <c r="R94" i="12"/>
  <c r="R229" i="12"/>
  <c r="R207" i="12"/>
  <c r="R118" i="12"/>
  <c r="R198" i="12"/>
  <c r="R157" i="12"/>
  <c r="R154" i="12"/>
  <c r="R181" i="12"/>
  <c r="R178" i="12"/>
  <c r="R170" i="12"/>
  <c r="R145" i="12"/>
  <c r="R125" i="12"/>
  <c r="R109" i="12"/>
  <c r="R101" i="12"/>
  <c r="R91" i="12"/>
  <c r="R232" i="12"/>
  <c r="R217" i="12"/>
  <c r="R213" i="12"/>
  <c r="R190" i="12"/>
  <c r="R167" i="12"/>
  <c r="R158" i="12"/>
  <c r="R132" i="12"/>
  <c r="R103" i="12"/>
  <c r="R102" i="12"/>
  <c r="R87" i="12"/>
  <c r="R187" i="12"/>
  <c r="R149" i="12"/>
  <c r="R137" i="12"/>
  <c r="R126" i="12"/>
  <c r="R110" i="12"/>
  <c r="R214" i="12"/>
  <c r="R111" i="12"/>
  <c r="P27" i="98"/>
  <c r="X18" i="98"/>
  <c r="V66" i="97"/>
  <c r="V52" i="97"/>
  <c r="V44" i="97"/>
  <c r="V36" i="97"/>
  <c r="V61" i="97"/>
  <c r="V55" i="97"/>
  <c r="V51" i="97"/>
  <c r="V54" i="97"/>
  <c r="V50" i="97"/>
  <c r="V46" i="97"/>
  <c r="V38" i="97"/>
  <c r="V34" i="97"/>
  <c r="V57" i="97"/>
  <c r="V53" i="97"/>
  <c r="V49" i="97"/>
  <c r="V37" i="97"/>
  <c r="V33" i="97"/>
  <c r="V29" i="97"/>
  <c r="V59" i="97"/>
  <c r="V43" i="97"/>
  <c r="V39" i="97"/>
  <c r="V31" i="97"/>
  <c r="V27" i="97"/>
  <c r="V48" i="97"/>
  <c r="V42" i="97"/>
  <c r="V40" i="97"/>
  <c r="V22" i="97"/>
  <c r="T17" i="97"/>
  <c r="V21" i="97"/>
  <c r="V45" i="97"/>
  <c r="V20" i="97"/>
  <c r="V56" i="97"/>
  <c r="V15" i="97"/>
  <c r="V58" i="97"/>
  <c r="V47" i="97"/>
  <c r="V30" i="97"/>
  <c r="V62" i="97"/>
  <c r="V35" i="97"/>
  <c r="V26" i="97"/>
  <c r="V25" i="97"/>
  <c r="V41" i="97"/>
  <c r="V28" i="97"/>
  <c r="V24" i="97"/>
  <c r="V32" i="97"/>
  <c r="V23" i="97"/>
  <c r="X12" i="97"/>
  <c r="Z12" i="97" s="1"/>
  <c r="V17" i="97"/>
  <c r="V19" i="97"/>
  <c r="T82" i="92"/>
  <c r="Z21" i="92"/>
  <c r="P82" i="92"/>
  <c r="X21" i="92"/>
  <c r="X18" i="90"/>
  <c r="Z18" i="90" s="1"/>
  <c r="P47" i="90"/>
  <c r="H30" i="89"/>
  <c r="L30" i="89" s="1"/>
  <c r="N16" i="89"/>
  <c r="T69" i="86"/>
  <c r="Z17" i="86"/>
  <c r="L16" i="89"/>
  <c r="R78" i="85"/>
  <c r="R75" i="85"/>
  <c r="R70" i="85"/>
  <c r="R62" i="85"/>
  <c r="R42" i="85"/>
  <c r="R39" i="85"/>
  <c r="R34" i="85"/>
  <c r="R30" i="85"/>
  <c r="R23" i="85"/>
  <c r="R18" i="85"/>
  <c r="R69" i="85"/>
  <c r="R66" i="85"/>
  <c r="R58" i="85"/>
  <c r="R53" i="85"/>
  <c r="R50" i="85"/>
  <c r="R29" i="85"/>
  <c r="R17" i="85"/>
  <c r="R83" i="85"/>
  <c r="R80" i="85"/>
  <c r="R77" i="85"/>
  <c r="R61" i="85"/>
  <c r="R44" i="85"/>
  <c r="R41" i="85"/>
  <c r="R33" i="85"/>
  <c r="R28" i="85"/>
  <c r="R68" i="85"/>
  <c r="R55" i="85"/>
  <c r="R52" i="85"/>
  <c r="R47" i="85"/>
  <c r="R27" i="85"/>
  <c r="R16" i="85"/>
  <c r="R79" i="85"/>
  <c r="R74" i="85"/>
  <c r="R46" i="85"/>
  <c r="R43" i="85"/>
  <c r="R38" i="85"/>
  <c r="R26" i="85"/>
  <c r="R87" i="85"/>
  <c r="R73" i="85"/>
  <c r="R65" i="85"/>
  <c r="R57" i="85"/>
  <c r="R54" i="85"/>
  <c r="R49" i="85"/>
  <c r="R37" i="85"/>
  <c r="R25" i="85"/>
  <c r="R45" i="85"/>
  <c r="R67" i="85"/>
  <c r="R63" i="85"/>
  <c r="R59" i="85"/>
  <c r="R82" i="85"/>
  <c r="R71" i="85"/>
  <c r="R22" i="85"/>
  <c r="R64" i="85"/>
  <c r="R60" i="85"/>
  <c r="R56" i="85"/>
  <c r="R72" i="85"/>
  <c r="R31" i="85"/>
  <c r="X12" i="85"/>
  <c r="Z12" i="85" s="1"/>
  <c r="R76" i="85"/>
  <c r="R32" i="85"/>
  <c r="R24" i="85"/>
  <c r="R48" i="85"/>
  <c r="R40" i="85"/>
  <c r="R36" i="85"/>
  <c r="P20" i="85"/>
  <c r="R20" i="85" s="1"/>
  <c r="R51" i="85"/>
  <c r="R35" i="85"/>
  <c r="P37" i="84"/>
  <c r="T81" i="81"/>
  <c r="Z73" i="81"/>
  <c r="F79" i="79"/>
  <c r="F74" i="79"/>
  <c r="F67" i="79"/>
  <c r="F63" i="79"/>
  <c r="F59" i="79"/>
  <c r="F55" i="79"/>
  <c r="F50" i="79"/>
  <c r="F47" i="79"/>
  <c r="F35" i="79"/>
  <c r="F31" i="79"/>
  <c r="F66" i="79"/>
  <c r="F58" i="79"/>
  <c r="F41" i="79"/>
  <c r="F38" i="79"/>
  <c r="F34" i="79"/>
  <c r="F30" i="79"/>
  <c r="F82" i="79"/>
  <c r="F76" i="79"/>
  <c r="F73" i="79"/>
  <c r="F65" i="79"/>
  <c r="F52" i="79"/>
  <c r="F49" i="79"/>
  <c r="F33" i="79"/>
  <c r="F29" i="79"/>
  <c r="F17" i="79"/>
  <c r="F86" i="79"/>
  <c r="F72" i="79"/>
  <c r="F43" i="79"/>
  <c r="F40" i="79"/>
  <c r="F28" i="79"/>
  <c r="F23" i="79"/>
  <c r="F22" i="79"/>
  <c r="F78" i="79"/>
  <c r="F75" i="79"/>
  <c r="F71" i="79"/>
  <c r="F62" i="79"/>
  <c r="F54" i="79"/>
  <c r="F51" i="79"/>
  <c r="F46" i="79"/>
  <c r="F27" i="79"/>
  <c r="F77" i="79"/>
  <c r="F69" i="79"/>
  <c r="F64" i="79"/>
  <c r="F61" i="79"/>
  <c r="F53" i="79"/>
  <c r="F48" i="79"/>
  <c r="F45" i="79"/>
  <c r="F32" i="79"/>
  <c r="F25" i="79"/>
  <c r="F16" i="79"/>
  <c r="F57" i="79"/>
  <c r="F44" i="79"/>
  <c r="L12" i="79"/>
  <c r="F70" i="79"/>
  <c r="F36" i="79"/>
  <c r="F24" i="79"/>
  <c r="F81" i="79"/>
  <c r="F37" i="79"/>
  <c r="F68" i="79"/>
  <c r="F60" i="79"/>
  <c r="F39" i="79"/>
  <c r="F20" i="79"/>
  <c r="F42" i="79"/>
  <c r="F26" i="79"/>
  <c r="F56" i="79"/>
  <c r="F18" i="79"/>
  <c r="D20" i="79"/>
  <c r="N20" i="79"/>
  <c r="H84" i="79"/>
  <c r="R81" i="79"/>
  <c r="F28" i="78"/>
  <c r="F32" i="78"/>
  <c r="F25" i="78"/>
  <c r="F16" i="78"/>
  <c r="F24" i="78"/>
  <c r="L12" i="78"/>
  <c r="N12" i="78" s="1"/>
  <c r="F26" i="78"/>
  <c r="D20" i="78"/>
  <c r="F20" i="78" s="1"/>
  <c r="F18" i="78"/>
  <c r="F22" i="78"/>
  <c r="F17" i="78"/>
  <c r="F23" i="78"/>
  <c r="V23" i="73"/>
  <c r="Z80" i="70"/>
  <c r="V43" i="67"/>
  <c r="V35" i="67"/>
  <c r="V27" i="67"/>
  <c r="V23" i="67"/>
  <c r="V21" i="67"/>
  <c r="V57" i="67"/>
  <c r="V52" i="67"/>
  <c r="V50" i="67"/>
  <c r="V46" i="67"/>
  <c r="V38" i="67"/>
  <c r="V26" i="67"/>
  <c r="T21" i="67"/>
  <c r="V45" i="67"/>
  <c r="V37" i="67"/>
  <c r="V25" i="67"/>
  <c r="V40" i="67"/>
  <c r="V32" i="67"/>
  <c r="V24" i="67"/>
  <c r="Z12" i="67"/>
  <c r="V39" i="67"/>
  <c r="V31" i="67"/>
  <c r="V19" i="67"/>
  <c r="V54" i="67"/>
  <c r="V48" i="67"/>
  <c r="V42" i="67"/>
  <c r="V34" i="67"/>
  <c r="V30" i="67"/>
  <c r="V18" i="67"/>
  <c r="V41" i="67"/>
  <c r="V33" i="67"/>
  <c r="V29" i="67"/>
  <c r="V36" i="67"/>
  <c r="V28" i="67"/>
  <c r="V44" i="67"/>
  <c r="X12" i="67"/>
  <c r="V66" i="65"/>
  <c r="V61" i="65"/>
  <c r="V59" i="65"/>
  <c r="V55" i="65"/>
  <c r="V63" i="65"/>
  <c r="V57" i="65"/>
  <c r="V51" i="65"/>
  <c r="V47" i="65"/>
  <c r="V43" i="65"/>
  <c r="V53" i="65"/>
  <c r="V52" i="65"/>
  <c r="V44" i="65"/>
  <c r="V40" i="65"/>
  <c r="V32" i="65"/>
  <c r="V28" i="65"/>
  <c r="V20" i="65"/>
  <c r="Z12" i="65"/>
  <c r="V39" i="65"/>
  <c r="V31" i="65"/>
  <c r="V19" i="65"/>
  <c r="V42" i="65"/>
  <c r="V34" i="65"/>
  <c r="V18" i="65"/>
  <c r="V50" i="65"/>
  <c r="V49" i="65"/>
  <c r="V46" i="65"/>
  <c r="V41" i="65"/>
  <c r="V33" i="65"/>
  <c r="V54" i="65"/>
  <c r="V36" i="65"/>
  <c r="V24" i="65"/>
  <c r="V22" i="65"/>
  <c r="V35" i="65"/>
  <c r="V27" i="65"/>
  <c r="T22" i="65"/>
  <c r="V48" i="65"/>
  <c r="V45" i="65"/>
  <c r="V30" i="65"/>
  <c r="V38" i="65"/>
  <c r="V25" i="65"/>
  <c r="V26" i="65"/>
  <c r="V29" i="65"/>
  <c r="V37" i="65"/>
  <c r="L114" i="66"/>
  <c r="N114" i="66" s="1"/>
  <c r="N22" i="65"/>
  <c r="H59" i="65"/>
  <c r="D46" i="60"/>
  <c r="L16" i="60"/>
  <c r="H27" i="53"/>
  <c r="N18" i="53"/>
  <c r="X18" i="49"/>
  <c r="P27" i="49"/>
  <c r="D73" i="58"/>
  <c r="L69" i="58"/>
  <c r="N69" i="58" s="1"/>
  <c r="D31" i="49"/>
  <c r="T53" i="61"/>
  <c r="F105" i="51"/>
  <c r="F86" i="51"/>
  <c r="F83" i="51"/>
  <c r="F67" i="51"/>
  <c r="F63" i="51"/>
  <c r="F43" i="51"/>
  <c r="F99" i="51"/>
  <c r="F93" i="51"/>
  <c r="F77" i="51"/>
  <c r="F74" i="51"/>
  <c r="F66" i="51"/>
  <c r="F62" i="51"/>
  <c r="D52" i="51"/>
  <c r="F50" i="51"/>
  <c r="F42" i="51"/>
  <c r="F88" i="51"/>
  <c r="F85" i="51"/>
  <c r="F80" i="51"/>
  <c r="F61" i="51"/>
  <c r="F49" i="51"/>
  <c r="F41" i="51"/>
  <c r="F36" i="51"/>
  <c r="F95" i="51"/>
  <c r="F92" i="51"/>
  <c r="F76" i="51"/>
  <c r="F71" i="51"/>
  <c r="F60" i="51"/>
  <c r="F55" i="51"/>
  <c r="F54" i="51"/>
  <c r="F48" i="51"/>
  <c r="F40" i="51"/>
  <c r="F100" i="51"/>
  <c r="F91" i="51"/>
  <c r="F87" i="51"/>
  <c r="F82" i="51"/>
  <c r="F79" i="51"/>
  <c r="F59" i="51"/>
  <c r="F47" i="51"/>
  <c r="F39" i="51"/>
  <c r="F94" i="51"/>
  <c r="F90" i="51"/>
  <c r="F78" i="51"/>
  <c r="F73" i="51"/>
  <c r="F70" i="51"/>
  <c r="F65" i="51"/>
  <c r="F58" i="51"/>
  <c r="F46" i="51"/>
  <c r="F38" i="51"/>
  <c r="F98" i="51"/>
  <c r="F89" i="51"/>
  <c r="F84" i="51"/>
  <c r="F81" i="51"/>
  <c r="F69" i="51"/>
  <c r="F57" i="51"/>
  <c r="F45" i="51"/>
  <c r="F37" i="51"/>
  <c r="F56" i="51"/>
  <c r="F96" i="51"/>
  <c r="F44" i="51"/>
  <c r="L12" i="51"/>
  <c r="F72" i="51"/>
  <c r="F75" i="51"/>
  <c r="F64" i="51"/>
  <c r="F101" i="51"/>
  <c r="F68" i="51"/>
  <c r="L18" i="46"/>
  <c r="D27" i="46"/>
  <c r="P34" i="55"/>
  <c r="X30" i="55"/>
  <c r="Z30" i="55" s="1"/>
  <c r="V94" i="51"/>
  <c r="V90" i="51"/>
  <c r="V86" i="51"/>
  <c r="V78" i="51"/>
  <c r="V70" i="51"/>
  <c r="V58" i="51"/>
  <c r="V54" i="51"/>
  <c r="V52" i="51"/>
  <c r="V46" i="51"/>
  <c r="V38" i="51"/>
  <c r="V99" i="51"/>
  <c r="V93" i="51"/>
  <c r="V89" i="51"/>
  <c r="V81" i="51"/>
  <c r="V77" i="51"/>
  <c r="V69" i="51"/>
  <c r="V57" i="51"/>
  <c r="T52" i="51"/>
  <c r="V45" i="51"/>
  <c r="V37" i="51"/>
  <c r="V96" i="51"/>
  <c r="V88" i="51"/>
  <c r="V80" i="51"/>
  <c r="V72" i="51"/>
  <c r="V68" i="51"/>
  <c r="V64" i="51"/>
  <c r="V56" i="51"/>
  <c r="V44" i="51"/>
  <c r="V36" i="51"/>
  <c r="Z12" i="51"/>
  <c r="V105" i="51"/>
  <c r="V95" i="51"/>
  <c r="V83" i="51"/>
  <c r="V71" i="51"/>
  <c r="V67" i="51"/>
  <c r="V63" i="51"/>
  <c r="V55" i="51"/>
  <c r="V43" i="51"/>
  <c r="V100" i="51"/>
  <c r="V82" i="51"/>
  <c r="V74" i="51"/>
  <c r="V66" i="51"/>
  <c r="V62" i="51"/>
  <c r="V50" i="51"/>
  <c r="V42" i="51"/>
  <c r="V85" i="51"/>
  <c r="V73" i="51"/>
  <c r="V65" i="51"/>
  <c r="V61" i="51"/>
  <c r="V49" i="51"/>
  <c r="V41" i="51"/>
  <c r="V98" i="51"/>
  <c r="V92" i="51"/>
  <c r="V84" i="51"/>
  <c r="V76" i="51"/>
  <c r="V60" i="51"/>
  <c r="V48" i="51"/>
  <c r="V40" i="51"/>
  <c r="V101" i="51"/>
  <c r="V39" i="51"/>
  <c r="V87" i="51"/>
  <c r="V75" i="51"/>
  <c r="V47" i="51"/>
  <c r="V79" i="51"/>
  <c r="V91" i="51"/>
  <c r="V59" i="51"/>
  <c r="L101" i="42"/>
  <c r="N101" i="42" s="1"/>
  <c r="T36" i="49"/>
  <c r="Z36" i="49" s="1"/>
  <c r="Z31" i="49"/>
  <c r="Z27" i="37"/>
  <c r="T31" i="37"/>
  <c r="X82" i="31"/>
  <c r="L18" i="37"/>
  <c r="Z27" i="32"/>
  <c r="T31" i="32"/>
  <c r="V112" i="39"/>
  <c r="T27" i="29"/>
  <c r="X27" i="29" s="1"/>
  <c r="Z18" i="29"/>
  <c r="T27" i="27"/>
  <c r="Z18" i="27"/>
  <c r="T27" i="30"/>
  <c r="Z18" i="30"/>
  <c r="N241" i="18"/>
  <c r="D27" i="17"/>
  <c r="L18" i="17"/>
  <c r="T27" i="26"/>
  <c r="Z18" i="26"/>
  <c r="L18" i="8"/>
  <c r="D27" i="8"/>
  <c r="L227" i="12"/>
  <c r="N227" i="12" s="1"/>
  <c r="H90" i="9"/>
  <c r="N16" i="9"/>
  <c r="L27" i="14"/>
  <c r="D31" i="14"/>
  <c r="Z260" i="3"/>
  <c r="T31" i="4" l="1"/>
  <c r="Z27" i="50"/>
  <c r="P31" i="4"/>
  <c r="X27" i="4"/>
  <c r="N27" i="27"/>
  <c r="H31" i="27"/>
  <c r="H36" i="43"/>
  <c r="N36" i="43" s="1"/>
  <c r="N31" i="43"/>
  <c r="X27" i="8"/>
  <c r="P36" i="16"/>
  <c r="H271" i="3"/>
  <c r="H94" i="9"/>
  <c r="T64" i="97"/>
  <c r="P234" i="12"/>
  <c r="X132" i="12"/>
  <c r="D238" i="12"/>
  <c r="F234" i="12"/>
  <c r="H31" i="5"/>
  <c r="L31" i="5" s="1"/>
  <c r="N27" i="5"/>
  <c r="P31" i="35"/>
  <c r="X27" i="35"/>
  <c r="T55" i="91"/>
  <c r="D271" i="3"/>
  <c r="L161" i="3"/>
  <c r="N161" i="3" s="1"/>
  <c r="P123" i="25"/>
  <c r="R119" i="25"/>
  <c r="D31" i="23"/>
  <c r="L27" i="23"/>
  <c r="Z24" i="42"/>
  <c r="T106" i="42"/>
  <c r="D31" i="44"/>
  <c r="L27" i="44"/>
  <c r="D31" i="52"/>
  <c r="L27" i="52"/>
  <c r="H48" i="74"/>
  <c r="T42" i="93"/>
  <c r="H119" i="25"/>
  <c r="N59" i="25"/>
  <c r="H103" i="51"/>
  <c r="P60" i="59"/>
  <c r="X56" i="59"/>
  <c r="Z56" i="59" s="1"/>
  <c r="H71" i="97"/>
  <c r="J68" i="97"/>
  <c r="H31" i="16"/>
  <c r="N27" i="16"/>
  <c r="T148" i="69"/>
  <c r="N27" i="8"/>
  <c r="H31" i="8"/>
  <c r="P168" i="34"/>
  <c r="X86" i="34"/>
  <c r="Z86" i="34" s="1"/>
  <c r="P31" i="43"/>
  <c r="X27" i="43"/>
  <c r="D63" i="65"/>
  <c r="L59" i="65"/>
  <c r="N59" i="65" s="1"/>
  <c r="F59" i="65"/>
  <c r="H36" i="7"/>
  <c r="N36" i="7" s="1"/>
  <c r="N31" i="7"/>
  <c r="H31" i="37"/>
  <c r="L31" i="37" s="1"/>
  <c r="N27" i="37"/>
  <c r="H42" i="83"/>
  <c r="T31" i="6"/>
  <c r="Z26" i="6"/>
  <c r="D172" i="34"/>
  <c r="F168" i="34"/>
  <c r="N27" i="24"/>
  <c r="H31" i="24"/>
  <c r="D148" i="69"/>
  <c r="L83" i="69"/>
  <c r="N83" i="69" s="1"/>
  <c r="T32" i="87"/>
  <c r="V28" i="87"/>
  <c r="P28" i="96"/>
  <c r="X24" i="96"/>
  <c r="Z24" i="96" s="1"/>
  <c r="H31" i="22"/>
  <c r="L31" i="22" s="1"/>
  <c r="N27" i="22"/>
  <c r="H31" i="35"/>
  <c r="N27" i="35"/>
  <c r="T31" i="41"/>
  <c r="Z27" i="41"/>
  <c r="T66" i="57"/>
  <c r="P31" i="100"/>
  <c r="X27" i="100"/>
  <c r="H234" i="12"/>
  <c r="L234" i="12" s="1"/>
  <c r="N132" i="12"/>
  <c r="Z27" i="22"/>
  <c r="T31" i="22"/>
  <c r="T119" i="25"/>
  <c r="D42" i="93"/>
  <c r="L38" i="93"/>
  <c r="F38" i="93"/>
  <c r="H69" i="57"/>
  <c r="N27" i="13"/>
  <c r="H31" i="13"/>
  <c r="T36" i="32"/>
  <c r="Z36" i="32" s="1"/>
  <c r="Z31" i="32"/>
  <c r="P37" i="55"/>
  <c r="X37" i="55" s="1"/>
  <c r="Z37" i="55" s="1"/>
  <c r="X34" i="55"/>
  <c r="Z34" i="55" s="1"/>
  <c r="Z22" i="65"/>
  <c r="T59" i="65"/>
  <c r="X22" i="65"/>
  <c r="T73" i="86"/>
  <c r="T86" i="92"/>
  <c r="V82" i="92"/>
  <c r="P86" i="31"/>
  <c r="X32" i="31"/>
  <c r="Z32" i="31" s="1"/>
  <c r="T36" i="8"/>
  <c r="Z36" i="8" s="1"/>
  <c r="Z31" i="8"/>
  <c r="Z27" i="33"/>
  <c r="T31" i="33"/>
  <c r="D36" i="43"/>
  <c r="L31" i="43"/>
  <c r="H76" i="58"/>
  <c r="H103" i="71"/>
  <c r="H84" i="76"/>
  <c r="H82" i="92"/>
  <c r="L82" i="92" s="1"/>
  <c r="N21" i="92"/>
  <c r="H31" i="99"/>
  <c r="N27" i="99"/>
  <c r="J132" i="12"/>
  <c r="H36" i="14"/>
  <c r="N36" i="14" s="1"/>
  <c r="N31" i="14"/>
  <c r="X59" i="25"/>
  <c r="Z59" i="25" s="1"/>
  <c r="V24" i="42"/>
  <c r="T64" i="48"/>
  <c r="D64" i="48"/>
  <c r="L17" i="48"/>
  <c r="L39" i="64"/>
  <c r="D87" i="64"/>
  <c r="H73" i="86"/>
  <c r="P71" i="56"/>
  <c r="X67" i="56"/>
  <c r="Z67" i="56" s="1"/>
  <c r="P36" i="29"/>
  <c r="H31" i="40"/>
  <c r="L31" i="40" s="1"/>
  <c r="N27" i="40"/>
  <c r="D31" i="47"/>
  <c r="L27" i="47"/>
  <c r="J52" i="51"/>
  <c r="H119" i="66"/>
  <c r="P110" i="77"/>
  <c r="X48" i="77"/>
  <c r="D31" i="99"/>
  <c r="L27" i="99"/>
  <c r="D31" i="27"/>
  <c r="L27" i="27"/>
  <c r="Z27" i="10"/>
  <c r="T31" i="10"/>
  <c r="Z27" i="16"/>
  <c r="T31" i="16"/>
  <c r="X36" i="19"/>
  <c r="D36" i="32"/>
  <c r="P36" i="40"/>
  <c r="P73" i="58"/>
  <c r="X69" i="58"/>
  <c r="Z69" i="58" s="1"/>
  <c r="H83" i="70"/>
  <c r="D48" i="74"/>
  <c r="L44" i="74"/>
  <c r="N44" i="74" s="1"/>
  <c r="T88" i="79"/>
  <c r="D39" i="88"/>
  <c r="T42" i="83"/>
  <c r="T271" i="3"/>
  <c r="P31" i="10"/>
  <c r="X27" i="10"/>
  <c r="D36" i="20"/>
  <c r="L27" i="26"/>
  <c r="D31" i="26"/>
  <c r="T31" i="24"/>
  <c r="Z27" i="24"/>
  <c r="X62" i="57"/>
  <c r="Z62" i="57" s="1"/>
  <c r="P66" i="57"/>
  <c r="H51" i="90"/>
  <c r="X17" i="97"/>
  <c r="Z17" i="97" s="1"/>
  <c r="D37" i="89"/>
  <c r="T31" i="17"/>
  <c r="Z27" i="17"/>
  <c r="T36" i="50"/>
  <c r="Z36" i="50" s="1"/>
  <c r="Z31" i="50"/>
  <c r="N27" i="52"/>
  <c r="H31" i="52"/>
  <c r="D63" i="59"/>
  <c r="N31" i="33"/>
  <c r="H36" i="33"/>
  <c r="N36" i="33" s="1"/>
  <c r="P41" i="84"/>
  <c r="P36" i="5"/>
  <c r="X31" i="5"/>
  <c r="P54" i="67"/>
  <c r="H250" i="18"/>
  <c r="N149" i="18"/>
  <c r="X27" i="17"/>
  <c r="P31" i="17"/>
  <c r="T37" i="84"/>
  <c r="H64" i="48"/>
  <c r="N17" i="48"/>
  <c r="L27" i="8"/>
  <c r="D31" i="8"/>
  <c r="D31" i="46"/>
  <c r="L27" i="46"/>
  <c r="N27" i="53"/>
  <c r="H31" i="53"/>
  <c r="P31" i="30"/>
  <c r="X27" i="30"/>
  <c r="H26" i="54"/>
  <c r="N22" i="54"/>
  <c r="L22" i="54"/>
  <c r="H31" i="38"/>
  <c r="N27" i="38"/>
  <c r="T30" i="78"/>
  <c r="D36" i="22"/>
  <c r="H110" i="42"/>
  <c r="J106" i="42"/>
  <c r="H60" i="59"/>
  <c r="L60" i="59" s="1"/>
  <c r="N56" i="59"/>
  <c r="D84" i="81"/>
  <c r="D31" i="16"/>
  <c r="L27" i="16"/>
  <c r="L84" i="28"/>
  <c r="D165" i="28"/>
  <c r="L27" i="36"/>
  <c r="N27" i="36" s="1"/>
  <c r="D116" i="36"/>
  <c r="D50" i="67"/>
  <c r="L21" i="67"/>
  <c r="X23" i="75"/>
  <c r="Z23" i="75" s="1"/>
  <c r="P29" i="75"/>
  <c r="R48" i="77"/>
  <c r="H34" i="78"/>
  <c r="J30" i="78"/>
  <c r="T39" i="82"/>
  <c r="P73" i="86"/>
  <c r="X69" i="86"/>
  <c r="Z69" i="86" s="1"/>
  <c r="D66" i="57"/>
  <c r="L62" i="57"/>
  <c r="N62" i="57" s="1"/>
  <c r="V83" i="69"/>
  <c r="P271" i="3"/>
  <c r="X161" i="3"/>
  <c r="Z161" i="3" s="1"/>
  <c r="P31" i="52"/>
  <c r="X27" i="52"/>
  <c r="J30" i="70"/>
  <c r="X28" i="87"/>
  <c r="Z28" i="87" s="1"/>
  <c r="P32" i="87"/>
  <c r="D37" i="84"/>
  <c r="L18" i="84"/>
  <c r="H36" i="88"/>
  <c r="N32" i="88"/>
  <c r="D34" i="55"/>
  <c r="L30" i="55"/>
  <c r="N30" i="55" s="1"/>
  <c r="P31" i="6"/>
  <c r="X31" i="6" s="1"/>
  <c r="X26" i="6"/>
  <c r="D119" i="25"/>
  <c r="L59" i="25"/>
  <c r="L27" i="33"/>
  <c r="D31" i="33"/>
  <c r="D95" i="45"/>
  <c r="L23" i="45"/>
  <c r="N23" i="45" s="1"/>
  <c r="F23" i="45"/>
  <c r="T31" i="46"/>
  <c r="Z27" i="46"/>
  <c r="H152" i="69"/>
  <c r="J148" i="69"/>
  <c r="N29" i="75"/>
  <c r="H33" i="75"/>
  <c r="J29" i="75"/>
  <c r="P55" i="91"/>
  <c r="X55" i="91" s="1"/>
  <c r="X52" i="91"/>
  <c r="Z52" i="91" s="1"/>
  <c r="P68" i="97"/>
  <c r="X64" i="97"/>
  <c r="R64" i="97"/>
  <c r="D94" i="9"/>
  <c r="L90" i="9"/>
  <c r="N90" i="9" s="1"/>
  <c r="P250" i="18"/>
  <c r="X149" i="18"/>
  <c r="P95" i="21"/>
  <c r="X30" i="21"/>
  <c r="N27" i="30"/>
  <c r="H31" i="30"/>
  <c r="L27" i="30"/>
  <c r="H168" i="34"/>
  <c r="N86" i="34"/>
  <c r="D119" i="66"/>
  <c r="L59" i="66"/>
  <c r="N59" i="66" s="1"/>
  <c r="X84" i="79"/>
  <c r="Z84" i="79" s="1"/>
  <c r="P88" i="79"/>
  <c r="R84" i="79"/>
  <c r="T51" i="90"/>
  <c r="N27" i="100"/>
  <c r="H31" i="100"/>
  <c r="N27" i="46"/>
  <c r="H31" i="46"/>
  <c r="T63" i="59"/>
  <c r="P86" i="92"/>
  <c r="X82" i="92"/>
  <c r="Z82" i="92" s="1"/>
  <c r="R82" i="92"/>
  <c r="X27" i="98"/>
  <c r="P31" i="98"/>
  <c r="T36" i="35"/>
  <c r="Z36" i="35" s="1"/>
  <c r="Z31" i="35"/>
  <c r="P87" i="70"/>
  <c r="R83" i="70"/>
  <c r="H42" i="82"/>
  <c r="H31" i="20"/>
  <c r="N27" i="20"/>
  <c r="H114" i="77"/>
  <c r="J110" i="77"/>
  <c r="P39" i="82"/>
  <c r="X35" i="82"/>
  <c r="Z35" i="82" s="1"/>
  <c r="Z27" i="30"/>
  <c r="T31" i="30"/>
  <c r="D103" i="51"/>
  <c r="L52" i="51"/>
  <c r="N52" i="51" s="1"/>
  <c r="F52" i="51"/>
  <c r="D36" i="49"/>
  <c r="T50" i="67"/>
  <c r="Z21" i="67"/>
  <c r="H88" i="79"/>
  <c r="X20" i="85"/>
  <c r="Z20" i="85" s="1"/>
  <c r="P85" i="85"/>
  <c r="N30" i="89"/>
  <c r="H34" i="89"/>
  <c r="P31" i="13"/>
  <c r="X27" i="13"/>
  <c r="H31" i="26"/>
  <c r="N27" i="26"/>
  <c r="H99" i="45"/>
  <c r="J95" i="45"/>
  <c r="T95" i="45"/>
  <c r="V23" i="45"/>
  <c r="N27" i="49"/>
  <c r="H31" i="49"/>
  <c r="L31" i="49" s="1"/>
  <c r="T50" i="60"/>
  <c r="X46" i="60"/>
  <c r="Z46" i="60" s="1"/>
  <c r="D36" i="75"/>
  <c r="L33" i="75"/>
  <c r="F33" i="75"/>
  <c r="P81" i="76"/>
  <c r="X77" i="76"/>
  <c r="Z77" i="76" s="1"/>
  <c r="R77" i="76"/>
  <c r="T36" i="5"/>
  <c r="Z36" i="5" s="1"/>
  <c r="Z31" i="5"/>
  <c r="H95" i="21"/>
  <c r="N27" i="32"/>
  <c r="H31" i="32"/>
  <c r="L31" i="32" s="1"/>
  <c r="P81" i="73"/>
  <c r="X77" i="73"/>
  <c r="R77" i="73"/>
  <c r="X32" i="88"/>
  <c r="Z32" i="88" s="1"/>
  <c r="P36" i="88"/>
  <c r="N27" i="4"/>
  <c r="H31" i="4"/>
  <c r="T90" i="31"/>
  <c r="V86" i="31"/>
  <c r="F84" i="28"/>
  <c r="X23" i="45"/>
  <c r="Z23" i="45" s="1"/>
  <c r="P95" i="45"/>
  <c r="T31" i="44"/>
  <c r="Z27" i="44"/>
  <c r="X27" i="44"/>
  <c r="P119" i="66"/>
  <c r="X59" i="66"/>
  <c r="Z59" i="66" s="1"/>
  <c r="H85" i="85"/>
  <c r="N20" i="85"/>
  <c r="L21" i="92"/>
  <c r="H26" i="6"/>
  <c r="N22" i="6"/>
  <c r="L27" i="4"/>
  <c r="D31" i="4"/>
  <c r="N27" i="19"/>
  <c r="H31" i="19"/>
  <c r="D110" i="42"/>
  <c r="L106" i="42"/>
  <c r="N106" i="42" s="1"/>
  <c r="F106" i="42"/>
  <c r="D53" i="61"/>
  <c r="P81" i="81"/>
  <c r="X77" i="81"/>
  <c r="Z77" i="81" s="1"/>
  <c r="P42" i="83"/>
  <c r="X38" i="83"/>
  <c r="Z38" i="83" s="1"/>
  <c r="H87" i="95"/>
  <c r="H31" i="96"/>
  <c r="T94" i="9"/>
  <c r="Z90" i="9"/>
  <c r="X90" i="9"/>
  <c r="T36" i="4"/>
  <c r="Z36" i="4" s="1"/>
  <c r="Z31" i="4"/>
  <c r="D31" i="53"/>
  <c r="L27" i="53"/>
  <c r="P87" i="64"/>
  <c r="X39" i="64"/>
  <c r="H50" i="67"/>
  <c r="N21" i="67"/>
  <c r="T110" i="77"/>
  <c r="Z48" i="77"/>
  <c r="X125" i="15"/>
  <c r="P224" i="15"/>
  <c r="X84" i="28"/>
  <c r="Z84" i="28" s="1"/>
  <c r="P165" i="28"/>
  <c r="X27" i="24"/>
  <c r="P31" i="24"/>
  <c r="D74" i="56"/>
  <c r="T89" i="85"/>
  <c r="V85" i="85"/>
  <c r="D52" i="91"/>
  <c r="L48" i="91"/>
  <c r="N48" i="91" s="1"/>
  <c r="D31" i="17"/>
  <c r="L27" i="17"/>
  <c r="X27" i="49"/>
  <c r="P31" i="49"/>
  <c r="L20" i="78"/>
  <c r="N20" i="78" s="1"/>
  <c r="D30" i="78"/>
  <c r="N100" i="62"/>
  <c r="H104" i="62"/>
  <c r="L27" i="24"/>
  <c r="D31" i="24"/>
  <c r="H36" i="11"/>
  <c r="N36" i="11" s="1"/>
  <c r="N31" i="11"/>
  <c r="D250" i="18"/>
  <c r="L149" i="18"/>
  <c r="D50" i="60"/>
  <c r="L46" i="60"/>
  <c r="N46" i="60" s="1"/>
  <c r="T84" i="81"/>
  <c r="P51" i="90"/>
  <c r="X47" i="90"/>
  <c r="Z47" i="90" s="1"/>
  <c r="R47" i="90"/>
  <c r="X20" i="78"/>
  <c r="Z20" i="78" s="1"/>
  <c r="P30" i="78"/>
  <c r="Z27" i="98"/>
  <c r="T31" i="98"/>
  <c r="T224" i="15"/>
  <c r="Z125" i="15"/>
  <c r="P31" i="38"/>
  <c r="X27" i="38"/>
  <c r="H94" i="94"/>
  <c r="N91" i="94"/>
  <c r="J91" i="94"/>
  <c r="D117" i="39"/>
  <c r="L33" i="39"/>
  <c r="V17" i="48"/>
  <c r="H31" i="50"/>
  <c r="L31" i="50" s="1"/>
  <c r="N27" i="50"/>
  <c r="L100" i="62"/>
  <c r="P66" i="65"/>
  <c r="R63" i="65"/>
  <c r="H52" i="91"/>
  <c r="D36" i="11"/>
  <c r="L31" i="11"/>
  <c r="H36" i="23"/>
  <c r="N36" i="23" s="1"/>
  <c r="N31" i="23"/>
  <c r="F27" i="36"/>
  <c r="P117" i="39"/>
  <c r="X33" i="39"/>
  <c r="Z33" i="39" s="1"/>
  <c r="T31" i="52"/>
  <c r="Z27" i="52"/>
  <c r="T107" i="62"/>
  <c r="P34" i="89"/>
  <c r="X30" i="89"/>
  <c r="Z30" i="89" s="1"/>
  <c r="L18" i="90"/>
  <c r="D47" i="90"/>
  <c r="D86" i="92"/>
  <c r="F82" i="92"/>
  <c r="Z27" i="99"/>
  <c r="T31" i="99"/>
  <c r="D31" i="29"/>
  <c r="L27" i="29"/>
  <c r="P50" i="61"/>
  <c r="X46" i="61"/>
  <c r="Z46" i="61" s="1"/>
  <c r="T48" i="74"/>
  <c r="J149" i="18"/>
  <c r="T36" i="20"/>
  <c r="Z36" i="20" s="1"/>
  <c r="Z31" i="20"/>
  <c r="X27" i="20"/>
  <c r="P31" i="20"/>
  <c r="P104" i="62"/>
  <c r="X100" i="62"/>
  <c r="Z100" i="62" s="1"/>
  <c r="D94" i="94"/>
  <c r="L91" i="94"/>
  <c r="F91" i="94"/>
  <c r="T234" i="12"/>
  <c r="Z132" i="12"/>
  <c r="H36" i="10"/>
  <c r="N31" i="10"/>
  <c r="L31" i="10"/>
  <c r="T123" i="66"/>
  <c r="V119" i="66"/>
  <c r="D28" i="96"/>
  <c r="L24" i="96"/>
  <c r="N24" i="96" s="1"/>
  <c r="L27" i="13"/>
  <c r="D31" i="13"/>
  <c r="T121" i="39"/>
  <c r="V117" i="39"/>
  <c r="X17" i="48"/>
  <c r="Z17" i="48" s="1"/>
  <c r="V48" i="77"/>
  <c r="T84" i="76"/>
  <c r="H41" i="84"/>
  <c r="T91" i="94"/>
  <c r="V87" i="94"/>
  <c r="D110" i="77"/>
  <c r="L48" i="77"/>
  <c r="N48" i="77" s="1"/>
  <c r="P31" i="7"/>
  <c r="X27" i="7"/>
  <c r="J161" i="3"/>
  <c r="P31" i="14"/>
  <c r="X27" i="14"/>
  <c r="P31" i="32"/>
  <c r="X27" i="32"/>
  <c r="P26" i="54"/>
  <c r="X22" i="54"/>
  <c r="F59" i="66"/>
  <c r="P107" i="71"/>
  <c r="X103" i="71"/>
  <c r="R103" i="71"/>
  <c r="P87" i="95"/>
  <c r="R83" i="95"/>
  <c r="P38" i="93"/>
  <c r="X19" i="93"/>
  <c r="H228" i="15"/>
  <c r="J224" i="15"/>
  <c r="Z39" i="64"/>
  <c r="T87" i="64"/>
  <c r="X36" i="8"/>
  <c r="D36" i="14"/>
  <c r="L31" i="14"/>
  <c r="T31" i="26"/>
  <c r="X31" i="26" s="1"/>
  <c r="Z27" i="26"/>
  <c r="T31" i="27"/>
  <c r="Z27" i="27"/>
  <c r="T36" i="37"/>
  <c r="Z36" i="37" s="1"/>
  <c r="Z31" i="37"/>
  <c r="H63" i="65"/>
  <c r="L20" i="79"/>
  <c r="D84" i="79"/>
  <c r="R32" i="31"/>
  <c r="D36" i="35"/>
  <c r="L31" i="35"/>
  <c r="D36" i="7"/>
  <c r="L31" i="7"/>
  <c r="Z30" i="21"/>
  <c r="T95" i="21"/>
  <c r="L27" i="19"/>
  <c r="D31" i="19"/>
  <c r="H50" i="61"/>
  <c r="N46" i="61"/>
  <c r="H50" i="60"/>
  <c r="P148" i="69"/>
  <c r="X83" i="69"/>
  <c r="Z83" i="69" s="1"/>
  <c r="V20" i="78"/>
  <c r="D26" i="6"/>
  <c r="L22" i="6"/>
  <c r="P31" i="27"/>
  <c r="X27" i="27"/>
  <c r="P31" i="33"/>
  <c r="X27" i="33"/>
  <c r="T36" i="43"/>
  <c r="Z36" i="43" s="1"/>
  <c r="Z31" i="43"/>
  <c r="N39" i="64"/>
  <c r="H87" i="64"/>
  <c r="D107" i="62"/>
  <c r="L104" i="62"/>
  <c r="T33" i="75"/>
  <c r="V29" i="75"/>
  <c r="T34" i="89"/>
  <c r="P36" i="26"/>
  <c r="R23" i="45"/>
  <c r="D31" i="38"/>
  <c r="L27" i="38"/>
  <c r="T71" i="56"/>
  <c r="D39" i="80"/>
  <c r="P31" i="47"/>
  <c r="X27" i="47"/>
  <c r="R86" i="34"/>
  <c r="T31" i="47"/>
  <c r="Z27" i="47"/>
  <c r="L52" i="71"/>
  <c r="N52" i="71" s="1"/>
  <c r="L77" i="73"/>
  <c r="N77" i="73" s="1"/>
  <c r="D81" i="73"/>
  <c r="F77" i="73"/>
  <c r="T83" i="95"/>
  <c r="Z21" i="95"/>
  <c r="X27" i="99"/>
  <c r="P31" i="99"/>
  <c r="Z27" i="13"/>
  <c r="T31" i="13"/>
  <c r="T169" i="28"/>
  <c r="V165" i="28"/>
  <c r="X27" i="41"/>
  <c r="P31" i="41"/>
  <c r="L27" i="40"/>
  <c r="P68" i="48"/>
  <c r="X64" i="48"/>
  <c r="R64" i="48"/>
  <c r="T76" i="58"/>
  <c r="R39" i="64"/>
  <c r="P36" i="53"/>
  <c r="Z77" i="73"/>
  <c r="T81" i="73"/>
  <c r="V77" i="73"/>
  <c r="H32" i="87"/>
  <c r="J28" i="87"/>
  <c r="P87" i="94"/>
  <c r="X21" i="94"/>
  <c r="Z21" i="94" s="1"/>
  <c r="N31" i="98"/>
  <c r="H36" i="98"/>
  <c r="N36" i="98" s="1"/>
  <c r="Z27" i="14"/>
  <c r="T31" i="14"/>
  <c r="D36" i="5"/>
  <c r="L30" i="21"/>
  <c r="N30" i="21" s="1"/>
  <c r="D95" i="21"/>
  <c r="R149" i="18"/>
  <c r="R84" i="28"/>
  <c r="N27" i="29"/>
  <c r="H31" i="29"/>
  <c r="X27" i="50"/>
  <c r="P31" i="50"/>
  <c r="X21" i="95"/>
  <c r="L27" i="98"/>
  <c r="D31" i="98"/>
  <c r="P103" i="51"/>
  <c r="X52" i="51"/>
  <c r="D31" i="100"/>
  <c r="L27" i="100"/>
  <c r="T31" i="29"/>
  <c r="Z27" i="29"/>
  <c r="X27" i="37"/>
  <c r="P31" i="37"/>
  <c r="D87" i="95"/>
  <c r="L83" i="95"/>
  <c r="N83" i="95" s="1"/>
  <c r="F83" i="95"/>
  <c r="P36" i="80"/>
  <c r="X32" i="80"/>
  <c r="Z32" i="80" s="1"/>
  <c r="N67" i="56"/>
  <c r="H71" i="56"/>
  <c r="L71" i="56" s="1"/>
  <c r="H165" i="28"/>
  <c r="N84" i="28"/>
  <c r="P31" i="46"/>
  <c r="X27" i="46"/>
  <c r="D73" i="86"/>
  <c r="L69" i="86"/>
  <c r="N69" i="86" s="1"/>
  <c r="T103" i="51"/>
  <c r="Z52" i="51"/>
  <c r="D76" i="58"/>
  <c r="L73" i="58"/>
  <c r="N73" i="58" s="1"/>
  <c r="X18" i="84"/>
  <c r="Z18" i="84" s="1"/>
  <c r="T172" i="34"/>
  <c r="V168" i="34"/>
  <c r="R20" i="78"/>
  <c r="P31" i="11"/>
  <c r="X27" i="11"/>
  <c r="T250" i="18"/>
  <c r="Z149" i="18"/>
  <c r="V30" i="21"/>
  <c r="T116" i="36"/>
  <c r="D36" i="37"/>
  <c r="H116" i="36"/>
  <c r="N27" i="44"/>
  <c r="H31" i="44"/>
  <c r="J52" i="71"/>
  <c r="D89" i="85"/>
  <c r="L85" i="85"/>
  <c r="F85" i="85"/>
  <c r="T39" i="88"/>
  <c r="J30" i="21"/>
  <c r="P31" i="22"/>
  <c r="X27" i="22"/>
  <c r="H117" i="39"/>
  <c r="N33" i="39"/>
  <c r="Z27" i="38"/>
  <c r="T31" i="38"/>
  <c r="T26" i="54"/>
  <c r="Z22" i="54"/>
  <c r="D36" i="50"/>
  <c r="T83" i="70"/>
  <c r="Z30" i="70"/>
  <c r="T103" i="71"/>
  <c r="Z52" i="71"/>
  <c r="N77" i="81"/>
  <c r="H81" i="81"/>
  <c r="X27" i="26"/>
  <c r="Z27" i="23"/>
  <c r="T31" i="23"/>
  <c r="P110" i="42"/>
  <c r="X106" i="42"/>
  <c r="R106" i="42"/>
  <c r="X21" i="67"/>
  <c r="H36" i="80"/>
  <c r="N32" i="80"/>
  <c r="H45" i="93"/>
  <c r="N45" i="93" s="1"/>
  <c r="N42" i="93"/>
  <c r="P48" i="74"/>
  <c r="X44" i="74"/>
  <c r="Z44" i="74" s="1"/>
  <c r="N27" i="17"/>
  <c r="H31" i="17"/>
  <c r="H86" i="31"/>
  <c r="D31" i="41"/>
  <c r="L27" i="41"/>
  <c r="D107" i="71"/>
  <c r="L103" i="71"/>
  <c r="F103" i="71"/>
  <c r="L20" i="76"/>
  <c r="N20" i="76" s="1"/>
  <c r="D77" i="76"/>
  <c r="F20" i="76"/>
  <c r="D42" i="83"/>
  <c r="L38" i="83"/>
  <c r="N38" i="83" s="1"/>
  <c r="D28" i="87"/>
  <c r="L18" i="87"/>
  <c r="N18" i="87" s="1"/>
  <c r="D68" i="97"/>
  <c r="L64" i="97"/>
  <c r="N64" i="97" s="1"/>
  <c r="F64" i="97"/>
  <c r="X31" i="8"/>
  <c r="D224" i="15"/>
  <c r="L125" i="15"/>
  <c r="N125" i="15" s="1"/>
  <c r="P31" i="23"/>
  <c r="X27" i="23"/>
  <c r="H81" i="73"/>
  <c r="H31" i="47"/>
  <c r="N27" i="47"/>
  <c r="P116" i="36"/>
  <c r="X27" i="36"/>
  <c r="Z27" i="36" s="1"/>
  <c r="D36" i="40"/>
  <c r="Z27" i="40"/>
  <c r="T31" i="40"/>
  <c r="X31" i="40" s="1"/>
  <c r="F83" i="69"/>
  <c r="D86" i="31"/>
  <c r="L32" i="31"/>
  <c r="N32" i="31" s="1"/>
  <c r="L27" i="5"/>
  <c r="R125" i="15"/>
  <c r="R30" i="21"/>
  <c r="H36" i="41"/>
  <c r="N36" i="41" s="1"/>
  <c r="N31" i="41"/>
  <c r="T31" i="53"/>
  <c r="X31" i="53" s="1"/>
  <c r="Z27" i="53"/>
  <c r="L30" i="70"/>
  <c r="N30" i="70" s="1"/>
  <c r="D83" i="70"/>
  <c r="D42" i="82"/>
  <c r="L42" i="82" s="1"/>
  <c r="L39" i="82"/>
  <c r="N39" i="82" s="1"/>
  <c r="T31" i="96"/>
  <c r="L36" i="43" l="1"/>
  <c r="L36" i="7"/>
  <c r="L36" i="14"/>
  <c r="L76" i="58"/>
  <c r="N31" i="27"/>
  <c r="H36" i="27"/>
  <c r="N36" i="27" s="1"/>
  <c r="X31" i="4"/>
  <c r="P36" i="4"/>
  <c r="X36" i="4" s="1"/>
  <c r="T238" i="12"/>
  <c r="V234" i="12"/>
  <c r="P36" i="98"/>
  <c r="X31" i="98"/>
  <c r="P120" i="36"/>
  <c r="X116" i="36"/>
  <c r="R116" i="36"/>
  <c r="D228" i="15"/>
  <c r="L224" i="15"/>
  <c r="N224" i="15" s="1"/>
  <c r="F224" i="15"/>
  <c r="D45" i="83"/>
  <c r="L42" i="83"/>
  <c r="L31" i="41"/>
  <c r="D36" i="41"/>
  <c r="L36" i="41" s="1"/>
  <c r="Z31" i="23"/>
  <c r="T36" i="23"/>
  <c r="Z36" i="23" s="1"/>
  <c r="T87" i="70"/>
  <c r="X87" i="70" s="1"/>
  <c r="V83" i="70"/>
  <c r="H121" i="39"/>
  <c r="J117" i="39"/>
  <c r="D92" i="85"/>
  <c r="F89" i="85"/>
  <c r="T107" i="51"/>
  <c r="V103" i="51"/>
  <c r="P91" i="94"/>
  <c r="X87" i="94"/>
  <c r="Z87" i="94" s="1"/>
  <c r="R87" i="94"/>
  <c r="P36" i="41"/>
  <c r="X31" i="41"/>
  <c r="T36" i="47"/>
  <c r="Z36" i="47" s="1"/>
  <c r="Z31" i="47"/>
  <c r="T74" i="56"/>
  <c r="D88" i="79"/>
  <c r="L84" i="79"/>
  <c r="N84" i="79" s="1"/>
  <c r="F84" i="79"/>
  <c r="H231" i="15"/>
  <c r="J228" i="15"/>
  <c r="P36" i="14"/>
  <c r="X31" i="14"/>
  <c r="Z31" i="99"/>
  <c r="T36" i="99"/>
  <c r="Z36" i="99" s="1"/>
  <c r="X34" i="89"/>
  <c r="P37" i="89"/>
  <c r="P34" i="78"/>
  <c r="X30" i="78"/>
  <c r="R30" i="78"/>
  <c r="D53" i="60"/>
  <c r="L50" i="60"/>
  <c r="T114" i="77"/>
  <c r="V110" i="77"/>
  <c r="N26" i="6"/>
  <c r="H31" i="6"/>
  <c r="Z31" i="44"/>
  <c r="T36" i="44"/>
  <c r="X31" i="44"/>
  <c r="H99" i="21"/>
  <c r="J95" i="21"/>
  <c r="P36" i="13"/>
  <c r="X31" i="13"/>
  <c r="T54" i="67"/>
  <c r="X54" i="67" s="1"/>
  <c r="H36" i="100"/>
  <c r="N36" i="100" s="1"/>
  <c r="N31" i="100"/>
  <c r="D123" i="66"/>
  <c r="L119" i="66"/>
  <c r="N119" i="66" s="1"/>
  <c r="F119" i="66"/>
  <c r="T36" i="46"/>
  <c r="Z36" i="46" s="1"/>
  <c r="Z31" i="46"/>
  <c r="P35" i="87"/>
  <c r="X32" i="87"/>
  <c r="L165" i="28"/>
  <c r="D169" i="28"/>
  <c r="F165" i="28"/>
  <c r="H36" i="53"/>
  <c r="N36" i="53" s="1"/>
  <c r="N31" i="53"/>
  <c r="H68" i="48"/>
  <c r="J64" i="48"/>
  <c r="H254" i="18"/>
  <c r="J250" i="18"/>
  <c r="P69" i="57"/>
  <c r="X66" i="57"/>
  <c r="Z66" i="57" s="1"/>
  <c r="H123" i="66"/>
  <c r="J119" i="66"/>
  <c r="H36" i="99"/>
  <c r="N36" i="99" s="1"/>
  <c r="N31" i="99"/>
  <c r="N76" i="58"/>
  <c r="P90" i="31"/>
  <c r="X86" i="31"/>
  <c r="Z86" i="31" s="1"/>
  <c r="R86" i="31"/>
  <c r="T69" i="57"/>
  <c r="P31" i="96"/>
  <c r="X31" i="96" s="1"/>
  <c r="X28" i="96"/>
  <c r="Z28" i="96" s="1"/>
  <c r="Z31" i="6"/>
  <c r="N31" i="8"/>
  <c r="H36" i="8"/>
  <c r="N36" i="8" s="1"/>
  <c r="H123" i="25"/>
  <c r="J119" i="25"/>
  <c r="L31" i="44"/>
  <c r="D36" i="44"/>
  <c r="L95" i="21"/>
  <c r="N95" i="21" s="1"/>
  <c r="D99" i="21"/>
  <c r="F95" i="21"/>
  <c r="T37" i="89"/>
  <c r="Z34" i="89"/>
  <c r="N31" i="4"/>
  <c r="H36" i="4"/>
  <c r="N36" i="4" s="1"/>
  <c r="H36" i="20"/>
  <c r="N36" i="20" s="1"/>
  <c r="N31" i="20"/>
  <c r="H37" i="78"/>
  <c r="J34" i="78"/>
  <c r="P76" i="58"/>
  <c r="X76" i="58" s="1"/>
  <c r="Z76" i="58" s="1"/>
  <c r="X73" i="58"/>
  <c r="Z73" i="58" s="1"/>
  <c r="P172" i="34"/>
  <c r="X168" i="34"/>
  <c r="Z168" i="34" s="1"/>
  <c r="R168" i="34"/>
  <c r="T36" i="53"/>
  <c r="Z36" i="53" s="1"/>
  <c r="Z31" i="53"/>
  <c r="L86" i="31"/>
  <c r="N86" i="31" s="1"/>
  <c r="D90" i="31"/>
  <c r="F86" i="31"/>
  <c r="T36" i="29"/>
  <c r="Z36" i="29" s="1"/>
  <c r="Z31" i="29"/>
  <c r="P36" i="50"/>
  <c r="X36" i="50" s="1"/>
  <c r="X31" i="50"/>
  <c r="T99" i="21"/>
  <c r="V95" i="21"/>
  <c r="T36" i="26"/>
  <c r="Z36" i="26" s="1"/>
  <c r="Z31" i="26"/>
  <c r="P110" i="71"/>
  <c r="R107" i="71"/>
  <c r="J94" i="94"/>
  <c r="H107" i="62"/>
  <c r="N104" i="62"/>
  <c r="D36" i="17"/>
  <c r="L31" i="17"/>
  <c r="P36" i="24"/>
  <c r="X31" i="24"/>
  <c r="P45" i="83"/>
  <c r="X42" i="83"/>
  <c r="X95" i="45"/>
  <c r="P99" i="45"/>
  <c r="R95" i="45"/>
  <c r="P39" i="88"/>
  <c r="X39" i="88" s="1"/>
  <c r="Z39" i="88" s="1"/>
  <c r="X36" i="88"/>
  <c r="Z36" i="88" s="1"/>
  <c r="F36" i="75"/>
  <c r="T99" i="45"/>
  <c r="Z95" i="45"/>
  <c r="V95" i="45"/>
  <c r="H37" i="89"/>
  <c r="L37" i="89" s="1"/>
  <c r="N42" i="82"/>
  <c r="P254" i="18"/>
  <c r="X250" i="18"/>
  <c r="R250" i="18"/>
  <c r="D69" i="57"/>
  <c r="L69" i="57" s="1"/>
  <c r="L66" i="57"/>
  <c r="N66" i="57" s="1"/>
  <c r="X50" i="67"/>
  <c r="Z50" i="67" s="1"/>
  <c r="P36" i="10"/>
  <c r="X31" i="10"/>
  <c r="T91" i="79"/>
  <c r="P74" i="56"/>
  <c r="X71" i="56"/>
  <c r="Z71" i="56" s="1"/>
  <c r="T68" i="48"/>
  <c r="X68" i="48" s="1"/>
  <c r="Z64" i="48"/>
  <c r="V64" i="48"/>
  <c r="T36" i="22"/>
  <c r="Z36" i="22" s="1"/>
  <c r="Z31" i="22"/>
  <c r="T110" i="42"/>
  <c r="Z106" i="42"/>
  <c r="V106" i="42"/>
  <c r="D275" i="3"/>
  <c r="L271" i="3"/>
  <c r="F271" i="3"/>
  <c r="D241" i="12"/>
  <c r="F238" i="12"/>
  <c r="P113" i="42"/>
  <c r="R110" i="42"/>
  <c r="D31" i="6"/>
  <c r="L31" i="6" s="1"/>
  <c r="L26" i="6"/>
  <c r="T94" i="94"/>
  <c r="V91" i="94"/>
  <c r="R66" i="65"/>
  <c r="P36" i="30"/>
  <c r="X31" i="30"/>
  <c r="T36" i="10"/>
  <c r="Z36" i="10" s="1"/>
  <c r="Z31" i="10"/>
  <c r="N69" i="57"/>
  <c r="J71" i="97"/>
  <c r="H36" i="47"/>
  <c r="N36" i="47" s="1"/>
  <c r="N31" i="47"/>
  <c r="D81" i="76"/>
  <c r="L77" i="76"/>
  <c r="N77" i="76" s="1"/>
  <c r="F77" i="76"/>
  <c r="H90" i="31"/>
  <c r="J86" i="31"/>
  <c r="P36" i="22"/>
  <c r="X31" i="22"/>
  <c r="T120" i="36"/>
  <c r="Z116" i="36"/>
  <c r="V116" i="36"/>
  <c r="T175" i="34"/>
  <c r="V172" i="34"/>
  <c r="D76" i="86"/>
  <c r="L73" i="86"/>
  <c r="P39" i="80"/>
  <c r="X39" i="80" s="1"/>
  <c r="Z39" i="80" s="1"/>
  <c r="X36" i="80"/>
  <c r="Z36" i="80" s="1"/>
  <c r="Z83" i="95"/>
  <c r="T87" i="95"/>
  <c r="X87" i="95" s="1"/>
  <c r="T36" i="75"/>
  <c r="V33" i="75"/>
  <c r="P152" i="69"/>
  <c r="X148" i="69"/>
  <c r="R148" i="69"/>
  <c r="N63" i="65"/>
  <c r="H66" i="65"/>
  <c r="H44" i="84"/>
  <c r="T126" i="66"/>
  <c r="V123" i="66"/>
  <c r="L94" i="94"/>
  <c r="N94" i="94" s="1"/>
  <c r="F94" i="94"/>
  <c r="T51" i="74"/>
  <c r="Z48" i="74"/>
  <c r="D254" i="18"/>
  <c r="L250" i="18"/>
  <c r="N250" i="18" s="1"/>
  <c r="F250" i="18"/>
  <c r="H54" i="67"/>
  <c r="D113" i="42"/>
  <c r="L110" i="42"/>
  <c r="N110" i="42" s="1"/>
  <c r="F110" i="42"/>
  <c r="P42" i="82"/>
  <c r="X39" i="82"/>
  <c r="Z39" i="82" s="1"/>
  <c r="H172" i="34"/>
  <c r="J168" i="34"/>
  <c r="H36" i="75"/>
  <c r="L36" i="75" s="1"/>
  <c r="N33" i="75"/>
  <c r="J33" i="75"/>
  <c r="P33" i="75"/>
  <c r="X29" i="75"/>
  <c r="Z29" i="75" s="1"/>
  <c r="R29" i="75"/>
  <c r="H113" i="42"/>
  <c r="J110" i="42"/>
  <c r="H36" i="38"/>
  <c r="N36" i="38" s="1"/>
  <c r="N31" i="38"/>
  <c r="T41" i="84"/>
  <c r="X41" i="84" s="1"/>
  <c r="V37" i="84"/>
  <c r="P57" i="67"/>
  <c r="T36" i="17"/>
  <c r="Z36" i="17" s="1"/>
  <c r="Z31" i="17"/>
  <c r="D36" i="27"/>
  <c r="L31" i="27"/>
  <c r="N82" i="92"/>
  <c r="H86" i="92"/>
  <c r="L86" i="92" s="1"/>
  <c r="T36" i="41"/>
  <c r="Z36" i="41" s="1"/>
  <c r="Z31" i="41"/>
  <c r="N31" i="24"/>
  <c r="H36" i="24"/>
  <c r="N36" i="24" s="1"/>
  <c r="T45" i="93"/>
  <c r="Z55" i="91"/>
  <c r="H97" i="9"/>
  <c r="P51" i="74"/>
  <c r="X51" i="74" s="1"/>
  <c r="X48" i="74"/>
  <c r="N71" i="56"/>
  <c r="H74" i="56"/>
  <c r="P36" i="99"/>
  <c r="X31" i="99"/>
  <c r="D31" i="96"/>
  <c r="L31" i="96" s="1"/>
  <c r="L28" i="96"/>
  <c r="N28" i="96" s="1"/>
  <c r="Z31" i="96"/>
  <c r="Z31" i="40"/>
  <c r="T36" i="40"/>
  <c r="Z36" i="40" s="1"/>
  <c r="N31" i="17"/>
  <c r="H36" i="17"/>
  <c r="N36" i="17" s="1"/>
  <c r="H39" i="80"/>
  <c r="L39" i="80" s="1"/>
  <c r="H84" i="81"/>
  <c r="L84" i="81" s="1"/>
  <c r="H36" i="44"/>
  <c r="N36" i="44" s="1"/>
  <c r="N31" i="44"/>
  <c r="D36" i="100"/>
  <c r="L36" i="100" s="1"/>
  <c r="L31" i="100"/>
  <c r="H36" i="29"/>
  <c r="N36" i="29" s="1"/>
  <c r="N31" i="29"/>
  <c r="T36" i="14"/>
  <c r="Z36" i="14" s="1"/>
  <c r="Z31" i="14"/>
  <c r="H35" i="87"/>
  <c r="J32" i="87"/>
  <c r="T172" i="28"/>
  <c r="V169" i="28"/>
  <c r="X31" i="47"/>
  <c r="P36" i="47"/>
  <c r="D36" i="38"/>
  <c r="L31" i="38"/>
  <c r="P36" i="33"/>
  <c r="X31" i="33"/>
  <c r="P42" i="93"/>
  <c r="X38" i="93"/>
  <c r="Z38" i="93" s="1"/>
  <c r="R38" i="93"/>
  <c r="P36" i="7"/>
  <c r="X36" i="7" s="1"/>
  <c r="X31" i="7"/>
  <c r="T124" i="39"/>
  <c r="V121" i="39"/>
  <c r="D89" i="92"/>
  <c r="F86" i="92"/>
  <c r="L36" i="11"/>
  <c r="H36" i="50"/>
  <c r="N36" i="50" s="1"/>
  <c r="N31" i="50"/>
  <c r="P36" i="38"/>
  <c r="X31" i="38"/>
  <c r="D55" i="91"/>
  <c r="L52" i="91"/>
  <c r="P169" i="28"/>
  <c r="X165" i="28"/>
  <c r="Z165" i="28" s="1"/>
  <c r="R165" i="28"/>
  <c r="T97" i="9"/>
  <c r="X94" i="9"/>
  <c r="Z94" i="9" s="1"/>
  <c r="P84" i="81"/>
  <c r="X84" i="81" s="1"/>
  <c r="X81" i="81"/>
  <c r="Z81" i="81" s="1"/>
  <c r="N31" i="19"/>
  <c r="H36" i="19"/>
  <c r="N36" i="19" s="1"/>
  <c r="N85" i="85"/>
  <c r="H89" i="85"/>
  <c r="J85" i="85"/>
  <c r="P89" i="85"/>
  <c r="X85" i="85"/>
  <c r="Z85" i="85" s="1"/>
  <c r="R85" i="85"/>
  <c r="X83" i="70"/>
  <c r="Z83" i="70" s="1"/>
  <c r="X86" i="92"/>
  <c r="P89" i="92"/>
  <c r="R86" i="92"/>
  <c r="T54" i="90"/>
  <c r="Z51" i="90"/>
  <c r="D97" i="9"/>
  <c r="L94" i="9"/>
  <c r="N94" i="9" s="1"/>
  <c r="D99" i="45"/>
  <c r="L95" i="45"/>
  <c r="N95" i="45" s="1"/>
  <c r="F95" i="45"/>
  <c r="D37" i="55"/>
  <c r="L37" i="55" s="1"/>
  <c r="N37" i="55" s="1"/>
  <c r="L34" i="55"/>
  <c r="N34" i="55" s="1"/>
  <c r="P76" i="86"/>
  <c r="X73" i="86"/>
  <c r="L31" i="16"/>
  <c r="D36" i="16"/>
  <c r="L34" i="89"/>
  <c r="N34" i="89" s="1"/>
  <c r="T36" i="24"/>
  <c r="Z36" i="24" s="1"/>
  <c r="Z31" i="24"/>
  <c r="T275" i="3"/>
  <c r="Z271" i="3"/>
  <c r="V271" i="3"/>
  <c r="D51" i="74"/>
  <c r="L48" i="74"/>
  <c r="L31" i="47"/>
  <c r="D36" i="47"/>
  <c r="N73" i="86"/>
  <c r="H76" i="86"/>
  <c r="T36" i="33"/>
  <c r="Z36" i="33" s="1"/>
  <c r="Z31" i="33"/>
  <c r="T89" i="92"/>
  <c r="Z86" i="92"/>
  <c r="V86" i="92"/>
  <c r="L42" i="93"/>
  <c r="D45" i="93"/>
  <c r="F42" i="93"/>
  <c r="T35" i="87"/>
  <c r="Z32" i="87"/>
  <c r="V32" i="87"/>
  <c r="L63" i="65"/>
  <c r="D66" i="65"/>
  <c r="F63" i="65"/>
  <c r="Z148" i="69"/>
  <c r="T152" i="69"/>
  <c r="V148" i="69"/>
  <c r="H275" i="3"/>
  <c r="N271" i="3"/>
  <c r="J271" i="3"/>
  <c r="X31" i="11"/>
  <c r="P36" i="11"/>
  <c r="X36" i="11" s="1"/>
  <c r="D36" i="29"/>
  <c r="L31" i="29"/>
  <c r="L37" i="84"/>
  <c r="N37" i="84" s="1"/>
  <c r="D41" i="84"/>
  <c r="T34" i="78"/>
  <c r="Z30" i="78"/>
  <c r="V30" i="78"/>
  <c r="D68" i="48"/>
  <c r="L64" i="48"/>
  <c r="N64" i="48" s="1"/>
  <c r="F64" i="48"/>
  <c r="Z59" i="65"/>
  <c r="T63" i="65"/>
  <c r="X59" i="65"/>
  <c r="D152" i="69"/>
  <c r="L148" i="69"/>
  <c r="N148" i="69" s="1"/>
  <c r="F148" i="69"/>
  <c r="X123" i="25"/>
  <c r="P126" i="25"/>
  <c r="R123" i="25"/>
  <c r="H84" i="73"/>
  <c r="D71" i="97"/>
  <c r="L68" i="97"/>
  <c r="N68" i="97" s="1"/>
  <c r="F68" i="97"/>
  <c r="T31" i="54"/>
  <c r="Z26" i="54"/>
  <c r="X31" i="46"/>
  <c r="P36" i="46"/>
  <c r="D84" i="73"/>
  <c r="L81" i="73"/>
  <c r="N81" i="73" s="1"/>
  <c r="F81" i="73"/>
  <c r="H53" i="60"/>
  <c r="N50" i="60"/>
  <c r="P31" i="54"/>
  <c r="X31" i="54" s="1"/>
  <c r="X26" i="54"/>
  <c r="D36" i="13"/>
  <c r="L31" i="13"/>
  <c r="X104" i="62"/>
  <c r="Z104" i="62" s="1"/>
  <c r="P107" i="62"/>
  <c r="X107" i="62" s="1"/>
  <c r="Z107" i="62" s="1"/>
  <c r="T36" i="52"/>
  <c r="Z36" i="52" s="1"/>
  <c r="Z31" i="52"/>
  <c r="N52" i="91"/>
  <c r="H55" i="91"/>
  <c r="X51" i="90"/>
  <c r="P54" i="90"/>
  <c r="R51" i="90"/>
  <c r="D34" i="78"/>
  <c r="L30" i="78"/>
  <c r="N30" i="78" s="1"/>
  <c r="F30" i="78"/>
  <c r="P91" i="64"/>
  <c r="X87" i="64"/>
  <c r="Z87" i="64" s="1"/>
  <c r="R87" i="64"/>
  <c r="T53" i="60"/>
  <c r="X50" i="60"/>
  <c r="Z50" i="60" s="1"/>
  <c r="H102" i="45"/>
  <c r="J99" i="45"/>
  <c r="P90" i="70"/>
  <c r="R87" i="70"/>
  <c r="H36" i="30"/>
  <c r="N31" i="30"/>
  <c r="L31" i="30"/>
  <c r="D36" i="33"/>
  <c r="L36" i="33" s="1"/>
  <c r="L31" i="33"/>
  <c r="P36" i="52"/>
  <c r="X36" i="52" s="1"/>
  <c r="X31" i="52"/>
  <c r="L81" i="81"/>
  <c r="N81" i="81" s="1"/>
  <c r="D36" i="46"/>
  <c r="L31" i="46"/>
  <c r="X36" i="5"/>
  <c r="L63" i="59"/>
  <c r="D36" i="26"/>
  <c r="L31" i="26"/>
  <c r="T45" i="83"/>
  <c r="Z42" i="83"/>
  <c r="D36" i="99"/>
  <c r="L31" i="99"/>
  <c r="D91" i="64"/>
  <c r="L87" i="64"/>
  <c r="N87" i="64" s="1"/>
  <c r="F87" i="64"/>
  <c r="H238" i="12"/>
  <c r="L238" i="12" s="1"/>
  <c r="N234" i="12"/>
  <c r="J234" i="12"/>
  <c r="H36" i="35"/>
  <c r="N36" i="35" s="1"/>
  <c r="N31" i="35"/>
  <c r="H45" i="83"/>
  <c r="N42" i="83"/>
  <c r="P63" i="59"/>
  <c r="X63" i="59" s="1"/>
  <c r="X60" i="59"/>
  <c r="Z60" i="59" s="1"/>
  <c r="H51" i="74"/>
  <c r="N48" i="74"/>
  <c r="D36" i="23"/>
  <c r="L36" i="23" s="1"/>
  <c r="L31" i="23"/>
  <c r="P238" i="12"/>
  <c r="X234" i="12"/>
  <c r="Z234" i="12" s="1"/>
  <c r="R234" i="12"/>
  <c r="T36" i="27"/>
  <c r="Z36" i="27" s="1"/>
  <c r="Z31" i="27"/>
  <c r="D36" i="24"/>
  <c r="L31" i="24"/>
  <c r="P99" i="21"/>
  <c r="X95" i="21"/>
  <c r="Z95" i="21" s="1"/>
  <c r="R95" i="21"/>
  <c r="H63" i="59"/>
  <c r="N60" i="59"/>
  <c r="Z31" i="38"/>
  <c r="T36" i="38"/>
  <c r="Z36" i="38" s="1"/>
  <c r="H120" i="36"/>
  <c r="N116" i="36"/>
  <c r="J116" i="36"/>
  <c r="T254" i="18"/>
  <c r="Z250" i="18"/>
  <c r="V250" i="18"/>
  <c r="D90" i="95"/>
  <c r="L87" i="95"/>
  <c r="F87" i="95"/>
  <c r="P107" i="51"/>
  <c r="X103" i="51"/>
  <c r="Z103" i="51" s="1"/>
  <c r="R103" i="51"/>
  <c r="T84" i="73"/>
  <c r="V81" i="73"/>
  <c r="T36" i="13"/>
  <c r="Z36" i="13" s="1"/>
  <c r="Z31" i="13"/>
  <c r="L36" i="80"/>
  <c r="N36" i="80" s="1"/>
  <c r="L107" i="62"/>
  <c r="P36" i="27"/>
  <c r="X31" i="27"/>
  <c r="T91" i="64"/>
  <c r="V87" i="64"/>
  <c r="X83" i="95"/>
  <c r="D114" i="77"/>
  <c r="L110" i="77"/>
  <c r="N110" i="77" s="1"/>
  <c r="F110" i="77"/>
  <c r="N36" i="10"/>
  <c r="L36" i="10"/>
  <c r="P36" i="20"/>
  <c r="X36" i="20" s="1"/>
  <c r="X31" i="20"/>
  <c r="P53" i="61"/>
  <c r="X53" i="61" s="1"/>
  <c r="Z53" i="61" s="1"/>
  <c r="X50" i="61"/>
  <c r="Z50" i="61" s="1"/>
  <c r="D51" i="90"/>
  <c r="L47" i="90"/>
  <c r="N47" i="90" s="1"/>
  <c r="F47" i="90"/>
  <c r="T228" i="15"/>
  <c r="V224" i="15"/>
  <c r="P228" i="15"/>
  <c r="X224" i="15"/>
  <c r="Z224" i="15" s="1"/>
  <c r="R224" i="15"/>
  <c r="N31" i="96"/>
  <c r="D36" i="4"/>
  <c r="L31" i="4"/>
  <c r="P123" i="66"/>
  <c r="X119" i="66"/>
  <c r="Z119" i="66" s="1"/>
  <c r="R119" i="66"/>
  <c r="T93" i="31"/>
  <c r="V90" i="31"/>
  <c r="P84" i="73"/>
  <c r="X81" i="73"/>
  <c r="Z81" i="73" s="1"/>
  <c r="R81" i="73"/>
  <c r="N31" i="49"/>
  <c r="H36" i="49"/>
  <c r="N36" i="49" s="1"/>
  <c r="D107" i="51"/>
  <c r="L103" i="51"/>
  <c r="F103" i="51"/>
  <c r="H117" i="77"/>
  <c r="J114" i="77"/>
  <c r="Z63" i="59"/>
  <c r="P91" i="79"/>
  <c r="X88" i="79"/>
  <c r="Z88" i="79" s="1"/>
  <c r="R88" i="79"/>
  <c r="H39" i="88"/>
  <c r="T42" i="82"/>
  <c r="D54" i="67"/>
  <c r="L50" i="67"/>
  <c r="N50" i="67" s="1"/>
  <c r="H31" i="54"/>
  <c r="N26" i="54"/>
  <c r="L26" i="54"/>
  <c r="D36" i="8"/>
  <c r="L31" i="8"/>
  <c r="P36" i="17"/>
  <c r="X31" i="17"/>
  <c r="X37" i="84"/>
  <c r="Z37" i="84" s="1"/>
  <c r="H36" i="52"/>
  <c r="N36" i="52" s="1"/>
  <c r="N31" i="52"/>
  <c r="H87" i="70"/>
  <c r="J83" i="70"/>
  <c r="Z31" i="16"/>
  <c r="T36" i="16"/>
  <c r="Z36" i="16" s="1"/>
  <c r="H36" i="40"/>
  <c r="N36" i="40" s="1"/>
  <c r="N31" i="40"/>
  <c r="T76" i="86"/>
  <c r="Z73" i="86"/>
  <c r="H36" i="13"/>
  <c r="N36" i="13" s="1"/>
  <c r="N31" i="13"/>
  <c r="T123" i="25"/>
  <c r="V119" i="25"/>
  <c r="D175" i="34"/>
  <c r="L172" i="34"/>
  <c r="F172" i="34"/>
  <c r="P36" i="43"/>
  <c r="X36" i="43" s="1"/>
  <c r="X31" i="43"/>
  <c r="H36" i="16"/>
  <c r="N36" i="16" s="1"/>
  <c r="N31" i="16"/>
  <c r="P36" i="35"/>
  <c r="X36" i="35" s="1"/>
  <c r="X31" i="35"/>
  <c r="X31" i="16"/>
  <c r="D36" i="19"/>
  <c r="L31" i="19"/>
  <c r="D123" i="25"/>
  <c r="L119" i="25"/>
  <c r="N119" i="25" s="1"/>
  <c r="F119" i="25"/>
  <c r="H36" i="5"/>
  <c r="N36" i="5" s="1"/>
  <c r="N31" i="5"/>
  <c r="D87" i="70"/>
  <c r="L83" i="70"/>
  <c r="N83" i="70" s="1"/>
  <c r="F83" i="70"/>
  <c r="P36" i="23"/>
  <c r="X31" i="23"/>
  <c r="D32" i="87"/>
  <c r="L28" i="87"/>
  <c r="N28" i="87" s="1"/>
  <c r="D110" i="71"/>
  <c r="F107" i="71"/>
  <c r="T107" i="71"/>
  <c r="Z103" i="71"/>
  <c r="V103" i="71"/>
  <c r="H169" i="28"/>
  <c r="N165" i="28"/>
  <c r="J165" i="28"/>
  <c r="P36" i="37"/>
  <c r="X36" i="37" s="1"/>
  <c r="X31" i="37"/>
  <c r="D36" i="98"/>
  <c r="L36" i="98" s="1"/>
  <c r="L31" i="98"/>
  <c r="P71" i="48"/>
  <c r="R68" i="48"/>
  <c r="H91" i="64"/>
  <c r="H53" i="61"/>
  <c r="L53" i="61" s="1"/>
  <c r="P90" i="95"/>
  <c r="R87" i="95"/>
  <c r="P36" i="32"/>
  <c r="X36" i="32" s="1"/>
  <c r="X31" i="32"/>
  <c r="P121" i="39"/>
  <c r="X117" i="39"/>
  <c r="Z117" i="39" s="1"/>
  <c r="R117" i="39"/>
  <c r="D121" i="39"/>
  <c r="L117" i="39"/>
  <c r="N117" i="39" s="1"/>
  <c r="F117" i="39"/>
  <c r="T36" i="98"/>
  <c r="Z36" i="98" s="1"/>
  <c r="Z31" i="98"/>
  <c r="Z84" i="81"/>
  <c r="P36" i="49"/>
  <c r="X36" i="49" s="1"/>
  <c r="X31" i="49"/>
  <c r="T92" i="85"/>
  <c r="V89" i="85"/>
  <c r="D36" i="53"/>
  <c r="L31" i="53"/>
  <c r="H90" i="95"/>
  <c r="N87" i="95"/>
  <c r="L50" i="61"/>
  <c r="N50" i="61" s="1"/>
  <c r="H36" i="32"/>
  <c r="N36" i="32" s="1"/>
  <c r="N31" i="32"/>
  <c r="P84" i="76"/>
  <c r="X81" i="76"/>
  <c r="Z81" i="76" s="1"/>
  <c r="R81" i="76"/>
  <c r="H36" i="26"/>
  <c r="N36" i="26" s="1"/>
  <c r="N31" i="26"/>
  <c r="H91" i="79"/>
  <c r="T36" i="30"/>
  <c r="Z36" i="30" s="1"/>
  <c r="Z31" i="30"/>
  <c r="N31" i="46"/>
  <c r="H36" i="46"/>
  <c r="N36" i="46" s="1"/>
  <c r="P71" i="97"/>
  <c r="R68" i="97"/>
  <c r="H155" i="69"/>
  <c r="J152" i="69"/>
  <c r="P275" i="3"/>
  <c r="X271" i="3"/>
  <c r="R271" i="3"/>
  <c r="D120" i="36"/>
  <c r="L116" i="36"/>
  <c r="F116" i="36"/>
  <c r="P44" i="84"/>
  <c r="H54" i="90"/>
  <c r="L31" i="20"/>
  <c r="L36" i="88"/>
  <c r="N36" i="88" s="1"/>
  <c r="P114" i="77"/>
  <c r="X110" i="77"/>
  <c r="Z110" i="77" s="1"/>
  <c r="R110" i="77"/>
  <c r="X31" i="29"/>
  <c r="N103" i="71"/>
  <c r="H107" i="71"/>
  <c r="J103" i="71"/>
  <c r="X31" i="100"/>
  <c r="P36" i="100"/>
  <c r="X36" i="100" s="1"/>
  <c r="H36" i="22"/>
  <c r="N36" i="22" s="1"/>
  <c r="N31" i="22"/>
  <c r="L168" i="34"/>
  <c r="N168" i="34" s="1"/>
  <c r="H36" i="37"/>
  <c r="N36" i="37" s="1"/>
  <c r="N31" i="37"/>
  <c r="H107" i="51"/>
  <c r="N103" i="51"/>
  <c r="J103" i="51"/>
  <c r="D36" i="52"/>
  <c r="L31" i="52"/>
  <c r="X119" i="25"/>
  <c r="Z119" i="25" s="1"/>
  <c r="T68" i="97"/>
  <c r="X68" i="97" s="1"/>
  <c r="Z64" i="97"/>
  <c r="V64" i="97"/>
  <c r="L36" i="38" l="1"/>
  <c r="X36" i="16"/>
  <c r="X36" i="26"/>
  <c r="L36" i="19"/>
  <c r="X36" i="22"/>
  <c r="L36" i="17"/>
  <c r="L36" i="47"/>
  <c r="X36" i="27"/>
  <c r="L36" i="35"/>
  <c r="L36" i="24"/>
  <c r="X36" i="46"/>
  <c r="X36" i="47"/>
  <c r="L36" i="53"/>
  <c r="L36" i="8"/>
  <c r="X36" i="23"/>
  <c r="L36" i="99"/>
  <c r="X36" i="99"/>
  <c r="L36" i="40"/>
  <c r="X36" i="17"/>
  <c r="L36" i="4"/>
  <c r="L36" i="27"/>
  <c r="L36" i="22"/>
  <c r="L36" i="26"/>
  <c r="L97" i="9"/>
  <c r="X36" i="33"/>
  <c r="X69" i="57"/>
  <c r="X37" i="89"/>
  <c r="L45" i="83"/>
  <c r="L36" i="52"/>
  <c r="X76" i="86"/>
  <c r="X74" i="56"/>
  <c r="J155" i="69"/>
  <c r="P110" i="51"/>
  <c r="X107" i="51"/>
  <c r="R107" i="51"/>
  <c r="T155" i="69"/>
  <c r="V152" i="69"/>
  <c r="R113" i="42"/>
  <c r="D172" i="28"/>
  <c r="L169" i="28"/>
  <c r="F169" i="28"/>
  <c r="H110" i="51"/>
  <c r="J107" i="51"/>
  <c r="F175" i="34"/>
  <c r="X84" i="73"/>
  <c r="R84" i="73"/>
  <c r="H123" i="36"/>
  <c r="J120" i="36"/>
  <c r="P241" i="12"/>
  <c r="X238" i="12"/>
  <c r="R238" i="12"/>
  <c r="N45" i="83"/>
  <c r="X53" i="60"/>
  <c r="Z53" i="60" s="1"/>
  <c r="X54" i="90"/>
  <c r="Z54" i="90" s="1"/>
  <c r="R54" i="90"/>
  <c r="D71" i="48"/>
  <c r="L68" i="48"/>
  <c r="F68" i="48"/>
  <c r="L36" i="29"/>
  <c r="L45" i="93"/>
  <c r="F45" i="93"/>
  <c r="T280" i="3"/>
  <c r="V275" i="3"/>
  <c r="X36" i="38"/>
  <c r="H89" i="92"/>
  <c r="N86" i="92"/>
  <c r="H175" i="34"/>
  <c r="L175" i="34" s="1"/>
  <c r="N172" i="34"/>
  <c r="J172" i="34"/>
  <c r="H57" i="67"/>
  <c r="L36" i="5"/>
  <c r="H93" i="31"/>
  <c r="J90" i="31"/>
  <c r="T113" i="42"/>
  <c r="V110" i="42"/>
  <c r="X99" i="45"/>
  <c r="P102" i="45"/>
  <c r="R99" i="45"/>
  <c r="P175" i="34"/>
  <c r="X172" i="34"/>
  <c r="Z172" i="34" s="1"/>
  <c r="R172" i="34"/>
  <c r="H257" i="18"/>
  <c r="J254" i="18"/>
  <c r="T117" i="77"/>
  <c r="V114" i="77"/>
  <c r="X36" i="41"/>
  <c r="L36" i="37"/>
  <c r="X36" i="98"/>
  <c r="L121" i="39"/>
  <c r="D124" i="39"/>
  <c r="F121" i="39"/>
  <c r="D90" i="70"/>
  <c r="L87" i="70"/>
  <c r="N87" i="70" s="1"/>
  <c r="F87" i="70"/>
  <c r="J113" i="42"/>
  <c r="N37" i="89"/>
  <c r="H110" i="71"/>
  <c r="J107" i="71"/>
  <c r="D123" i="36"/>
  <c r="L120" i="36"/>
  <c r="N120" i="36" s="1"/>
  <c r="F120" i="36"/>
  <c r="R90" i="95"/>
  <c r="H172" i="28"/>
  <c r="N169" i="28"/>
  <c r="J169" i="28"/>
  <c r="D35" i="87"/>
  <c r="L35" i="87" s="1"/>
  <c r="L32" i="87"/>
  <c r="N32" i="87" s="1"/>
  <c r="Z76" i="86"/>
  <c r="P102" i="21"/>
  <c r="X99" i="21"/>
  <c r="R99" i="21"/>
  <c r="D94" i="64"/>
  <c r="L91" i="64"/>
  <c r="F91" i="64"/>
  <c r="L36" i="13"/>
  <c r="L71" i="97"/>
  <c r="N71" i="97" s="1"/>
  <c r="F71" i="97"/>
  <c r="L39" i="88"/>
  <c r="N39" i="88" s="1"/>
  <c r="H92" i="85"/>
  <c r="J89" i="85"/>
  <c r="X97" i="9"/>
  <c r="Z97" i="9" s="1"/>
  <c r="V124" i="39"/>
  <c r="T44" i="84"/>
  <c r="Z41" i="84"/>
  <c r="V41" i="84"/>
  <c r="N107" i="62"/>
  <c r="D93" i="31"/>
  <c r="L90" i="31"/>
  <c r="N90" i="31" s="1"/>
  <c r="F90" i="31"/>
  <c r="L36" i="44"/>
  <c r="H126" i="66"/>
  <c r="J123" i="66"/>
  <c r="H102" i="21"/>
  <c r="J99" i="21"/>
  <c r="X36" i="53"/>
  <c r="T90" i="70"/>
  <c r="Z87" i="70"/>
  <c r="V87" i="70"/>
  <c r="V92" i="85"/>
  <c r="L110" i="71"/>
  <c r="F110" i="71"/>
  <c r="H90" i="70"/>
  <c r="J87" i="70"/>
  <c r="N36" i="30"/>
  <c r="L36" i="30"/>
  <c r="T71" i="48"/>
  <c r="Z68" i="48"/>
  <c r="V68" i="48"/>
  <c r="J231" i="15"/>
  <c r="T71" i="97"/>
  <c r="X71" i="97" s="1"/>
  <c r="Z68" i="97"/>
  <c r="V68" i="97"/>
  <c r="R71" i="97"/>
  <c r="P124" i="39"/>
  <c r="X121" i="39"/>
  <c r="Z121" i="39" s="1"/>
  <c r="R121" i="39"/>
  <c r="R71" i="48"/>
  <c r="L31" i="54"/>
  <c r="N31" i="54" s="1"/>
  <c r="L90" i="95"/>
  <c r="N90" i="95" s="1"/>
  <c r="F90" i="95"/>
  <c r="R90" i="70"/>
  <c r="L84" i="73"/>
  <c r="N84" i="73" s="1"/>
  <c r="F84" i="73"/>
  <c r="L152" i="69"/>
  <c r="N152" i="69" s="1"/>
  <c r="D155" i="69"/>
  <c r="F152" i="69"/>
  <c r="L66" i="65"/>
  <c r="F66" i="65"/>
  <c r="X89" i="92"/>
  <c r="Z89" i="92" s="1"/>
  <c r="R89" i="92"/>
  <c r="N35" i="87"/>
  <c r="J35" i="87"/>
  <c r="X33" i="75"/>
  <c r="Z33" i="75" s="1"/>
  <c r="P36" i="75"/>
  <c r="R33" i="75"/>
  <c r="X42" i="82"/>
  <c r="Z42" i="82" s="1"/>
  <c r="P155" i="69"/>
  <c r="X152" i="69"/>
  <c r="Z152" i="69" s="1"/>
  <c r="R152" i="69"/>
  <c r="T123" i="36"/>
  <c r="V120" i="36"/>
  <c r="V94" i="94"/>
  <c r="F241" i="12"/>
  <c r="X36" i="40"/>
  <c r="Z99" i="45"/>
  <c r="T102" i="45"/>
  <c r="V99" i="45"/>
  <c r="X35" i="87"/>
  <c r="D91" i="79"/>
  <c r="L88" i="79"/>
  <c r="N88" i="79" s="1"/>
  <c r="F88" i="79"/>
  <c r="L89" i="85"/>
  <c r="N89" i="85" s="1"/>
  <c r="D231" i="15"/>
  <c r="L228" i="15"/>
  <c r="N228" i="15" s="1"/>
  <c r="F228" i="15"/>
  <c r="D117" i="77"/>
  <c r="L114" i="77"/>
  <c r="N114" i="77" s="1"/>
  <c r="F114" i="77"/>
  <c r="D110" i="51"/>
  <c r="L107" i="51"/>
  <c r="N107" i="51" s="1"/>
  <c r="F107" i="51"/>
  <c r="V93" i="31"/>
  <c r="T231" i="15"/>
  <c r="V228" i="15"/>
  <c r="T94" i="64"/>
  <c r="V91" i="64"/>
  <c r="X91" i="64"/>
  <c r="Z91" i="64" s="1"/>
  <c r="P94" i="64"/>
  <c r="R91" i="64"/>
  <c r="L36" i="32"/>
  <c r="L36" i="49"/>
  <c r="D257" i="18"/>
  <c r="L254" i="18"/>
  <c r="N254" i="18" s="1"/>
  <c r="F254" i="18"/>
  <c r="V126" i="66"/>
  <c r="D84" i="76"/>
  <c r="L81" i="76"/>
  <c r="N81" i="76" s="1"/>
  <c r="F81" i="76"/>
  <c r="X45" i="83"/>
  <c r="Z99" i="21"/>
  <c r="T102" i="21"/>
  <c r="V99" i="21"/>
  <c r="Z37" i="89"/>
  <c r="P93" i="31"/>
  <c r="X90" i="31"/>
  <c r="Z90" i="31" s="1"/>
  <c r="R90" i="31"/>
  <c r="H71" i="48"/>
  <c r="N68" i="48"/>
  <c r="J68" i="48"/>
  <c r="Z36" i="44"/>
  <c r="X36" i="44"/>
  <c r="L53" i="60"/>
  <c r="N53" i="60" s="1"/>
  <c r="Z74" i="56"/>
  <c r="F92" i="85"/>
  <c r="D126" i="66"/>
  <c r="L123" i="66"/>
  <c r="N123" i="66" s="1"/>
  <c r="F123" i="66"/>
  <c r="T110" i="51"/>
  <c r="Z107" i="51"/>
  <c r="V107" i="51"/>
  <c r="P280" i="3"/>
  <c r="X275" i="3"/>
  <c r="Z275" i="3" s="1"/>
  <c r="R275" i="3"/>
  <c r="N53" i="61"/>
  <c r="T110" i="71"/>
  <c r="V107" i="71"/>
  <c r="D126" i="25"/>
  <c r="L123" i="25"/>
  <c r="N123" i="25" s="1"/>
  <c r="F123" i="25"/>
  <c r="X91" i="79"/>
  <c r="Z91" i="79" s="1"/>
  <c r="R91" i="79"/>
  <c r="Z84" i="73"/>
  <c r="V84" i="73"/>
  <c r="L36" i="20"/>
  <c r="J102" i="45"/>
  <c r="T66" i="65"/>
  <c r="X63" i="65"/>
  <c r="Z63" i="65" s="1"/>
  <c r="T37" i="78"/>
  <c r="V34" i="78"/>
  <c r="V89" i="92"/>
  <c r="L36" i="16"/>
  <c r="D102" i="45"/>
  <c r="L99" i="45"/>
  <c r="N99" i="45" s="1"/>
  <c r="F99" i="45"/>
  <c r="P172" i="28"/>
  <c r="X169" i="28"/>
  <c r="Z169" i="28" s="1"/>
  <c r="R169" i="28"/>
  <c r="N84" i="81"/>
  <c r="V36" i="75"/>
  <c r="L76" i="86"/>
  <c r="N76" i="86" s="1"/>
  <c r="X36" i="30"/>
  <c r="P257" i="18"/>
  <c r="X254" i="18"/>
  <c r="Z254" i="18" s="1"/>
  <c r="R254" i="18"/>
  <c r="J37" i="78"/>
  <c r="H126" i="25"/>
  <c r="J123" i="25"/>
  <c r="T57" i="67"/>
  <c r="Z54" i="67"/>
  <c r="X36" i="14"/>
  <c r="P94" i="94"/>
  <c r="X91" i="94"/>
  <c r="Z91" i="94" s="1"/>
  <c r="R91" i="94"/>
  <c r="T241" i="12"/>
  <c r="Z238" i="12"/>
  <c r="V238" i="12"/>
  <c r="X89" i="85"/>
  <c r="Z89" i="85" s="1"/>
  <c r="P92" i="85"/>
  <c r="R89" i="85"/>
  <c r="V172" i="28"/>
  <c r="X84" i="76"/>
  <c r="Z84" i="76" s="1"/>
  <c r="R84" i="76"/>
  <c r="H94" i="64"/>
  <c r="N91" i="64"/>
  <c r="T126" i="25"/>
  <c r="X126" i="25" s="1"/>
  <c r="Z123" i="25"/>
  <c r="V123" i="25"/>
  <c r="D57" i="67"/>
  <c r="L57" i="67" s="1"/>
  <c r="L54" i="67"/>
  <c r="N54" i="67" s="1"/>
  <c r="T257" i="18"/>
  <c r="V254" i="18"/>
  <c r="H241" i="12"/>
  <c r="L241" i="12" s="1"/>
  <c r="N238" i="12"/>
  <c r="J238" i="12"/>
  <c r="Z45" i="83"/>
  <c r="D44" i="84"/>
  <c r="L44" i="84" s="1"/>
  <c r="L41" i="84"/>
  <c r="N41" i="84" s="1"/>
  <c r="H280" i="3"/>
  <c r="J275" i="3"/>
  <c r="L51" i="74"/>
  <c r="N51" i="74" s="1"/>
  <c r="N36" i="75"/>
  <c r="J36" i="75"/>
  <c r="N44" i="84"/>
  <c r="L36" i="50"/>
  <c r="L74" i="56"/>
  <c r="N74" i="56" s="1"/>
  <c r="D280" i="3"/>
  <c r="L275" i="3"/>
  <c r="N275" i="3" s="1"/>
  <c r="F275" i="3"/>
  <c r="X36" i="24"/>
  <c r="X107" i="71"/>
  <c r="Z107" i="71" s="1"/>
  <c r="L99" i="21"/>
  <c r="N99" i="21" s="1"/>
  <c r="D102" i="21"/>
  <c r="F99" i="21"/>
  <c r="N31" i="6"/>
  <c r="P123" i="36"/>
  <c r="X120" i="36"/>
  <c r="Z120" i="36" s="1"/>
  <c r="R120" i="36"/>
  <c r="J117" i="77"/>
  <c r="P117" i="77"/>
  <c r="X114" i="77"/>
  <c r="Z114" i="77" s="1"/>
  <c r="R114" i="77"/>
  <c r="L107" i="71"/>
  <c r="N107" i="71" s="1"/>
  <c r="P126" i="66"/>
  <c r="X123" i="66"/>
  <c r="Z123" i="66" s="1"/>
  <c r="R123" i="66"/>
  <c r="X228" i="15"/>
  <c r="Z228" i="15" s="1"/>
  <c r="P231" i="15"/>
  <c r="R228" i="15"/>
  <c r="L51" i="90"/>
  <c r="N51" i="90" s="1"/>
  <c r="D54" i="90"/>
  <c r="F51" i="90"/>
  <c r="N63" i="59"/>
  <c r="L36" i="46"/>
  <c r="L34" i="78"/>
  <c r="N34" i="78" s="1"/>
  <c r="D37" i="78"/>
  <c r="F34" i="78"/>
  <c r="Z31" i="54"/>
  <c r="R126" i="25"/>
  <c r="Z35" i="87"/>
  <c r="V35" i="87"/>
  <c r="L55" i="91"/>
  <c r="N55" i="91" s="1"/>
  <c r="L89" i="92"/>
  <c r="F89" i="92"/>
  <c r="P45" i="93"/>
  <c r="X42" i="93"/>
  <c r="Z42" i="93" s="1"/>
  <c r="R42" i="93"/>
  <c r="N39" i="80"/>
  <c r="N97" i="9"/>
  <c r="L113" i="42"/>
  <c r="N113" i="42" s="1"/>
  <c r="F113" i="42"/>
  <c r="Z51" i="74"/>
  <c r="N66" i="65"/>
  <c r="T90" i="95"/>
  <c r="X90" i="95" s="1"/>
  <c r="Z87" i="95"/>
  <c r="V175" i="34"/>
  <c r="X110" i="42"/>
  <c r="Z110" i="42" s="1"/>
  <c r="X36" i="10"/>
  <c r="X110" i="71"/>
  <c r="R110" i="71"/>
  <c r="Z69" i="57"/>
  <c r="X36" i="13"/>
  <c r="P37" i="78"/>
  <c r="X34" i="78"/>
  <c r="Z34" i="78" s="1"/>
  <c r="R34" i="78"/>
  <c r="H124" i="39"/>
  <c r="N121" i="39"/>
  <c r="J121" i="39"/>
  <c r="X36" i="29"/>
  <c r="X36" i="75" l="1"/>
  <c r="Z36" i="75" s="1"/>
  <c r="R36" i="75"/>
  <c r="V44" i="84"/>
  <c r="J172" i="28"/>
  <c r="V280" i="3"/>
  <c r="L37" i="78"/>
  <c r="N37" i="78" s="1"/>
  <c r="F37" i="78"/>
  <c r="X231" i="15"/>
  <c r="R231" i="15"/>
  <c r="X117" i="77"/>
  <c r="Z117" i="77" s="1"/>
  <c r="R117" i="77"/>
  <c r="V257" i="18"/>
  <c r="X257" i="18"/>
  <c r="Z257" i="18" s="1"/>
  <c r="R257" i="18"/>
  <c r="X172" i="28"/>
  <c r="Z172" i="28" s="1"/>
  <c r="R172" i="28"/>
  <c r="V37" i="78"/>
  <c r="L126" i="25"/>
  <c r="N126" i="25" s="1"/>
  <c r="F126" i="25"/>
  <c r="X280" i="3"/>
  <c r="Z280" i="3" s="1"/>
  <c r="R280" i="3"/>
  <c r="L84" i="76"/>
  <c r="N84" i="76" s="1"/>
  <c r="F84" i="76"/>
  <c r="Z94" i="64"/>
  <c r="V94" i="64"/>
  <c r="L110" i="51"/>
  <c r="N110" i="51" s="1"/>
  <c r="F110" i="51"/>
  <c r="L231" i="15"/>
  <c r="N231" i="15" s="1"/>
  <c r="F231" i="15"/>
  <c r="V102" i="45"/>
  <c r="Z123" i="36"/>
  <c r="V123" i="36"/>
  <c r="L155" i="69"/>
  <c r="N155" i="69" s="1"/>
  <c r="F155" i="69"/>
  <c r="V90" i="70"/>
  <c r="N110" i="71"/>
  <c r="J110" i="71"/>
  <c r="X175" i="34"/>
  <c r="Z175" i="34" s="1"/>
  <c r="R175" i="34"/>
  <c r="N93" i="31"/>
  <c r="J93" i="31"/>
  <c r="J123" i="36"/>
  <c r="J110" i="51"/>
  <c r="L102" i="21"/>
  <c r="N102" i="21" s="1"/>
  <c r="F102" i="21"/>
  <c r="J92" i="85"/>
  <c r="X44" i="84"/>
  <c r="Z44" i="84" s="1"/>
  <c r="L126" i="66"/>
  <c r="F126" i="66"/>
  <c r="X124" i="39"/>
  <c r="Z124" i="39" s="1"/>
  <c r="R124" i="39"/>
  <c r="N90" i="70"/>
  <c r="J90" i="70"/>
  <c r="X102" i="21"/>
  <c r="R102" i="21"/>
  <c r="L90" i="70"/>
  <c r="F90" i="70"/>
  <c r="N89" i="92"/>
  <c r="X93" i="31"/>
  <c r="Z93" i="31" s="1"/>
  <c r="R93" i="31"/>
  <c r="N126" i="66"/>
  <c r="J126" i="66"/>
  <c r="X37" i="78"/>
  <c r="Z37" i="78" s="1"/>
  <c r="R37" i="78"/>
  <c r="X123" i="36"/>
  <c r="R123" i="36"/>
  <c r="Z241" i="12"/>
  <c r="V241" i="12"/>
  <c r="X57" i="67"/>
  <c r="Z57" i="67" s="1"/>
  <c r="Z102" i="21"/>
  <c r="V102" i="21"/>
  <c r="V117" i="77"/>
  <c r="X102" i="45"/>
  <c r="Z102" i="45" s="1"/>
  <c r="R102" i="45"/>
  <c r="J124" i="39"/>
  <c r="V155" i="69"/>
  <c r="J126" i="25"/>
  <c r="L102" i="45"/>
  <c r="N102" i="45" s="1"/>
  <c r="F102" i="45"/>
  <c r="X66" i="65"/>
  <c r="Z66" i="65" s="1"/>
  <c r="Z110" i="71"/>
  <c r="V110" i="71"/>
  <c r="Z231" i="15"/>
  <c r="V231" i="15"/>
  <c r="L93" i="31"/>
  <c r="F93" i="31"/>
  <c r="L124" i="39"/>
  <c r="N124" i="39" s="1"/>
  <c r="F124" i="39"/>
  <c r="L172" i="28"/>
  <c r="N172" i="28" s="1"/>
  <c r="F172" i="28"/>
  <c r="X110" i="51"/>
  <c r="R110" i="51"/>
  <c r="Z90" i="95"/>
  <c r="X126" i="66"/>
  <c r="Z126" i="66" s="1"/>
  <c r="R126" i="66"/>
  <c r="J71" i="48"/>
  <c r="X94" i="64"/>
  <c r="R94" i="64"/>
  <c r="L91" i="79"/>
  <c r="N91" i="79" s="1"/>
  <c r="F91" i="79"/>
  <c r="X155" i="69"/>
  <c r="Z155" i="69" s="1"/>
  <c r="R155" i="69"/>
  <c r="V71" i="48"/>
  <c r="J102" i="21"/>
  <c r="L123" i="36"/>
  <c r="N123" i="36" s="1"/>
  <c r="F123" i="36"/>
  <c r="N57" i="67"/>
  <c r="X45" i="93"/>
  <c r="Z45" i="93" s="1"/>
  <c r="R45" i="93"/>
  <c r="L54" i="90"/>
  <c r="N54" i="90" s="1"/>
  <c r="F54" i="90"/>
  <c r="N241" i="12"/>
  <c r="J241" i="12"/>
  <c r="Z126" i="25"/>
  <c r="V126" i="25"/>
  <c r="X92" i="85"/>
  <c r="Z92" i="85" s="1"/>
  <c r="R92" i="85"/>
  <c r="X94" i="94"/>
  <c r="Z94" i="94" s="1"/>
  <c r="R94" i="94"/>
  <c r="L92" i="85"/>
  <c r="N92" i="85" s="1"/>
  <c r="L257" i="18"/>
  <c r="N257" i="18" s="1"/>
  <c r="F257" i="18"/>
  <c r="L117" i="77"/>
  <c r="N117" i="77" s="1"/>
  <c r="F117" i="77"/>
  <c r="J257" i="18"/>
  <c r="V113" i="42"/>
  <c r="L71" i="48"/>
  <c r="N71" i="48" s="1"/>
  <c r="F71" i="48"/>
  <c r="X241" i="12"/>
  <c r="R241" i="12"/>
  <c r="X113" i="42"/>
  <c r="Z113" i="42" s="1"/>
  <c r="J280" i="3"/>
  <c r="Z71" i="97"/>
  <c r="V71" i="97"/>
  <c r="N175" i="34"/>
  <c r="J175" i="34"/>
  <c r="L280" i="3"/>
  <c r="N280" i="3" s="1"/>
  <c r="F280" i="3"/>
  <c r="Z110" i="51"/>
  <c r="V110" i="51"/>
  <c r="X90" i="70"/>
  <c r="Z90" i="70" s="1"/>
  <c r="X71" i="48"/>
  <c r="Z71" i="48" s="1"/>
  <c r="L94" i="64"/>
  <c r="N94" i="64" s="1"/>
  <c r="F94" i="6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<sst xmlns="http://schemas.openxmlformats.org/spreadsheetml/2006/main" count="2844" uniqueCount="315">
  <si>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</si>
  <si>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</si>
  <si>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</si>
  <si>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</si>
  <si>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</si>
  <si>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</si>
  <si>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</si>
  <si>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</si>
  <si>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</si>
  <si>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</si>
  <si>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</si>
  <si>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</si>
  <si>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</si>
  <si>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</si>
  <si>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</si>
  <si>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</si>
  <si>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</si>
  <si>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</si>
  <si>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</si>
  <si>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</si>
  <si>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</si>
  <si>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</si>
  <si>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</si>
  <si>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</si>
  <si>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</si>
  <si>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</si>
  <si>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</si>
  <si>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</si>
  <si>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</si>
  <si>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</si>
  <si>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</si>
  <si>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</si>
  <si>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</si>
  <si>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</si>
  <si>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</si>
  <si>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</si>
  <si>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</si>
  <si>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</si>
  <si>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</si>
  <si>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</si>
  <si>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</si>
  <si>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</si>
  <si>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</si>
  <si>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</si>
  <si>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</si>
  <si>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</si>
  <si>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</si>
  <si>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</si>
  <si>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</si>
  <si>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</si>
  <si>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</si>
  <si>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</si>
  <si>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</si>
  <si>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</si>
  <si>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</si>
  <si>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</si>
  <si>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</si>
  <si>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</si>
  <si>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</si>
  <si>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</si>
  <si>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</si>
  <si>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</si>
  <si>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</si>
  <si>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</si>
  <si>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</si>
  <si>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</si>
  <si>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</si>
  <si>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</si>
  <si>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</si>
  <si>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</si>
  <si>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</si>
  <si>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</si>
  <si>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</si>
  <si>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</si>
  <si>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</si>
  <si>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</si>
  <si>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</si>
  <si>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</si>
  <si>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</si>
  <si>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</si>
  <si>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</si>
  <si>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</si>
  <si>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</si>
  <si>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</si>
  <si>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</si>
  <si>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</si>
  <si>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</si>
  <si>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</si>
  <si>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</si>
  <si>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</si>
  <si>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</si>
  <si>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</si>
  <si>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</si>
  <si>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</si>
  <si>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</si>
  <si>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</si>
  <si>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</si>
  <si>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</si>
  <si>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</si>
  <si>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</si>
  <si>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</si>
  <si>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</si>
  <si>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</si>
  <si>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</si>
  <si>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</si>
  <si>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</si>
  <si>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</si>
  <si>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</si>
  <si>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</si>
  <si>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</si>
  <si>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</si>
  <si>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</si>
  <si>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</si>
  <si>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</si>
  <si>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</si>
  <si>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</si>
  <si>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</si>
  <si>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</si>
  <si>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</si>
  <si>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</si>
  <si>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</si>
  <si>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</si>
  <si>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</si>
  <si>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</si>
  <si>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</si>
  <si>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</si>
  <si>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</si>
  <si>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</si>
  <si>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</si>
  <si>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</si>
  <si>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</si>
  <si>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</si>
  <si>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</si>
  <si>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</si>
  <si>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</si>
  <si>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</si>
  <si>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</si>
  <si>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</si>
  <si>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</si>
  <si>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</si>
  <si>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</si>
  <si>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</si>
  <si>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</si>
  <si>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</si>
  <si>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</si>
  <si>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</si>
  <si>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</si>
  <si>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</si>
  <si>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</si>
  <si>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</si>
  <si>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</si>
  <si>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</si>
  <si>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</si>
  <si>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</si>
  <si>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</si>
  <si>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</si>
  <si>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</si>
  <si>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</si>
  <si>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</si>
  <si>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</si>
  <si>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</si>
  <si>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</si>
  <si>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</si>
  <si>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</si>
  <si>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</si>
  <si>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</si>
  <si>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</si>
  <si>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</si>
  <si>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</si>
  <si>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</si>
  <si>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</si>
  <si>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</si>
  <si>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</si>
  <si>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</si>
  <si>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</si>
  <si>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</si>
  <si>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</si>
  <si>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</si>
  <si>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</si>
  <si>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</si>
  <si>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</si>
  <si>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</si>
  <si>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</si>
  <si>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</si>
  <si>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</si>
  <si>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</si>
  <si>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</si>
  <si>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</si>
  <si>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</si>
  <si>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</si>
  <si>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</si>
  <si>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</si>
  <si>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</si>
  <si>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</si>
  <si>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</si>
  <si>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</si>
  <si>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</si>
  <si>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</si>
  <si>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</si>
  <si>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</si>
  <si>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</si>
  <si>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</si>
  <si>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</si>
  <si>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</si>
  <si>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</si>
  <si>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</si>
  <si>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</si>
  <si>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</si>
  <si>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</si>
  <si>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</si>
  <si>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</si>
  <si>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</si>
  <si>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</si>
  <si>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</si>
  <si>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</si>
  <si>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</si>
  <si>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</si>
  <si>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</si>
  <si>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</si>
  <si>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</si>
  <si>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</si>
  <si>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</si>
  <si>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</si>
  <si>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</si>
  <si>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</si>
  <si>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</si>
  <si>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</si>
  <si>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</si>
  <si>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</si>
  <si>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</si>
  <si>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</si>
  <si>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</si>
  <si>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</si>
  <si>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</si>
  <si>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</si>
  <si>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</si>
  <si>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</si>
  <si>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</si>
  <si>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</si>
  <si>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</si>
  <si>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</si>
  <si>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</si>
  <si>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</si>
  <si>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</si>
  <si>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</si>
  <si>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</si>
  <si>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</si>
  <si>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</si>
  <si>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</si>
  <si>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</si>
  <si>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</si>
  <si>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</si>
  <si>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</si>
  <si>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</si>
  <si>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</si>
  <si>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</si>
  <si>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</si>
  <si>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</si>
  <si>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</si>
  <si>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</si>
  <si>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</si>
  <si>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</si>
  <si>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</si>
  <si>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</si>
  <si>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</si>
  <si>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</si>
  <si>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</si>
  <si>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</si>
  <si>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</si>
  <si>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</si>
  <si>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</si>
  <si>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</si>
  <si>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</si>
  <si>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</si>
  <si>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</si>
  <si>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</si>
  <si>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</si>
  <si>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</si>
  <si>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</si>
  <si>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</si>
  <si>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</si>
  <si>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</si>
  <si>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</si>
  <si>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Prior Year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</si>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</sst>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8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11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1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5" fontId="3" fillId="0" borderId="0" xfId="3" applyNumberFormat="1" applyFont="1" applyAlignment="1"/>
    <xf numFmtId="164" fontId="3" fillId="0" borderId="0" xfId="1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0" fillId="0" borderId="0" xfId="1" applyNumberFormat="1" applyFont="1" applyAlignment="1"/>
    <xf numFmtId="0" fontId="0" fillId="0" borderId="0" xfId="0" applyNumberFormat="1" applyFont="1" applyAlignment="1">
      <alignment horizontal="left"/>
    </xf>
    <xf numFmtId="165" fontId="3" fillId="0" borderId="0" xfId="3" applyNumberFormat="1" applyFont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165" fontId="2" fillId="2" borderId="2" xfId="3" applyNumberFormat="1" applyFont="1" applyFill="1" applyBorder="1" applyAlignment="1"/>
    <xf numFmtId="0" fontId="2" fillId="0" borderId="0" xfId="0" applyNumberFormat="1" applyFo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66" fontId="2" fillId="2" borderId="3" xfId="2" applyNumberFormat="1" applyFont="1" applyFill="1" applyBorder="1" applyAlignment="1"/>
    <xf numFmtId="165" fontId="2" fillId="2" borderId="4" xfId="3" applyNumberFormat="1" applyFont="1" applyFill="1" applyBorder="1" applyAlignment="1"/>
    <xf numFmtId="165" fontId="2" fillId="2" borderId="1" xfId="3" applyNumberFormat="1" applyFont="1" applyFill="1" applyBorder="1" applyAlignment="1">
      <alignment horizontal="center"/>
    </xf>
    <xf numFmtId="165" fontId="2" fillId="0" borderId="0" xfId="3" applyNumberFormat="1" applyFont="1" applyAlignment="1"/>
    <xf numFmtId="49" fontId="2" fillId="0" borderId="0" xfId="0" applyNumberFormat="1" applyFont="1" applyAlignment="1">
      <alignment horizontal="center"/>
    </xf>
    <xf numFmtId="166" fontId="2" fillId="2" borderId="4" xfId="2" applyNumberFormat="1" applyFont="1" applyFill="1" applyBorder="1" applyAlignment="1"/>
    <xf numFmtId="165" fontId="2" fillId="2" borderId="3" xfId="3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165" fontId="0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165" fontId="0" fillId="0" borderId="0" xfId="3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49" fontId="2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0" fontId="4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horizontal="left"/>
    </xf>
    <xf numFmtId="0" fontId="5" fillId="0" borderId="0" xfId="0" applyNumberFormat="1" applyFont="1"/>
    <xf numFmtId="167" fontId="4" fillId="0" borderId="0" xfId="0" applyNumberFormat="1" applyFont="1" applyAlignment="1">
      <alignment horizontal="left"/>
    </xf>
    <xf numFmtId="168" fontId="0" fillId="0" borderId="0" xfId="0" applyNumberFormat="1" applyFont="1"/>
    <xf numFmtId="0" fontId="6" fillId="0" borderId="0" xfId="0" applyNumberFormat="1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EDDBD-BDE2-F81D-F375-2876E85789DB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5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CDD2E-0BFE-9A56-57D1-4D747C26235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AE607-DDF9-A1EF-B61F-D0658DEC4DED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537E-6569-B0CF-1CEC-E51140E14D0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C563-CC97-2AAD-3AF1-AF101FF7FA4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C3D2-E8B9-9F0C-FC74-1C969073501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CDDE5-3893-C57E-F068-D4118EC41EB2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D21B9-78C5-3D97-56D6-FFBF910CF9B8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2FAB3-C8A6-FD6C-B646-8A13ED3A7ED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F2F62-3CFC-148E-6791-022798F36A6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A244D-2404-A8E5-652A-2F2F030269F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304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D897-CDAB-F204-70DA-EEC630397BDF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5" customWidth="1"/>
    <col min="221" max="221" width="20.6640625" style="70" customWidth="1"/>
    <col min="222" max="223" width="20.6640625" style="65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1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3265A-BC03-94DF-5D83-DD44B43ADE2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305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7D12-BFEE-D6FC-33E2-934402FA014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305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1CBC3-25BF-EDFE-32FF-E184417CAC0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306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5D638-6DB9-8389-125E-F966E25FBF0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306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0D255-4BCD-880B-BA2E-E6127BD3F69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307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03743-3782-75E1-98A8-1BFFBFDD759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307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E5D97-C48E-5E97-6A49-265BFA9F43B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AE53B-3CDE-BCA1-ECAE-101D59A27A3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03A1-9534-9193-792D-A6C7F55B7805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6A099-AD1D-8F4D-577F-BE3CBC5D2DAD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992AA-B8FC-C931-FAF8-65ABC65EA477}">
  <sheetPr>
    <tabColor rgb="FF00B0F0"/>
    <outlinePr summaryBelow="0" summaryRight="0"/>
  </sheetPr>
  <dimension ref="A2:Z285"/>
  <sheetViews>
    <sheetView showGridLines="0" tabSelected="1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278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3345135.4600000004</v>
      </c>
      <c r="E12" s="5"/>
      <c r="F12" s="13"/>
      <c r="G12" s="5"/>
      <c r="H12" s="5">
        <f>SUM(OSRRefH13x_0)</f>
        <v>1038672.75</v>
      </c>
      <c r="I12" s="5"/>
      <c r="J12" s="13"/>
      <c r="K12" s="5"/>
      <c r="L12" s="5">
        <f t="shared" ref="L12:L43" si="0">+D12-H12</f>
        <v>2306462.7100000004</v>
      </c>
      <c r="M12" s="5"/>
      <c r="N12" s="13">
        <f t="shared" ref="N12:N43" si="1">IF(H12=0,0,L12/H12)</f>
        <v>2.2205865225596804</v>
      </c>
      <c r="O12" s="11"/>
      <c r="P12" s="5">
        <f>SUM(OSRRefP13x_0)</f>
        <v>21859777.779999997</v>
      </c>
      <c r="Q12" s="5"/>
      <c r="R12" s="13"/>
      <c r="S12" s="5"/>
      <c r="T12" s="5">
        <f>SUM(OSRRefT13x_0)</f>
        <v>9003825.4500000011</v>
      </c>
      <c r="U12" s="5"/>
      <c r="V12" s="13"/>
      <c r="W12" s="5"/>
      <c r="X12" s="5">
        <f t="shared" ref="X12:X43" si="2">+P12-T12</f>
        <v>12855952.329999996</v>
      </c>
      <c r="Y12" s="5"/>
      <c r="Z12" s="13">
        <f t="shared" ref="Z12:Z43" si="3">IF(T12=0,0,X12/T12)</f>
        <v>1.4278322476809004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--1263526.81</f>
        <v>1263526.81</v>
      </c>
      <c r="E13" s="3"/>
      <c r="F13" s="20"/>
      <c r="G13" s="3"/>
      <c r="H13" s="3">
        <f>-13346.89</f>
        <v>-13346.89</v>
      </c>
      <c r="I13" s="3"/>
      <c r="J13" s="20"/>
      <c r="K13" s="3"/>
      <c r="L13" s="3">
        <f t="shared" si="0"/>
        <v>1276873.7</v>
      </c>
      <c r="M13" s="3"/>
      <c r="N13" s="20">
        <f t="shared" si="1"/>
        <v>-95.6682567998987</v>
      </c>
      <c r="O13" s="12"/>
      <c r="P13" s="3">
        <f>--7731848.75</f>
        <v>7731848.75</v>
      </c>
      <c r="Q13" s="3"/>
      <c r="R13" s="20"/>
      <c r="S13" s="3"/>
      <c r="T13" s="3">
        <f>-136003.3</f>
        <v>-136003.29999999999</v>
      </c>
      <c r="U13" s="3"/>
      <c r="V13" s="20"/>
      <c r="W13" s="3"/>
      <c r="X13" s="3">
        <f t="shared" si="2"/>
        <v>7867852.0499999998</v>
      </c>
      <c r="Y13" s="3"/>
      <c r="Z13" s="20">
        <f t="shared" si="3"/>
        <v>-57.850449584679197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--31347.12</f>
        <v>31347.119999999999</v>
      </c>
      <c r="I14" s="3"/>
      <c r="J14" s="20"/>
      <c r="K14" s="3"/>
      <c r="L14" s="3">
        <f t="shared" si="0"/>
        <v>-31347.119999999999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--1263810.36</f>
        <v>1263810.3600000001</v>
      </c>
      <c r="U14" s="3"/>
      <c r="V14" s="20"/>
      <c r="W14" s="3"/>
      <c r="X14" s="3">
        <f t="shared" si="2"/>
        <v>-1263810.3600000001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--1971.3</f>
        <v>1971.3</v>
      </c>
      <c r="I15" s="3"/>
      <c r="J15" s="20"/>
      <c r="K15" s="3"/>
      <c r="L15" s="3">
        <f t="shared" si="0"/>
        <v>-1971.3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--578768.63</f>
        <v>578768.63</v>
      </c>
      <c r="U15" s="3"/>
      <c r="V15" s="20"/>
      <c r="W15" s="3"/>
      <c r="X15" s="3">
        <f t="shared" si="2"/>
        <v>-578768.63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--21.42</f>
        <v>21.42</v>
      </c>
      <c r="I21" s="3"/>
      <c r="J21" s="20"/>
      <c r="K21" s="3"/>
      <c r="L21" s="3">
        <f t="shared" si="0"/>
        <v>-21.42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--486.17</f>
        <v>486.17</v>
      </c>
      <c r="U21" s="3"/>
      <c r="V21" s="20"/>
      <c r="W21" s="3"/>
      <c r="X21" s="3">
        <f t="shared" si="2"/>
        <v>-486.17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--6558.65</f>
        <v>6558.65</v>
      </c>
      <c r="I22" s="3"/>
      <c r="J22" s="20"/>
      <c r="K22" s="3"/>
      <c r="L22" s="3">
        <f t="shared" si="0"/>
        <v>-6558.65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--64070.97</f>
        <v>64070.97</v>
      </c>
      <c r="U22" s="3"/>
      <c r="V22" s="20"/>
      <c r="W22" s="3"/>
      <c r="X22" s="3">
        <f t="shared" si="2"/>
        <v>-64070.97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--2650.79</f>
        <v>2650.79</v>
      </c>
      <c r="I23" s="3"/>
      <c r="J23" s="20"/>
      <c r="K23" s="3"/>
      <c r="L23" s="3">
        <f t="shared" si="0"/>
        <v>-2650.79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--46900.17</f>
        <v>46900.17</v>
      </c>
      <c r="U23" s="3"/>
      <c r="V23" s="20"/>
      <c r="W23" s="3"/>
      <c r="X23" s="3">
        <f t="shared" si="2"/>
        <v>-46900.17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--595.72</f>
        <v>595.72</v>
      </c>
      <c r="I24" s="3"/>
      <c r="J24" s="20"/>
      <c r="K24" s="3"/>
      <c r="L24" s="3">
        <f t="shared" si="0"/>
        <v>-595.72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--4210.59</f>
        <v>4210.59</v>
      </c>
      <c r="U24" s="3"/>
      <c r="V24" s="20"/>
      <c r="W24" s="3"/>
      <c r="X24" s="3">
        <f t="shared" si="2"/>
        <v>-4210.59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--159179.58</f>
        <v>159179.57999999999</v>
      </c>
      <c r="I27" s="3"/>
      <c r="J27" s="20"/>
      <c r="K27" s="3"/>
      <c r="L27" s="3">
        <f t="shared" si="0"/>
        <v>-159179.57999999999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--913180.73</f>
        <v>913180.73</v>
      </c>
      <c r="U27" s="3"/>
      <c r="V27" s="20"/>
      <c r="W27" s="3"/>
      <c r="X27" s="3">
        <f t="shared" si="2"/>
        <v>-913180.73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--116440.2</f>
        <v>116440.2</v>
      </c>
      <c r="I28" s="3"/>
      <c r="J28" s="20"/>
      <c r="K28" s="3"/>
      <c r="L28" s="3">
        <f t="shared" si="0"/>
        <v>-116440.2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--440456.98</f>
        <v>440456.98</v>
      </c>
      <c r="U28" s="3"/>
      <c r="V28" s="20"/>
      <c r="W28" s="3"/>
      <c r="X28" s="3">
        <f t="shared" si="2"/>
        <v>-440456.98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--10630.32</f>
        <v>10630.32</v>
      </c>
      <c r="I29" s="3"/>
      <c r="J29" s="20"/>
      <c r="K29" s="3"/>
      <c r="L29" s="3">
        <f t="shared" si="0"/>
        <v>-10630.32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--100678.52</f>
        <v>100678.52</v>
      </c>
      <c r="U29" s="3"/>
      <c r="V29" s="20"/>
      <c r="W29" s="3"/>
      <c r="X29" s="3">
        <f t="shared" si="2"/>
        <v>-100678.52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--4423.21</f>
        <v>4423.21</v>
      </c>
      <c r="I30" s="3"/>
      <c r="J30" s="20"/>
      <c r="K30" s="3"/>
      <c r="L30" s="3">
        <f t="shared" si="0"/>
        <v>-4423.21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--136859.38</f>
        <v>136859.38</v>
      </c>
      <c r="U30" s="3"/>
      <c r="V30" s="20"/>
      <c r="W30" s="3"/>
      <c r="X30" s="3">
        <f t="shared" si="2"/>
        <v>-136859.38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--4745.38</f>
        <v>4745.38</v>
      </c>
      <c r="I31" s="3"/>
      <c r="J31" s="20"/>
      <c r="K31" s="3"/>
      <c r="L31" s="3">
        <f t="shared" si="0"/>
        <v>-4745.38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--36092.23</f>
        <v>36092.230000000003</v>
      </c>
      <c r="U31" s="3"/>
      <c r="V31" s="20"/>
      <c r="W31" s="3"/>
      <c r="X31" s="3">
        <f t="shared" si="2"/>
        <v>-36092.230000000003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--63044.9</f>
        <v>63044.9</v>
      </c>
      <c r="I32" s="3"/>
      <c r="J32" s="20"/>
      <c r="K32" s="3"/>
      <c r="L32" s="3">
        <f t="shared" si="0"/>
        <v>-63044.9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--207242.34</f>
        <v>207242.34</v>
      </c>
      <c r="U32" s="3"/>
      <c r="V32" s="20"/>
      <c r="W32" s="3"/>
      <c r="X32" s="3">
        <f t="shared" si="2"/>
        <v>-207242.34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--55113.37</f>
        <v>55113.37</v>
      </c>
      <c r="E33" s="3"/>
      <c r="F33" s="20"/>
      <c r="G33" s="3"/>
      <c r="H33" s="3">
        <f>--6552.2</f>
        <v>6552.2</v>
      </c>
      <c r="I33" s="3"/>
      <c r="J33" s="20"/>
      <c r="K33" s="3"/>
      <c r="L33" s="3">
        <f t="shared" si="0"/>
        <v>48561.170000000006</v>
      </c>
      <c r="M33" s="3"/>
      <c r="N33" s="20">
        <f t="shared" si="1"/>
        <v>7.4114297487866683</v>
      </c>
      <c r="O33" s="12"/>
      <c r="P33" s="3">
        <f>--318933.42</f>
        <v>318933.42</v>
      </c>
      <c r="Q33" s="3"/>
      <c r="R33" s="20"/>
      <c r="S33" s="3"/>
      <c r="T33" s="3">
        <f>--32121.26</f>
        <v>32121.26</v>
      </c>
      <c r="U33" s="3"/>
      <c r="V33" s="20"/>
      <c r="W33" s="3"/>
      <c r="X33" s="3">
        <f t="shared" si="2"/>
        <v>286812.15999999997</v>
      </c>
      <c r="Y33" s="3"/>
      <c r="Z33" s="20">
        <f t="shared" si="3"/>
        <v>8.9290445019902709</v>
      </c>
    </row>
    <row r="34" spans="1:26" s="69" customFormat="1" ht="15" hidden="1" customHeight="1" outlineLevel="1" x14ac:dyDescent="0.3">
      <c r="A34" s="42"/>
      <c r="B34" s="12" t="str">
        <f>CONCATENATE("          ","4052"," - ","TAXABLE SALES-FOOD")</f>
        <v xml:space="preserve">          4052 - TAXABLE SALES-FOOD</v>
      </c>
      <c r="C34" s="12"/>
      <c r="D34" s="3">
        <f>0</f>
        <v>0</v>
      </c>
      <c r="E34" s="3"/>
      <c r="F34" s="20"/>
      <c r="G34" s="3"/>
      <c r="H34" s="3">
        <f>--48734.68</f>
        <v>48734.68</v>
      </c>
      <c r="I34" s="3"/>
      <c r="J34" s="20"/>
      <c r="K34" s="3"/>
      <c r="L34" s="3">
        <f t="shared" si="0"/>
        <v>-48734.68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--380674.79</f>
        <v>380674.79</v>
      </c>
      <c r="U34" s="3"/>
      <c r="V34" s="20"/>
      <c r="W34" s="3"/>
      <c r="X34" s="3">
        <f t="shared" si="2"/>
        <v>-380674.79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","4053"," - ","TAXABLE SALES-FOOD")</f>
        <v xml:space="preserve">          4053 - TAXABLE SALES-FOOD</v>
      </c>
      <c r="C35" s="12"/>
      <c r="D35" s="3">
        <f>--8523.96</f>
        <v>8523.9599999999991</v>
      </c>
      <c r="E35" s="3"/>
      <c r="F35" s="20"/>
      <c r="G35" s="3"/>
      <c r="H35" s="3">
        <f>--161.18</f>
        <v>161.18</v>
      </c>
      <c r="I35" s="3"/>
      <c r="J35" s="20"/>
      <c r="K35" s="3"/>
      <c r="L35" s="3">
        <f t="shared" si="0"/>
        <v>8362.7799999999988</v>
      </c>
      <c r="M35" s="3"/>
      <c r="N35" s="20">
        <f t="shared" si="1"/>
        <v>51.884725152003959</v>
      </c>
      <c r="O35" s="12"/>
      <c r="P35" s="3">
        <f>--30124.26</f>
        <v>30124.26</v>
      </c>
      <c r="Q35" s="3"/>
      <c r="R35" s="20"/>
      <c r="S35" s="3"/>
      <c r="T35" s="3">
        <f>--1084.9</f>
        <v>1084.9000000000001</v>
      </c>
      <c r="U35" s="3"/>
      <c r="V35" s="20"/>
      <c r="W35" s="3"/>
      <c r="X35" s="3">
        <f t="shared" si="2"/>
        <v>29039.359999999997</v>
      </c>
      <c r="Y35" s="3"/>
      <c r="Z35" s="20">
        <f t="shared" si="3"/>
        <v>26.766854087934366</v>
      </c>
    </row>
    <row r="36" spans="1:26" s="69" customFormat="1" ht="15" hidden="1" customHeight="1" outlineLevel="1" x14ac:dyDescent="0.3">
      <c r="A36" s="42"/>
      <c r="B36" s="12" t="str">
        <f>CONCATENATE("          ","4055"," - ","TAXABLE SALES-FOOD")</f>
        <v xml:space="preserve">          4055 - TAXABLE SALES-FOOD</v>
      </c>
      <c r="C36" s="12"/>
      <c r="D36" s="3">
        <f>--1014.83</f>
        <v>1014.83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1014.83</v>
      </c>
      <c r="M36" s="3"/>
      <c r="N36" s="20">
        <f t="shared" si="1"/>
        <v>0</v>
      </c>
      <c r="O36" s="12"/>
      <c r="P36" s="3">
        <f>--1556.1</f>
        <v>1556.1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1556.1</v>
      </c>
      <c r="Y36" s="3"/>
      <c r="Z36" s="20">
        <f t="shared" si="3"/>
        <v>0</v>
      </c>
    </row>
    <row r="37" spans="1:26" s="69" customFormat="1" ht="15" hidden="1" customHeight="1" outlineLevel="1" x14ac:dyDescent="0.3">
      <c r="A37" s="42"/>
      <c r="B37" s="12" t="str">
        <f>CONCATENATE("          ","4058"," - ","TAXABLE SALES-FOOD")</f>
        <v xml:space="preserve">          4058 - TAXABLE SALES-FOOD</v>
      </c>
      <c r="C37" s="12"/>
      <c r="D37" s="3">
        <f>0</f>
        <v>0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0</v>
      </c>
      <c r="M37" s="3"/>
      <c r="N37" s="20">
        <f t="shared" si="1"/>
        <v>0</v>
      </c>
      <c r="O37" s="12"/>
      <c r="P37" s="3">
        <f>0</f>
        <v>0</v>
      </c>
      <c r="Q37" s="3"/>
      <c r="R37" s="20"/>
      <c r="S37" s="3"/>
      <c r="T37" s="3">
        <f>--974.91</f>
        <v>974.91</v>
      </c>
      <c r="U37" s="3"/>
      <c r="V37" s="20"/>
      <c r="W37" s="3"/>
      <c r="X37" s="3">
        <f t="shared" si="2"/>
        <v>-974.91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","4081"," - ","TAXABLE SALES-ELECTRONICS")</f>
        <v xml:space="preserve">          4081 - TAXABLE SALES-ELECTRONICS</v>
      </c>
      <c r="C38" s="12"/>
      <c r="D38" s="3">
        <f>0</f>
        <v>0</v>
      </c>
      <c r="E38" s="3"/>
      <c r="F38" s="20"/>
      <c r="G38" s="3"/>
      <c r="H38" s="3">
        <f>--1628.82</f>
        <v>1628.82</v>
      </c>
      <c r="I38" s="3"/>
      <c r="J38" s="20"/>
      <c r="K38" s="3"/>
      <c r="L38" s="3">
        <f t="shared" si="0"/>
        <v>-1628.82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--62168.02</f>
        <v>62168.02</v>
      </c>
      <c r="U38" s="3"/>
      <c r="V38" s="20"/>
      <c r="W38" s="3"/>
      <c r="X38" s="3">
        <f t="shared" si="2"/>
        <v>-62168.02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","4082"," - ","TAXABLE SALES-COMPUTER HARDWAR")</f>
        <v xml:space="preserve">          4082 - TAXABLE SALES-COMPUTER HARDWAR</v>
      </c>
      <c r="C39" s="12"/>
      <c r="D39" s="3">
        <f>0</f>
        <v>0</v>
      </c>
      <c r="E39" s="3"/>
      <c r="F39" s="20"/>
      <c r="G39" s="3"/>
      <c r="H39" s="3">
        <f>--354181.27</f>
        <v>354181.27</v>
      </c>
      <c r="I39" s="3"/>
      <c r="J39" s="20"/>
      <c r="K39" s="3"/>
      <c r="L39" s="3">
        <f t="shared" si="0"/>
        <v>-354181.27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--2012047.63</f>
        <v>2012047.63</v>
      </c>
      <c r="U39" s="3"/>
      <c r="V39" s="20"/>
      <c r="W39" s="3"/>
      <c r="X39" s="3">
        <f t="shared" si="2"/>
        <v>-2012047.63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","4083"," - ","TAXABLE SALES-COMPUTER EQUIPME")</f>
        <v xml:space="preserve">          4083 - TAXABLE SALES-COMPUTER EQUIPME</v>
      </c>
      <c r="C40" s="12"/>
      <c r="D40" s="3">
        <f>0</f>
        <v>0</v>
      </c>
      <c r="E40" s="3"/>
      <c r="F40" s="20"/>
      <c r="G40" s="3"/>
      <c r="H40" s="3">
        <f>--7273.67</f>
        <v>7273.67</v>
      </c>
      <c r="I40" s="3"/>
      <c r="J40" s="20"/>
      <c r="K40" s="3"/>
      <c r="L40" s="3">
        <f t="shared" si="0"/>
        <v>-7273.67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--126942.93</f>
        <v>126942.93</v>
      </c>
      <c r="U40" s="3"/>
      <c r="V40" s="20"/>
      <c r="W40" s="3"/>
      <c r="X40" s="3">
        <f t="shared" si="2"/>
        <v>-126942.93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","4085"," - ","TAXABLE SALES-SOFTWARE")</f>
        <v xml:space="preserve">          4085 - TAXABLE SALES-SOFTWARE</v>
      </c>
      <c r="C41" s="12"/>
      <c r="D41" s="3">
        <f>0</f>
        <v>0</v>
      </c>
      <c r="E41" s="3"/>
      <c r="F41" s="20"/>
      <c r="G41" s="3"/>
      <c r="H41" s="3">
        <f>--1771.88</f>
        <v>1771.88</v>
      </c>
      <c r="I41" s="3"/>
      <c r="J41" s="20"/>
      <c r="K41" s="3"/>
      <c r="L41" s="3">
        <f t="shared" si="0"/>
        <v>-1771.88</v>
      </c>
      <c r="M41" s="3"/>
      <c r="N41" s="20">
        <f t="shared" si="1"/>
        <v>-1</v>
      </c>
      <c r="O41" s="12"/>
      <c r="P41" s="3">
        <f>0</f>
        <v>0</v>
      </c>
      <c r="Q41" s="3"/>
      <c r="R41" s="20"/>
      <c r="S41" s="3"/>
      <c r="T41" s="3">
        <f>--4870.79</f>
        <v>4870.79</v>
      </c>
      <c r="U41" s="3"/>
      <c r="V41" s="20"/>
      <c r="W41" s="3"/>
      <c r="X41" s="3">
        <f t="shared" si="2"/>
        <v>-4870.79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","4086"," - ","TAXABLE SALES-COMPUTER SUPPLIE")</f>
        <v xml:space="preserve">          4086 - TAXABLE SALES-COMPUTER SUPPLIE</v>
      </c>
      <c r="C42" s="12"/>
      <c r="D42" s="3">
        <f>0</f>
        <v>0</v>
      </c>
      <c r="E42" s="3"/>
      <c r="F42" s="20"/>
      <c r="G42" s="3"/>
      <c r="H42" s="3">
        <f>--5818.73</f>
        <v>5818.73</v>
      </c>
      <c r="I42" s="3"/>
      <c r="J42" s="20"/>
      <c r="K42" s="3"/>
      <c r="L42" s="3">
        <f t="shared" si="0"/>
        <v>-5818.73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--65269.63</f>
        <v>65269.63</v>
      </c>
      <c r="U42" s="3"/>
      <c r="V42" s="20"/>
      <c r="W42" s="3"/>
      <c r="X42" s="3">
        <f t="shared" si="2"/>
        <v>-65269.63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","4095"," - ","TAXABLE SALES-CUSTOMER SERVICE")</f>
        <v xml:space="preserve">          4095 - TAXABLE SALES-CUSTOMER SERVICE</v>
      </c>
      <c r="C43" s="12"/>
      <c r="D43" s="3">
        <f>0</f>
        <v>0</v>
      </c>
      <c r="E43" s="3"/>
      <c r="F43" s="20"/>
      <c r="G43" s="3"/>
      <c r="H43" s="3">
        <f>--2119.46</f>
        <v>2119.46</v>
      </c>
      <c r="I43" s="3"/>
      <c r="J43" s="20"/>
      <c r="K43" s="3"/>
      <c r="L43" s="3">
        <f t="shared" si="0"/>
        <v>-2119.46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--3034.59</f>
        <v>3034.59</v>
      </c>
      <c r="U43" s="3"/>
      <c r="V43" s="20"/>
      <c r="W43" s="3"/>
      <c r="X43" s="3">
        <f t="shared" si="2"/>
        <v>-3034.59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","4100"," - ","NON-TAXABLE SALES")</f>
        <v xml:space="preserve">          4100 - NON-TAXABLE SALES</v>
      </c>
      <c r="C44" s="12"/>
      <c r="D44" s="3">
        <f>--324841.85</f>
        <v>324841.84999999998</v>
      </c>
      <c r="E44" s="3"/>
      <c r="F44" s="20"/>
      <c r="G44" s="3"/>
      <c r="H44" s="3">
        <f>--21288.67</f>
        <v>21288.67</v>
      </c>
      <c r="I44" s="3"/>
      <c r="J44" s="20"/>
      <c r="K44" s="3"/>
      <c r="L44" s="3">
        <f t="shared" ref="L44:L75" si="4">+D44-H44</f>
        <v>303553.18</v>
      </c>
      <c r="M44" s="3"/>
      <c r="N44" s="20">
        <f t="shared" ref="N44:N75" si="5">IF(H44=0,0,L44/H44)</f>
        <v>14.258907672484943</v>
      </c>
      <c r="O44" s="12"/>
      <c r="P44" s="3">
        <f>--2632672.46</f>
        <v>2632672.46</v>
      </c>
      <c r="Q44" s="3"/>
      <c r="R44" s="20"/>
      <c r="S44" s="3"/>
      <c r="T44" s="3">
        <f>--751391.77</f>
        <v>751391.77</v>
      </c>
      <c r="U44" s="3"/>
      <c r="V44" s="20"/>
      <c r="W44" s="3"/>
      <c r="X44" s="3">
        <f t="shared" ref="X44:X75" si="6">+P44-T44</f>
        <v>1881280.69</v>
      </c>
      <c r="Y44" s="3"/>
      <c r="Z44" s="20">
        <f t="shared" ref="Z44:Z75" si="7">IF(T44=0,0,X44/T44)</f>
        <v>2.5037281017863688</v>
      </c>
    </row>
    <row r="45" spans="1:26" s="69" customFormat="1" ht="15" hidden="1" customHeight="1" outlineLevel="1" x14ac:dyDescent="0.3">
      <c r="A45" s="42"/>
      <c r="B45" s="12" t="str">
        <f>CONCATENATE("          ","4101"," - ","NON-TAXABLE SALES-NEW TEXT")</f>
        <v xml:space="preserve">          4101 - NON-TAXABLE SALES-NEW TEXT</v>
      </c>
      <c r="C45" s="12"/>
      <c r="D45" s="3">
        <f>0</f>
        <v>0</v>
      </c>
      <c r="E45" s="3"/>
      <c r="F45" s="20"/>
      <c r="G45" s="3"/>
      <c r="H45" s="3">
        <f>--741.03</f>
        <v>741.03</v>
      </c>
      <c r="I45" s="3"/>
      <c r="J45" s="20"/>
      <c r="K45" s="3"/>
      <c r="L45" s="3">
        <f t="shared" si="4"/>
        <v>-741.03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--112796.74</f>
        <v>112796.74</v>
      </c>
      <c r="U45" s="3"/>
      <c r="V45" s="20"/>
      <c r="W45" s="3"/>
      <c r="X45" s="3">
        <f t="shared" si="6"/>
        <v>-112796.74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","4102"," - ","NON-TAXABLE SALES-USED TEXT")</f>
        <v xml:space="preserve">          4102 - NON-TAXABLE SALES-USED TEXT</v>
      </c>
      <c r="C46" s="12"/>
      <c r="D46" s="3">
        <f>0</f>
        <v>0</v>
      </c>
      <c r="E46" s="3"/>
      <c r="F46" s="20"/>
      <c r="G46" s="3"/>
      <c r="H46" s="3">
        <f>--743.99</f>
        <v>743.99</v>
      </c>
      <c r="I46" s="3"/>
      <c r="J46" s="20"/>
      <c r="K46" s="3"/>
      <c r="L46" s="3">
        <f t="shared" si="4"/>
        <v>-743.99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--48703.42</f>
        <v>48703.42</v>
      </c>
      <c r="U46" s="3"/>
      <c r="V46" s="20"/>
      <c r="W46" s="3"/>
      <c r="X46" s="3">
        <f t="shared" si="6"/>
        <v>-48703.42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","4103"," - ","NON-TAXABLE SALES-RENTAL TEXT")</f>
        <v xml:space="preserve">          4103 - NON-TAXABLE SALES-RENTAL TEXT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--1138.95</f>
        <v>1138.95</v>
      </c>
      <c r="U47" s="3"/>
      <c r="V47" s="20"/>
      <c r="W47" s="3"/>
      <c r="X47" s="3">
        <f t="shared" si="6"/>
        <v>-1138.95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","4104"," - ","NON-TAXABLE SALES-DIGITAL TEXT")</f>
        <v xml:space="preserve">          4104 - NON-TAXABLE SALES-DIGITAL TEXT</v>
      </c>
      <c r="C48" s="12"/>
      <c r="D48" s="3">
        <f>0</f>
        <v>0</v>
      </c>
      <c r="E48" s="3"/>
      <c r="F48" s="20"/>
      <c r="G48" s="3"/>
      <c r="H48" s="3">
        <f>--3431.99</f>
        <v>3431.99</v>
      </c>
      <c r="I48" s="3"/>
      <c r="J48" s="20"/>
      <c r="K48" s="3"/>
      <c r="L48" s="3">
        <f t="shared" si="4"/>
        <v>-3431.99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--480403.17</f>
        <v>480403.17</v>
      </c>
      <c r="U48" s="3"/>
      <c r="V48" s="20"/>
      <c r="W48" s="3"/>
      <c r="X48" s="3">
        <f t="shared" si="6"/>
        <v>-480403.17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","4113"," - ","NON-TAXABLE SALES-TRADE BOOKS")</f>
        <v xml:space="preserve">          4113 - NON-TAXABLE SALES-TRADE BOOKS</v>
      </c>
      <c r="C49" s="12"/>
      <c r="D49" s="3">
        <f>0</f>
        <v>0</v>
      </c>
      <c r="E49" s="3"/>
      <c r="F49" s="20"/>
      <c r="G49" s="3"/>
      <c r="H49" s="3">
        <f>--738</f>
        <v>738</v>
      </c>
      <c r="I49" s="3"/>
      <c r="J49" s="20"/>
      <c r="K49" s="3"/>
      <c r="L49" s="3">
        <f t="shared" si="4"/>
        <v>-738</v>
      </c>
      <c r="M49" s="3"/>
      <c r="N49" s="20">
        <f t="shared" si="5"/>
        <v>-1</v>
      </c>
      <c r="O49" s="12"/>
      <c r="P49" s="3">
        <f>0</f>
        <v>0</v>
      </c>
      <c r="Q49" s="3"/>
      <c r="R49" s="20"/>
      <c r="S49" s="3"/>
      <c r="T49" s="3">
        <f>--12127.25</f>
        <v>12127.25</v>
      </c>
      <c r="U49" s="3"/>
      <c r="V49" s="20"/>
      <c r="W49" s="3"/>
      <c r="X49" s="3">
        <f t="shared" si="6"/>
        <v>-12127.25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","4118"," - ","NON-TAXABLE SALES-STUDY GUIDES")</f>
        <v xml:space="preserve">          4118 - NON-TAXABLE SALES-STUDY GUIDES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--771.73</f>
        <v>771.73</v>
      </c>
      <c r="U50" s="3"/>
      <c r="V50" s="20"/>
      <c r="W50" s="3"/>
      <c r="X50" s="3">
        <f t="shared" si="6"/>
        <v>-771.73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","4126"," - ","NON-TAXABLE SALES-WRITING INST")</f>
        <v xml:space="preserve">          4126 - NON-TAXABLE SALES-WRITING INST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--52.68</f>
        <v>52.68</v>
      </c>
      <c r="U51" s="3"/>
      <c r="V51" s="20"/>
      <c r="W51" s="3"/>
      <c r="X51" s="3">
        <f t="shared" si="6"/>
        <v>-52.68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","4127"," - ","NON-TAXABLE SALES-SCHOOL SUPPL")</f>
        <v xml:space="preserve">          4127 - NON-TAXABLE SALES-SCHOOL SUPPL</v>
      </c>
      <c r="C52" s="12"/>
      <c r="D52" s="3">
        <f>0</f>
        <v>0</v>
      </c>
      <c r="E52" s="3"/>
      <c r="F52" s="20"/>
      <c r="G52" s="3"/>
      <c r="H52" s="3">
        <f>--493.37</f>
        <v>493.37</v>
      </c>
      <c r="I52" s="3"/>
      <c r="J52" s="20"/>
      <c r="K52" s="3"/>
      <c r="L52" s="3">
        <f t="shared" si="4"/>
        <v>-493.37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--7100.68</f>
        <v>7100.68</v>
      </c>
      <c r="U52" s="3"/>
      <c r="V52" s="20"/>
      <c r="W52" s="3"/>
      <c r="X52" s="3">
        <f t="shared" si="6"/>
        <v>-7100.68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","4128"," - ","NON-TAXABLE SALES-ART/TECH")</f>
        <v xml:space="preserve">          4128 - NON-TAXABLE SALES-ART/TECH</v>
      </c>
      <c r="C53" s="12"/>
      <c r="D53" s="3">
        <f>0</f>
        <v>0</v>
      </c>
      <c r="E53" s="3"/>
      <c r="F53" s="20"/>
      <c r="G53" s="3"/>
      <c r="H53" s="3">
        <f>--31.37</f>
        <v>31.37</v>
      </c>
      <c r="I53" s="3"/>
      <c r="J53" s="20"/>
      <c r="K53" s="3"/>
      <c r="L53" s="3">
        <f t="shared" si="4"/>
        <v>-31.37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--69.95</f>
        <v>69.95</v>
      </c>
      <c r="U53" s="3"/>
      <c r="V53" s="20"/>
      <c r="W53" s="3"/>
      <c r="X53" s="3">
        <f t="shared" si="6"/>
        <v>-69.95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","4131"," - ","NON-TAXABLE SALES-FOOD")</f>
        <v xml:space="preserve">          4131 - NON-TAXABLE SALES-FOOD</v>
      </c>
      <c r="C54" s="12"/>
      <c r="D54" s="3">
        <f>0</f>
        <v>0</v>
      </c>
      <c r="E54" s="3"/>
      <c r="F54" s="20"/>
      <c r="G54" s="3"/>
      <c r="H54" s="3">
        <f>--975.93</f>
        <v>975.93</v>
      </c>
      <c r="I54" s="3"/>
      <c r="J54" s="20"/>
      <c r="K54" s="3"/>
      <c r="L54" s="3">
        <f t="shared" si="4"/>
        <v>-975.93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--11380.36</f>
        <v>11380.36</v>
      </c>
      <c r="U54" s="3"/>
      <c r="V54" s="20"/>
      <c r="W54" s="3"/>
      <c r="X54" s="3">
        <f t="shared" si="6"/>
        <v>-11380.36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","4132"," - ","NON-TAXABLE SALES-JUICE")</f>
        <v xml:space="preserve">          4132 - NON-TAXABLE SALES-JUICE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4"/>
        <v>0</v>
      </c>
      <c r="M55" s="3"/>
      <c r="N55" s="20">
        <f t="shared" si="5"/>
        <v>0</v>
      </c>
      <c r="O55" s="12"/>
      <c r="P55" s="3">
        <f>0</f>
        <v>0</v>
      </c>
      <c r="Q55" s="3"/>
      <c r="R55" s="20"/>
      <c r="S55" s="3"/>
      <c r="T55" s="3">
        <f>--2054.37</f>
        <v>2054.37</v>
      </c>
      <c r="U55" s="3"/>
      <c r="V55" s="20"/>
      <c r="W55" s="3"/>
      <c r="X55" s="3">
        <f t="shared" si="6"/>
        <v>-2054.37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","4133"," - ","NON-TAXABLE SALES-CANDY")</f>
        <v xml:space="preserve">          4133 - NON-TAXABLE SALES-CANDY</v>
      </c>
      <c r="C56" s="12"/>
      <c r="D56" s="3">
        <f>0</f>
        <v>0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4"/>
        <v>0</v>
      </c>
      <c r="M56" s="3"/>
      <c r="N56" s="20">
        <f t="shared" si="5"/>
        <v>0</v>
      </c>
      <c r="O56" s="12"/>
      <c r="P56" s="3">
        <f>0</f>
        <v>0</v>
      </c>
      <c r="Q56" s="3"/>
      <c r="R56" s="20"/>
      <c r="S56" s="3"/>
      <c r="T56" s="3">
        <f>--80.71</f>
        <v>80.709999999999994</v>
      </c>
      <c r="U56" s="3"/>
      <c r="V56" s="20"/>
      <c r="W56" s="3"/>
      <c r="X56" s="3">
        <f t="shared" si="6"/>
        <v>-80.709999999999994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","4134"," - ","NON-TAXABLE SALES-SODA")</f>
        <v xml:space="preserve">          4134 - NON-TAXABLE SALES-SODA</v>
      </c>
      <c r="C57" s="12"/>
      <c r="D57" s="3">
        <f>0</f>
        <v>0</v>
      </c>
      <c r="E57" s="3"/>
      <c r="F57" s="20"/>
      <c r="G57" s="3"/>
      <c r="H57" s="3">
        <f>0</f>
        <v>0</v>
      </c>
      <c r="I57" s="3"/>
      <c r="J57" s="20"/>
      <c r="K57" s="3"/>
      <c r="L57" s="3">
        <f t="shared" si="4"/>
        <v>0</v>
      </c>
      <c r="M57" s="3"/>
      <c r="N57" s="20">
        <f t="shared" si="5"/>
        <v>0</v>
      </c>
      <c r="O57" s="12"/>
      <c r="P57" s="3">
        <f>0</f>
        <v>0</v>
      </c>
      <c r="Q57" s="3"/>
      <c r="R57" s="20"/>
      <c r="S57" s="3"/>
      <c r="T57" s="3">
        <f>--45.53</f>
        <v>45.53</v>
      </c>
      <c r="U57" s="3"/>
      <c r="V57" s="20"/>
      <c r="W57" s="3"/>
      <c r="X57" s="3">
        <f t="shared" si="6"/>
        <v>-45.53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","4137"," - ","NON-TAXABLE SALES-WATER")</f>
        <v xml:space="preserve">          4137 - NON-TAXABLE SALES-WATER</v>
      </c>
      <c r="C58" s="12"/>
      <c r="D58" s="3">
        <f>0</f>
        <v>0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0</v>
      </c>
      <c r="M58" s="3"/>
      <c r="N58" s="20">
        <f t="shared" si="5"/>
        <v>0</v>
      </c>
      <c r="O58" s="12"/>
      <c r="P58" s="3">
        <f>0</f>
        <v>0</v>
      </c>
      <c r="Q58" s="3"/>
      <c r="R58" s="20"/>
      <c r="S58" s="3"/>
      <c r="T58" s="3">
        <f>--68.25</f>
        <v>68.25</v>
      </c>
      <c r="U58" s="3"/>
      <c r="V58" s="20"/>
      <c r="W58" s="3"/>
      <c r="X58" s="3">
        <f t="shared" si="6"/>
        <v>-68.25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","4140"," - ","NON-TAXABLE SALES-LOGO CLOTHIN")</f>
        <v xml:space="preserve">          4140 - NON-TAXABLE SALES-LOGO CLOTHIN</v>
      </c>
      <c r="C59" s="12"/>
      <c r="D59" s="3">
        <f>0</f>
        <v>0</v>
      </c>
      <c r="E59" s="3"/>
      <c r="F59" s="20"/>
      <c r="G59" s="3"/>
      <c r="H59" s="3">
        <f>--23040.7</f>
        <v>23040.7</v>
      </c>
      <c r="I59" s="3"/>
      <c r="J59" s="20"/>
      <c r="K59" s="3"/>
      <c r="L59" s="3">
        <f t="shared" si="4"/>
        <v>-23040.7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--154792.39</f>
        <v>154792.39000000001</v>
      </c>
      <c r="U59" s="3"/>
      <c r="V59" s="20"/>
      <c r="W59" s="3"/>
      <c r="X59" s="3">
        <f t="shared" si="6"/>
        <v>-154792.39000000001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","4141"," - ","NON-TAXABLE SALES-LOGO GIFTS")</f>
        <v xml:space="preserve">          4141 - NON-TAXABLE SALES-LOGO GIFTS</v>
      </c>
      <c r="C60" s="12"/>
      <c r="D60" s="3">
        <f>0</f>
        <v>0</v>
      </c>
      <c r="E60" s="3"/>
      <c r="F60" s="20"/>
      <c r="G60" s="3"/>
      <c r="H60" s="3">
        <f>--27228.57</f>
        <v>27228.57</v>
      </c>
      <c r="I60" s="3"/>
      <c r="J60" s="20"/>
      <c r="K60" s="3"/>
      <c r="L60" s="3">
        <f t="shared" si="4"/>
        <v>-27228.57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--36796.81</f>
        <v>36796.81</v>
      </c>
      <c r="U60" s="3"/>
      <c r="V60" s="20"/>
      <c r="W60" s="3"/>
      <c r="X60" s="3">
        <f t="shared" si="6"/>
        <v>-36796.81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","4142"," - ","NON-TAXABLE SALES-EVERYDAY GIF")</f>
        <v xml:space="preserve">          4142 - NON-TAXABLE SALES-EVERYDAY GIF</v>
      </c>
      <c r="C61" s="12"/>
      <c r="D61" s="3">
        <f>0</f>
        <v>0</v>
      </c>
      <c r="E61" s="3"/>
      <c r="F61" s="20"/>
      <c r="G61" s="3"/>
      <c r="H61" s="3">
        <f>--306.73</f>
        <v>306.73</v>
      </c>
      <c r="I61" s="3"/>
      <c r="J61" s="20"/>
      <c r="K61" s="3"/>
      <c r="L61" s="3">
        <f t="shared" si="4"/>
        <v>-306.73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--2588.1</f>
        <v>2588.1</v>
      </c>
      <c r="U61" s="3"/>
      <c r="V61" s="20"/>
      <c r="W61" s="3"/>
      <c r="X61" s="3">
        <f t="shared" si="6"/>
        <v>-2588.1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","4143"," - ","NON-TAXABLE SALES-CARDS")</f>
        <v xml:space="preserve">          4143 - NON-TAXABLE SALES-CARDS</v>
      </c>
      <c r="C62" s="12"/>
      <c r="D62" s="3">
        <f>0</f>
        <v>0</v>
      </c>
      <c r="E62" s="3"/>
      <c r="F62" s="20"/>
      <c r="G62" s="3"/>
      <c r="H62" s="3">
        <f>--49.97</f>
        <v>49.97</v>
      </c>
      <c r="I62" s="3"/>
      <c r="J62" s="20"/>
      <c r="K62" s="3"/>
      <c r="L62" s="3">
        <f t="shared" si="4"/>
        <v>-49.97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--2431.45</f>
        <v>2431.4499999999998</v>
      </c>
      <c r="U62" s="3"/>
      <c r="V62" s="20"/>
      <c r="W62" s="3"/>
      <c r="X62" s="3">
        <f t="shared" si="6"/>
        <v>-2431.4499999999998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","4144"," - ","NON-TAXABLE SALES-ACCESSORIES")</f>
        <v xml:space="preserve">          4144 - NON-TAXABLE SALES-ACCESSORIES</v>
      </c>
      <c r="C63" s="12"/>
      <c r="D63" s="3">
        <f>0</f>
        <v>0</v>
      </c>
      <c r="E63" s="3"/>
      <c r="F63" s="20"/>
      <c r="G63" s="3"/>
      <c r="H63" s="3">
        <f>--29.85</f>
        <v>29.85</v>
      </c>
      <c r="I63" s="3"/>
      <c r="J63" s="20"/>
      <c r="K63" s="3"/>
      <c r="L63" s="3">
        <f t="shared" si="4"/>
        <v>-29.85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--709.1</f>
        <v>709.1</v>
      </c>
      <c r="U63" s="3"/>
      <c r="V63" s="20"/>
      <c r="W63" s="3"/>
      <c r="X63" s="3">
        <f t="shared" si="6"/>
        <v>-709.1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","4145"," - ","NON-TAXABLE SALES-SPECIAL ORDE")</f>
        <v xml:space="preserve">          4145 - NON-TAXABLE SALES-SPECIAL ORDE</v>
      </c>
      <c r="C64" s="12"/>
      <c r="D64" s="3">
        <f>0</f>
        <v>0</v>
      </c>
      <c r="E64" s="3"/>
      <c r="F64" s="20"/>
      <c r="G64" s="3"/>
      <c r="H64" s="3">
        <f>--20350.8</f>
        <v>20350.8</v>
      </c>
      <c r="I64" s="3"/>
      <c r="J64" s="20"/>
      <c r="K64" s="3"/>
      <c r="L64" s="3">
        <f t="shared" si="4"/>
        <v>-20350.8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--74066.89</f>
        <v>74066.89</v>
      </c>
      <c r="U64" s="3"/>
      <c r="V64" s="20"/>
      <c r="W64" s="3"/>
      <c r="X64" s="3">
        <f t="shared" si="6"/>
        <v>-74066.89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","4146"," - ","NON-TAXABLE SALES-COIN OP MACH")</f>
        <v xml:space="preserve">          4146 - NON-TAXABLE SALES-COIN OP MACH</v>
      </c>
      <c r="C65" s="12"/>
      <c r="D65" s="3">
        <f>0</f>
        <v>0</v>
      </c>
      <c r="E65" s="3"/>
      <c r="F65" s="20"/>
      <c r="G65" s="3"/>
      <c r="H65" s="3">
        <f>--30.2</f>
        <v>30.2</v>
      </c>
      <c r="I65" s="3"/>
      <c r="J65" s="20"/>
      <c r="K65" s="3"/>
      <c r="L65" s="3">
        <f t="shared" si="4"/>
        <v>-30.2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--329.3</f>
        <v>329.3</v>
      </c>
      <c r="U65" s="3"/>
      <c r="V65" s="20"/>
      <c r="W65" s="3"/>
      <c r="X65" s="3">
        <f t="shared" si="6"/>
        <v>-329.3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","4147"," - ","NON-TAXABLE SALES-MISC")</f>
        <v xml:space="preserve">          4147 - NON-TAXABLE SALES-MISC</v>
      </c>
      <c r="C66" s="12"/>
      <c r="D66" s="3">
        <f>0</f>
        <v>0</v>
      </c>
      <c r="E66" s="3"/>
      <c r="F66" s="20"/>
      <c r="G66" s="3"/>
      <c r="H66" s="3">
        <f>--11</f>
        <v>11</v>
      </c>
      <c r="I66" s="3"/>
      <c r="J66" s="20"/>
      <c r="K66" s="3"/>
      <c r="L66" s="3">
        <f t="shared" si="4"/>
        <v>-11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--154.5</f>
        <v>154.5</v>
      </c>
      <c r="U66" s="3"/>
      <c r="V66" s="20"/>
      <c r="W66" s="3"/>
      <c r="X66" s="3">
        <f t="shared" si="6"/>
        <v>-154.5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","4151"," - ","NON-TAXABLE SALES-FOOD")</f>
        <v xml:space="preserve">          4151 - NON-TAXABLE SALES-FOOD</v>
      </c>
      <c r="C67" s="12"/>
      <c r="D67" s="3">
        <f>--1941274.31</f>
        <v>1941274.31</v>
      </c>
      <c r="E67" s="3"/>
      <c r="F67" s="20"/>
      <c r="G67" s="3"/>
      <c r="H67" s="3">
        <f>--91787.27</f>
        <v>91787.27</v>
      </c>
      <c r="I67" s="3"/>
      <c r="J67" s="20"/>
      <c r="K67" s="3"/>
      <c r="L67" s="3">
        <f t="shared" si="4"/>
        <v>1849487.04</v>
      </c>
      <c r="M67" s="3"/>
      <c r="N67" s="20">
        <f t="shared" si="5"/>
        <v>20.149711828230647</v>
      </c>
      <c r="O67" s="12"/>
      <c r="P67" s="3">
        <f>--11851903.03</f>
        <v>11851903.029999999</v>
      </c>
      <c r="Q67" s="3"/>
      <c r="R67" s="20"/>
      <c r="S67" s="3"/>
      <c r="T67" s="3">
        <f>--924097.12</f>
        <v>924097.12</v>
      </c>
      <c r="U67" s="3"/>
      <c r="V67" s="20"/>
      <c r="W67" s="3"/>
      <c r="X67" s="3">
        <f t="shared" si="6"/>
        <v>10927805.91</v>
      </c>
      <c r="Y67" s="3"/>
      <c r="Z67" s="20">
        <f t="shared" si="7"/>
        <v>11.825386827306637</v>
      </c>
    </row>
    <row r="68" spans="1:26" s="69" customFormat="1" ht="15" hidden="1" customHeight="1" outlineLevel="1" x14ac:dyDescent="0.3">
      <c r="A68" s="42"/>
      <c r="B68" s="12" t="str">
        <f>CONCATENATE("          ","4152"," - ","NON-TAXABLE SALES-FOOD")</f>
        <v xml:space="preserve">          4152 - NON-TAXABLE SALES-FOOD</v>
      </c>
      <c r="C68" s="12"/>
      <c r="D68" s="3">
        <f>0</f>
        <v>0</v>
      </c>
      <c r="E68" s="3"/>
      <c r="F68" s="20"/>
      <c r="G68" s="3"/>
      <c r="H68" s="3">
        <f>--11580.95</f>
        <v>11580.95</v>
      </c>
      <c r="I68" s="3"/>
      <c r="J68" s="20"/>
      <c r="K68" s="3"/>
      <c r="L68" s="3">
        <f t="shared" si="4"/>
        <v>-11580.95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--11580.95</f>
        <v>11580.95</v>
      </c>
      <c r="U68" s="3"/>
      <c r="V68" s="20"/>
      <c r="W68" s="3"/>
      <c r="X68" s="3">
        <f t="shared" si="6"/>
        <v>-11580.95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","4153"," - ","NON-TAXABLE SALES-FOOD")</f>
        <v xml:space="preserve">          4153 - NON-TAXABLE SALES-FOOD</v>
      </c>
      <c r="C69" s="12"/>
      <c r="D69" s="3">
        <f>--15546.35</f>
        <v>15546.35</v>
      </c>
      <c r="E69" s="3"/>
      <c r="F69" s="20"/>
      <c r="G69" s="3"/>
      <c r="H69" s="3">
        <f>--4488.82</f>
        <v>4488.82</v>
      </c>
      <c r="I69" s="3"/>
      <c r="J69" s="20"/>
      <c r="K69" s="3"/>
      <c r="L69" s="3">
        <f t="shared" si="4"/>
        <v>11057.53</v>
      </c>
      <c r="M69" s="3"/>
      <c r="N69" s="20">
        <f t="shared" si="5"/>
        <v>2.4633489424837709</v>
      </c>
      <c r="O69" s="12"/>
      <c r="P69" s="3">
        <f>--112046.57</f>
        <v>112046.57</v>
      </c>
      <c r="Q69" s="3"/>
      <c r="R69" s="20"/>
      <c r="S69" s="3"/>
      <c r="T69" s="3">
        <f>--47838.73</f>
        <v>47838.73</v>
      </c>
      <c r="U69" s="3"/>
      <c r="V69" s="20"/>
      <c r="W69" s="3"/>
      <c r="X69" s="3">
        <f t="shared" si="6"/>
        <v>64207.840000000004</v>
      </c>
      <c r="Y69" s="3"/>
      <c r="Z69" s="20">
        <f t="shared" si="7"/>
        <v>1.342172754168014</v>
      </c>
    </row>
    <row r="70" spans="1:26" s="69" customFormat="1" ht="15" hidden="1" customHeight="1" outlineLevel="1" x14ac:dyDescent="0.3">
      <c r="A70" s="42"/>
      <c r="B70" s="12" t="str">
        <f>CONCATENATE("          ","4155"," - ","NON-TAXABLE SALES-FOOD")</f>
        <v xml:space="preserve">          4155 - NON-TAXABLE SALES-FOOD</v>
      </c>
      <c r="C70" s="12"/>
      <c r="D70" s="3">
        <f>--2054.61</f>
        <v>2054.61</v>
      </c>
      <c r="E70" s="3"/>
      <c r="F70" s="20"/>
      <c r="G70" s="3"/>
      <c r="H70" s="3">
        <f>0</f>
        <v>0</v>
      </c>
      <c r="I70" s="3"/>
      <c r="J70" s="20"/>
      <c r="K70" s="3"/>
      <c r="L70" s="3">
        <f t="shared" si="4"/>
        <v>2054.61</v>
      </c>
      <c r="M70" s="3"/>
      <c r="N70" s="20">
        <f t="shared" si="5"/>
        <v>0</v>
      </c>
      <c r="O70" s="12"/>
      <c r="P70" s="3">
        <f>--3799.32</f>
        <v>3799.32</v>
      </c>
      <c r="Q70" s="3"/>
      <c r="R70" s="20"/>
      <c r="S70" s="3"/>
      <c r="T70" s="3">
        <f>0</f>
        <v>0</v>
      </c>
      <c r="U70" s="3"/>
      <c r="V70" s="20"/>
      <c r="W70" s="3"/>
      <c r="X70" s="3">
        <f t="shared" si="6"/>
        <v>3799.32</v>
      </c>
      <c r="Y70" s="3"/>
      <c r="Z70" s="20">
        <f t="shared" si="7"/>
        <v>0</v>
      </c>
    </row>
    <row r="71" spans="1:26" s="69" customFormat="1" ht="15" hidden="1" customHeight="1" outlineLevel="1" x14ac:dyDescent="0.3">
      <c r="A71" s="42"/>
      <c r="B71" s="12" t="str">
        <f>CONCATENATE("          ","4181"," - ","NON-TAXABLE SALES-ELECTRONICS")</f>
        <v xml:space="preserve">          4181 - NON-TAXABLE SALES-ELECTRONICS</v>
      </c>
      <c r="C71" s="12"/>
      <c r="D71" s="3">
        <f>0</f>
        <v>0</v>
      </c>
      <c r="E71" s="3"/>
      <c r="F71" s="20"/>
      <c r="G71" s="3"/>
      <c r="H71" s="3">
        <f>--29.99</f>
        <v>29.99</v>
      </c>
      <c r="I71" s="3"/>
      <c r="J71" s="20"/>
      <c r="K71" s="3"/>
      <c r="L71" s="3">
        <f t="shared" si="4"/>
        <v>-29.99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--12508.62</f>
        <v>12508.62</v>
      </c>
      <c r="U71" s="3"/>
      <c r="V71" s="20"/>
      <c r="W71" s="3"/>
      <c r="X71" s="3">
        <f t="shared" si="6"/>
        <v>-12508.62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","4182"," - ","NON-TAXABLE SALES-COMPUTER HAR")</f>
        <v xml:space="preserve">          4182 - NON-TAXABLE SALES-COMPUTER HAR</v>
      </c>
      <c r="C72" s="12"/>
      <c r="D72" s="3">
        <f>0</f>
        <v>0</v>
      </c>
      <c r="E72" s="3"/>
      <c r="F72" s="20"/>
      <c r="G72" s="3"/>
      <c r="H72" s="3">
        <f>--61075.64</f>
        <v>61075.64</v>
      </c>
      <c r="I72" s="3"/>
      <c r="J72" s="20"/>
      <c r="K72" s="3"/>
      <c r="L72" s="3">
        <f t="shared" si="4"/>
        <v>-61075.64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--314490.47</f>
        <v>314490.46999999997</v>
      </c>
      <c r="U72" s="3"/>
      <c r="V72" s="20"/>
      <c r="W72" s="3"/>
      <c r="X72" s="3">
        <f t="shared" si="6"/>
        <v>-314490.46999999997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","4183"," - ","NON-TAXABLE SALES-COMPUTER EQU")</f>
        <v xml:space="preserve">          4183 - NON-TAXABLE SALES-COMPUTER EQU</v>
      </c>
      <c r="C73" s="12"/>
      <c r="D73" s="3">
        <f>0</f>
        <v>0</v>
      </c>
      <c r="E73" s="3"/>
      <c r="F73" s="20"/>
      <c r="G73" s="3"/>
      <c r="H73" s="3">
        <f>--2879.59</f>
        <v>2879.59</v>
      </c>
      <c r="I73" s="3"/>
      <c r="J73" s="20"/>
      <c r="K73" s="3"/>
      <c r="L73" s="3">
        <f t="shared" si="4"/>
        <v>-2879.59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--19486.02</f>
        <v>19486.02</v>
      </c>
      <c r="U73" s="3"/>
      <c r="V73" s="20"/>
      <c r="W73" s="3"/>
      <c r="X73" s="3">
        <f t="shared" si="6"/>
        <v>-19486.02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","4185"," - ","NON-TAXABLE SALES-SOFTWARE")</f>
        <v xml:space="preserve">          4185 - NON-TAXABLE SALES-SOFTWARE</v>
      </c>
      <c r="C74" s="12"/>
      <c r="D74" s="3">
        <f>0</f>
        <v>0</v>
      </c>
      <c r="E74" s="3"/>
      <c r="F74" s="20"/>
      <c r="G74" s="3"/>
      <c r="H74" s="3">
        <f>--11345.61</f>
        <v>11345.61</v>
      </c>
      <c r="I74" s="3"/>
      <c r="J74" s="20"/>
      <c r="K74" s="3"/>
      <c r="L74" s="3">
        <f t="shared" si="4"/>
        <v>-11345.61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--50032.39</f>
        <v>50032.39</v>
      </c>
      <c r="U74" s="3"/>
      <c r="V74" s="20"/>
      <c r="W74" s="3"/>
      <c r="X74" s="3">
        <f t="shared" si="6"/>
        <v>-50032.39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","4186"," - ","NON-TAXABLE SALES-COMPUTER SUP")</f>
        <v xml:space="preserve">          4186 - NON-TAXABLE SALES-COMPUTER SUP</v>
      </c>
      <c r="C75" s="12"/>
      <c r="D75" s="3">
        <f>0</f>
        <v>0</v>
      </c>
      <c r="E75" s="3"/>
      <c r="F75" s="20"/>
      <c r="G75" s="3"/>
      <c r="H75" s="3">
        <f>--89.97</f>
        <v>89.97</v>
      </c>
      <c r="I75" s="3"/>
      <c r="J75" s="20"/>
      <c r="K75" s="3"/>
      <c r="L75" s="3">
        <f t="shared" si="4"/>
        <v>-89.97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--3345.17</f>
        <v>3345.17</v>
      </c>
      <c r="U75" s="3"/>
      <c r="V75" s="20"/>
      <c r="W75" s="3"/>
      <c r="X75" s="3">
        <f t="shared" si="6"/>
        <v>-3345.17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","4200"," - ","TAXABLE RETURNS")</f>
        <v xml:space="preserve">          4200 - TAXABLE RETURNS</v>
      </c>
      <c r="C76" s="12"/>
      <c r="D76" s="3">
        <f>-241952.39</f>
        <v>-241952.39</v>
      </c>
      <c r="E76" s="3"/>
      <c r="F76" s="20"/>
      <c r="G76" s="3"/>
      <c r="H76" s="3">
        <f>0</f>
        <v>0</v>
      </c>
      <c r="I76" s="3"/>
      <c r="J76" s="20"/>
      <c r="K76" s="3"/>
      <c r="L76" s="3">
        <f t="shared" ref="L76:L105" si="8">+D76-H76</f>
        <v>-241952.39</v>
      </c>
      <c r="M76" s="3"/>
      <c r="N76" s="20">
        <f t="shared" ref="N76:N105" si="9">IF(H76=0,0,L76/H76)</f>
        <v>0</v>
      </c>
      <c r="O76" s="12"/>
      <c r="P76" s="3">
        <f>-672870.61</f>
        <v>-672870.61</v>
      </c>
      <c r="Q76" s="3"/>
      <c r="R76" s="20"/>
      <c r="S76" s="3"/>
      <c r="T76" s="3">
        <f>0</f>
        <v>0</v>
      </c>
      <c r="U76" s="3"/>
      <c r="V76" s="20"/>
      <c r="W76" s="3"/>
      <c r="X76" s="3">
        <f t="shared" ref="X76:X105" si="10">+P76-T76</f>
        <v>-672870.61</v>
      </c>
      <c r="Y76" s="3"/>
      <c r="Z76" s="20">
        <f t="shared" ref="Z76:Z105" si="11">IF(T76=0,0,X76/T76)</f>
        <v>0</v>
      </c>
    </row>
    <row r="77" spans="1:26" s="69" customFormat="1" ht="15" hidden="1" customHeight="1" outlineLevel="1" x14ac:dyDescent="0.3">
      <c r="A77" s="42"/>
      <c r="B77" s="12" t="str">
        <f>CONCATENATE("          ","4201"," - ","SALES RETURN TAXABLE-NEW TEXT")</f>
        <v xml:space="preserve">          4201 - SALES RETURN TAXABLE-NEW TEXT</v>
      </c>
      <c r="C77" s="12"/>
      <c r="D77" s="3">
        <f>0</f>
        <v>0</v>
      </c>
      <c r="E77" s="3"/>
      <c r="F77" s="20"/>
      <c r="G77" s="3"/>
      <c r="H77" s="3">
        <f>-376.85</f>
        <v>-376.85</v>
      </c>
      <c r="I77" s="3"/>
      <c r="J77" s="20"/>
      <c r="K77" s="3"/>
      <c r="L77" s="3">
        <f t="shared" si="8"/>
        <v>376.85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-51638.02</f>
        <v>-51638.02</v>
      </c>
      <c r="U77" s="3"/>
      <c r="V77" s="20"/>
      <c r="W77" s="3"/>
      <c r="X77" s="3">
        <f t="shared" si="10"/>
        <v>51638.02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","4202"," - ","SALES RETURN TAXABLE-USED TEXT")</f>
        <v xml:space="preserve">          4202 - SALES RETURN TAXABLE-USED TEXT</v>
      </c>
      <c r="C78" s="12"/>
      <c r="D78" s="3">
        <f>0</f>
        <v>0</v>
      </c>
      <c r="E78" s="3"/>
      <c r="F78" s="20"/>
      <c r="G78" s="3"/>
      <c r="H78" s="3">
        <f>-206.95</f>
        <v>-206.95</v>
      </c>
      <c r="I78" s="3"/>
      <c r="J78" s="20"/>
      <c r="K78" s="3"/>
      <c r="L78" s="3">
        <f t="shared" si="8"/>
        <v>206.95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-20096.26</f>
        <v>-20096.259999999998</v>
      </c>
      <c r="U78" s="3"/>
      <c r="V78" s="20"/>
      <c r="W78" s="3"/>
      <c r="X78" s="3">
        <f t="shared" si="10"/>
        <v>20096.259999999998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","4204"," - ","SALES RETURN TAXABLE-DIGITAL T")</f>
        <v xml:space="preserve">          4204 - SALES RETURN TAXABLE-DIGITAL T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8"/>
        <v>0</v>
      </c>
      <c r="M79" s="3"/>
      <c r="N79" s="20">
        <f t="shared" si="9"/>
        <v>0</v>
      </c>
      <c r="O79" s="12"/>
      <c r="P79" s="3">
        <f>0</f>
        <v>0</v>
      </c>
      <c r="Q79" s="3"/>
      <c r="R79" s="20"/>
      <c r="S79" s="3"/>
      <c r="T79" s="3">
        <f>-1763.1</f>
        <v>-1763.1</v>
      </c>
      <c r="U79" s="3"/>
      <c r="V79" s="20"/>
      <c r="W79" s="3"/>
      <c r="X79" s="3">
        <f t="shared" si="10"/>
        <v>1763.1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","4213"," - ","NON-TAXABLE SALES-TRADE BOOKS")</f>
        <v xml:space="preserve">          4213 - NON-TAXABLE SALES-TRADE BOOKS</v>
      </c>
      <c r="C80" s="12"/>
      <c r="D80" s="3">
        <f>0</f>
        <v>0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8"/>
        <v>0</v>
      </c>
      <c r="M80" s="3"/>
      <c r="N80" s="20">
        <f t="shared" si="9"/>
        <v>0</v>
      </c>
      <c r="O80" s="12"/>
      <c r="P80" s="3">
        <f>0</f>
        <v>0</v>
      </c>
      <c r="Q80" s="3"/>
      <c r="R80" s="20"/>
      <c r="S80" s="3"/>
      <c r="T80" s="3">
        <f>-69.93</f>
        <v>-69.930000000000007</v>
      </c>
      <c r="U80" s="3"/>
      <c r="V80" s="20"/>
      <c r="W80" s="3"/>
      <c r="X80" s="3">
        <f t="shared" si="10"/>
        <v>69.930000000000007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","4218"," - ","SALES RETURN TAXABLE-STUDY GUI")</f>
        <v xml:space="preserve">          4218 - SALES RETURN TAXABLE-STUDY GUI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-5.21</f>
        <v>-5.21</v>
      </c>
      <c r="U81" s="3"/>
      <c r="V81" s="20"/>
      <c r="W81" s="3"/>
      <c r="X81" s="3">
        <f t="shared" si="10"/>
        <v>5.21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","4226"," - ","SALES RETURN TAXABLE-WRITING I")</f>
        <v xml:space="preserve">          4226 - SALES RETURN TAXABLE-WRITING I</v>
      </c>
      <c r="C82" s="12"/>
      <c r="D82" s="3">
        <f>0</f>
        <v>0</v>
      </c>
      <c r="E82" s="3"/>
      <c r="F82" s="20"/>
      <c r="G82" s="3"/>
      <c r="H82" s="3">
        <f>0</f>
        <v>0</v>
      </c>
      <c r="I82" s="3"/>
      <c r="J82" s="20"/>
      <c r="K82" s="3"/>
      <c r="L82" s="3">
        <f t="shared" si="8"/>
        <v>0</v>
      </c>
      <c r="M82" s="3"/>
      <c r="N82" s="20">
        <f t="shared" si="9"/>
        <v>0</v>
      </c>
      <c r="O82" s="12"/>
      <c r="P82" s="3">
        <f>0</f>
        <v>0</v>
      </c>
      <c r="Q82" s="3"/>
      <c r="R82" s="20"/>
      <c r="S82" s="3"/>
      <c r="T82" s="3">
        <f>-34.23</f>
        <v>-34.229999999999997</v>
      </c>
      <c r="U82" s="3"/>
      <c r="V82" s="20"/>
      <c r="W82" s="3"/>
      <c r="X82" s="3">
        <f t="shared" si="10"/>
        <v>34.229999999999997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","4227"," - ","SALES RETURN TAXABLE-SCHOOL SU")</f>
        <v xml:space="preserve">          4227 - SALES RETURN TAXABLE-SCHOOL SU</v>
      </c>
      <c r="C83" s="12"/>
      <c r="D83" s="3">
        <f>0</f>
        <v>0</v>
      </c>
      <c r="E83" s="3"/>
      <c r="F83" s="20"/>
      <c r="G83" s="3"/>
      <c r="H83" s="3">
        <f>-500.54</f>
        <v>-500.54</v>
      </c>
      <c r="I83" s="3"/>
      <c r="J83" s="20"/>
      <c r="K83" s="3"/>
      <c r="L83" s="3">
        <f t="shared" si="8"/>
        <v>500.54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-1346.66</f>
        <v>-1346.66</v>
      </c>
      <c r="U83" s="3"/>
      <c r="V83" s="20"/>
      <c r="W83" s="3"/>
      <c r="X83" s="3">
        <f t="shared" si="10"/>
        <v>1346.66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","4228"," - ","SALES RETURN TAXABLE-ART/TECH")</f>
        <v xml:space="preserve">          4228 - SALES RETURN TAXABLE-ART/TECH</v>
      </c>
      <c r="C84" s="12"/>
      <c r="D84" s="3">
        <f>0</f>
        <v>0</v>
      </c>
      <c r="E84" s="3"/>
      <c r="F84" s="20"/>
      <c r="G84" s="3"/>
      <c r="H84" s="3">
        <f>-136.11</f>
        <v>-136.11000000000001</v>
      </c>
      <c r="I84" s="3"/>
      <c r="J84" s="20"/>
      <c r="K84" s="3"/>
      <c r="L84" s="3">
        <f t="shared" si="8"/>
        <v>136.11000000000001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-12973.73</f>
        <v>-12973.73</v>
      </c>
      <c r="U84" s="3"/>
      <c r="V84" s="20"/>
      <c r="W84" s="3"/>
      <c r="X84" s="3">
        <f t="shared" si="10"/>
        <v>12973.73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","4240"," - ","SALES RETURN TAXABLE-LOGO CLOT")</f>
        <v xml:space="preserve">          4240 - SALES RETURN TAXABLE-LOGO CLOT</v>
      </c>
      <c r="C85" s="12"/>
      <c r="D85" s="3">
        <f>0</f>
        <v>0</v>
      </c>
      <c r="E85" s="3"/>
      <c r="F85" s="20"/>
      <c r="G85" s="3"/>
      <c r="H85" s="3">
        <f>-5611.92</f>
        <v>-5611.92</v>
      </c>
      <c r="I85" s="3"/>
      <c r="J85" s="20"/>
      <c r="K85" s="3"/>
      <c r="L85" s="3">
        <f t="shared" si="8"/>
        <v>5611.92</v>
      </c>
      <c r="M85" s="3"/>
      <c r="N85" s="20">
        <f t="shared" si="9"/>
        <v>-1</v>
      </c>
      <c r="O85" s="12"/>
      <c r="P85" s="3">
        <f>0</f>
        <v>0</v>
      </c>
      <c r="Q85" s="3"/>
      <c r="R85" s="20"/>
      <c r="S85" s="3"/>
      <c r="T85" s="3">
        <f>-40666.27</f>
        <v>-40666.269999999997</v>
      </c>
      <c r="U85" s="3"/>
      <c r="V85" s="20"/>
      <c r="W85" s="3"/>
      <c r="X85" s="3">
        <f t="shared" si="10"/>
        <v>40666.269999999997</v>
      </c>
      <c r="Y85" s="3"/>
      <c r="Z85" s="20">
        <f t="shared" si="11"/>
        <v>-1</v>
      </c>
    </row>
    <row r="86" spans="1:26" s="69" customFormat="1" ht="15" hidden="1" customHeight="1" outlineLevel="1" x14ac:dyDescent="0.3">
      <c r="A86" s="42"/>
      <c r="B86" s="12" t="str">
        <f>CONCATENATE("          ","4241"," - ","SALES RETURN TAXABLE-LOGO GIFT")</f>
        <v xml:space="preserve">          4241 - SALES RETURN TAXABLE-LOGO GIFT</v>
      </c>
      <c r="C86" s="12"/>
      <c r="D86" s="3">
        <f>0</f>
        <v>0</v>
      </c>
      <c r="E86" s="3"/>
      <c r="F86" s="20"/>
      <c r="G86" s="3"/>
      <c r="H86" s="3">
        <f>-5656.91</f>
        <v>-5656.91</v>
      </c>
      <c r="I86" s="3"/>
      <c r="J86" s="20"/>
      <c r="K86" s="3"/>
      <c r="L86" s="3">
        <f t="shared" si="8"/>
        <v>5656.91</v>
      </c>
      <c r="M86" s="3"/>
      <c r="N86" s="20">
        <f t="shared" si="9"/>
        <v>-1</v>
      </c>
      <c r="O86" s="12"/>
      <c r="P86" s="3">
        <f>0</f>
        <v>0</v>
      </c>
      <c r="Q86" s="3"/>
      <c r="R86" s="20"/>
      <c r="S86" s="3"/>
      <c r="T86" s="3">
        <f>-12175.25</f>
        <v>-12175.25</v>
      </c>
      <c r="U86" s="3"/>
      <c r="V86" s="20"/>
      <c r="W86" s="3"/>
      <c r="X86" s="3">
        <f t="shared" si="10"/>
        <v>12175.25</v>
      </c>
      <c r="Y86" s="3"/>
      <c r="Z86" s="20">
        <f t="shared" si="11"/>
        <v>-1</v>
      </c>
    </row>
    <row r="87" spans="1:26" s="69" customFormat="1" ht="15" hidden="1" customHeight="1" outlineLevel="1" x14ac:dyDescent="0.3">
      <c r="A87" s="42"/>
      <c r="B87" s="12" t="str">
        <f>CONCATENATE("          ","4242"," - ","SALES RETURN TAXABLE-EVERYDAY")</f>
        <v xml:space="preserve">          4242 - SALES RETURN TAXABLE-EVERYDAY</v>
      </c>
      <c r="C87" s="12"/>
      <c r="D87" s="3">
        <f>0</f>
        <v>0</v>
      </c>
      <c r="E87" s="3"/>
      <c r="F87" s="20"/>
      <c r="G87" s="3"/>
      <c r="H87" s="3">
        <f>-332.27</f>
        <v>-332.27</v>
      </c>
      <c r="I87" s="3"/>
      <c r="J87" s="20"/>
      <c r="K87" s="3"/>
      <c r="L87" s="3">
        <f t="shared" si="8"/>
        <v>332.27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-2636.09</f>
        <v>-2636.09</v>
      </c>
      <c r="U87" s="3"/>
      <c r="V87" s="20"/>
      <c r="W87" s="3"/>
      <c r="X87" s="3">
        <f t="shared" si="10"/>
        <v>2636.09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","4243"," - ","SALES RETURN TAXABLE-CARDS")</f>
        <v xml:space="preserve">          4243 - SALES RETURN TAXABLE-CARDS</v>
      </c>
      <c r="C88" s="12"/>
      <c r="D88" s="3">
        <f>0</f>
        <v>0</v>
      </c>
      <c r="E88" s="3"/>
      <c r="F88" s="20"/>
      <c r="G88" s="3"/>
      <c r="H88" s="3">
        <f>-199.86</f>
        <v>-199.86</v>
      </c>
      <c r="I88" s="3"/>
      <c r="J88" s="20"/>
      <c r="K88" s="3"/>
      <c r="L88" s="3">
        <f t="shared" si="8"/>
        <v>199.86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-6142.09</f>
        <v>-6142.09</v>
      </c>
      <c r="U88" s="3"/>
      <c r="V88" s="20"/>
      <c r="W88" s="3"/>
      <c r="X88" s="3">
        <f t="shared" si="10"/>
        <v>6142.09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","4244"," - ","SALES RETURN TAXABLE-ACCESSORI")</f>
        <v xml:space="preserve">          4244 - SALES RETURN TAXABLE-ACCESSORI</v>
      </c>
      <c r="C89" s="12"/>
      <c r="D89" s="3">
        <f>0</f>
        <v>0</v>
      </c>
      <c r="E89" s="3"/>
      <c r="F89" s="20"/>
      <c r="G89" s="3"/>
      <c r="H89" s="3">
        <f>-8.24</f>
        <v>-8.24</v>
      </c>
      <c r="I89" s="3"/>
      <c r="J89" s="20"/>
      <c r="K89" s="3"/>
      <c r="L89" s="3">
        <f t="shared" si="8"/>
        <v>8.24</v>
      </c>
      <c r="M89" s="3"/>
      <c r="N89" s="20">
        <f t="shared" si="9"/>
        <v>-1</v>
      </c>
      <c r="O89" s="12"/>
      <c r="P89" s="3">
        <f>0</f>
        <v>0</v>
      </c>
      <c r="Q89" s="3"/>
      <c r="R89" s="20"/>
      <c r="S89" s="3"/>
      <c r="T89" s="3">
        <f>-1243.5</f>
        <v>-1243.5</v>
      </c>
      <c r="U89" s="3"/>
      <c r="V89" s="20"/>
      <c r="W89" s="3"/>
      <c r="X89" s="3">
        <f t="shared" si="10"/>
        <v>1243.5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","4245"," - ","SALES RETURN TAXABLE-SPECIAL O")</f>
        <v xml:space="preserve">          4245 - SALES RETURN TAXABLE-SPECIAL O</v>
      </c>
      <c r="C90" s="12"/>
      <c r="D90" s="3">
        <f>0</f>
        <v>0</v>
      </c>
      <c r="E90" s="3"/>
      <c r="F90" s="20"/>
      <c r="G90" s="3"/>
      <c r="H90" s="3">
        <f>-4071.14</f>
        <v>-4071.14</v>
      </c>
      <c r="I90" s="3"/>
      <c r="J90" s="20"/>
      <c r="K90" s="3"/>
      <c r="L90" s="3">
        <f t="shared" si="8"/>
        <v>4071.14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-15424.73</f>
        <v>-15424.73</v>
      </c>
      <c r="U90" s="3"/>
      <c r="V90" s="20"/>
      <c r="W90" s="3"/>
      <c r="X90" s="3">
        <f t="shared" si="10"/>
        <v>15424.73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","4281"," - ","SALES RETURN TAXABLE-ELECTRONI")</f>
        <v xml:space="preserve">          4281 - SALES RETURN TAXABLE-ELECTRONI</v>
      </c>
      <c r="C91" s="12"/>
      <c r="D91" s="3">
        <f>0</f>
        <v>0</v>
      </c>
      <c r="E91" s="3"/>
      <c r="F91" s="20"/>
      <c r="G91" s="3"/>
      <c r="H91" s="3">
        <f>0</f>
        <v>0</v>
      </c>
      <c r="I91" s="3"/>
      <c r="J91" s="20"/>
      <c r="K91" s="3"/>
      <c r="L91" s="3">
        <f t="shared" si="8"/>
        <v>0</v>
      </c>
      <c r="M91" s="3"/>
      <c r="N91" s="20">
        <f t="shared" si="9"/>
        <v>0</v>
      </c>
      <c r="O91" s="12"/>
      <c r="P91" s="3">
        <f>0</f>
        <v>0</v>
      </c>
      <c r="Q91" s="3"/>
      <c r="R91" s="20"/>
      <c r="S91" s="3"/>
      <c r="T91" s="3">
        <f>-14762.14</f>
        <v>-14762.14</v>
      </c>
      <c r="U91" s="3"/>
      <c r="V91" s="20"/>
      <c r="W91" s="3"/>
      <c r="X91" s="3">
        <f t="shared" si="10"/>
        <v>14762.14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","4282"," - ","SALES RETURN TAXABLE-COMPUTER")</f>
        <v xml:space="preserve">          4282 - SALES RETURN TAXABLE-COMPUTER</v>
      </c>
      <c r="C92" s="12"/>
      <c r="D92" s="3">
        <f>0</f>
        <v>0</v>
      </c>
      <c r="E92" s="3"/>
      <c r="F92" s="20"/>
      <c r="G92" s="3"/>
      <c r="H92" s="3">
        <f>-42380</f>
        <v>-42380</v>
      </c>
      <c r="I92" s="3"/>
      <c r="J92" s="20"/>
      <c r="K92" s="3"/>
      <c r="L92" s="3">
        <f t="shared" si="8"/>
        <v>42380</v>
      </c>
      <c r="M92" s="3"/>
      <c r="N92" s="20">
        <f t="shared" si="9"/>
        <v>-1</v>
      </c>
      <c r="O92" s="12"/>
      <c r="P92" s="3">
        <f>0</f>
        <v>0</v>
      </c>
      <c r="Q92" s="3"/>
      <c r="R92" s="20"/>
      <c r="S92" s="3"/>
      <c r="T92" s="3">
        <f>-215145.16</f>
        <v>-215145.16</v>
      </c>
      <c r="U92" s="3"/>
      <c r="V92" s="20"/>
      <c r="W92" s="3"/>
      <c r="X92" s="3">
        <f t="shared" si="10"/>
        <v>215145.16</v>
      </c>
      <c r="Y92" s="3"/>
      <c r="Z92" s="20">
        <f t="shared" si="11"/>
        <v>-1</v>
      </c>
    </row>
    <row r="93" spans="1:26" s="69" customFormat="1" ht="15" hidden="1" customHeight="1" outlineLevel="1" x14ac:dyDescent="0.3">
      <c r="A93" s="42"/>
      <c r="B93" s="12" t="str">
        <f>CONCATENATE("          ","4283"," - ","SALES RETURN TAXABLE-COMPUTER")</f>
        <v xml:space="preserve">          4283 - SALES RETURN TAXABLE-COMPUTER</v>
      </c>
      <c r="C93" s="12"/>
      <c r="D93" s="3">
        <f>0</f>
        <v>0</v>
      </c>
      <c r="E93" s="3"/>
      <c r="F93" s="20"/>
      <c r="G93" s="3"/>
      <c r="H93" s="3">
        <f>-197.95</f>
        <v>-197.95</v>
      </c>
      <c r="I93" s="3"/>
      <c r="J93" s="20"/>
      <c r="K93" s="3"/>
      <c r="L93" s="3">
        <f t="shared" si="8"/>
        <v>197.95</v>
      </c>
      <c r="M93" s="3"/>
      <c r="N93" s="20">
        <f t="shared" si="9"/>
        <v>-1</v>
      </c>
      <c r="O93" s="12"/>
      <c r="P93" s="3">
        <f>0</f>
        <v>0</v>
      </c>
      <c r="Q93" s="3"/>
      <c r="R93" s="20"/>
      <c r="S93" s="3"/>
      <c r="T93" s="3">
        <f>-3947.2</f>
        <v>-3947.2</v>
      </c>
      <c r="U93" s="3"/>
      <c r="V93" s="20"/>
      <c r="W93" s="3"/>
      <c r="X93" s="3">
        <f t="shared" si="10"/>
        <v>3947.2</v>
      </c>
      <c r="Y93" s="3"/>
      <c r="Z93" s="20">
        <f t="shared" si="11"/>
        <v>-1</v>
      </c>
    </row>
    <row r="94" spans="1:26" s="69" customFormat="1" ht="15" hidden="1" customHeight="1" outlineLevel="1" x14ac:dyDescent="0.3">
      <c r="A94" s="42"/>
      <c r="B94" s="12" t="str">
        <f>CONCATENATE("          ","4285"," - ","SALES RETURN TAXABLE-SOFTWARE")</f>
        <v xml:space="preserve">          4285 - SALES RETURN TAXABLE-SOFTWARE</v>
      </c>
      <c r="C94" s="12"/>
      <c r="D94" s="3">
        <f>0</f>
        <v>0</v>
      </c>
      <c r="E94" s="3"/>
      <c r="F94" s="20"/>
      <c r="G94" s="3"/>
      <c r="H94" s="3">
        <f>-99.83</f>
        <v>-99.83</v>
      </c>
      <c r="I94" s="3"/>
      <c r="J94" s="20"/>
      <c r="K94" s="3"/>
      <c r="L94" s="3">
        <f t="shared" si="8"/>
        <v>99.83</v>
      </c>
      <c r="M94" s="3"/>
      <c r="N94" s="20">
        <f t="shared" si="9"/>
        <v>-1</v>
      </c>
      <c r="O94" s="12"/>
      <c r="P94" s="3">
        <f>0</f>
        <v>0</v>
      </c>
      <c r="Q94" s="3"/>
      <c r="R94" s="20"/>
      <c r="S94" s="3"/>
      <c r="T94" s="3">
        <f>-1091.79</f>
        <v>-1091.79</v>
      </c>
      <c r="U94" s="3"/>
      <c r="V94" s="20"/>
      <c r="W94" s="3"/>
      <c r="X94" s="3">
        <f t="shared" si="10"/>
        <v>1091.79</v>
      </c>
      <c r="Y94" s="3"/>
      <c r="Z94" s="20">
        <f t="shared" si="11"/>
        <v>-1</v>
      </c>
    </row>
    <row r="95" spans="1:26" s="69" customFormat="1" ht="15" hidden="1" customHeight="1" outlineLevel="1" x14ac:dyDescent="0.3">
      <c r="A95" s="42"/>
      <c r="B95" s="12" t="str">
        <f>CONCATENATE("          ","4286"," - ","SALES RETURN TAXABLE-COMPUTER")</f>
        <v xml:space="preserve">          4286 - SALES RETURN TAXABLE-COMPUTER</v>
      </c>
      <c r="C95" s="12"/>
      <c r="D95" s="3">
        <f>0</f>
        <v>0</v>
      </c>
      <c r="E95" s="3"/>
      <c r="F95" s="20"/>
      <c r="G95" s="3"/>
      <c r="H95" s="3">
        <f>0</f>
        <v>0</v>
      </c>
      <c r="I95" s="3"/>
      <c r="J95" s="20"/>
      <c r="K95" s="3"/>
      <c r="L95" s="3">
        <f t="shared" si="8"/>
        <v>0</v>
      </c>
      <c r="M95" s="3"/>
      <c r="N95" s="20">
        <f t="shared" si="9"/>
        <v>0</v>
      </c>
      <c r="O95" s="12"/>
      <c r="P95" s="3">
        <f>0</f>
        <v>0</v>
      </c>
      <c r="Q95" s="3"/>
      <c r="R95" s="20"/>
      <c r="S95" s="3"/>
      <c r="T95" s="3">
        <f>-4802.29</f>
        <v>-4802.29</v>
      </c>
      <c r="U95" s="3"/>
      <c r="V95" s="20"/>
      <c r="W95" s="3"/>
      <c r="X95" s="3">
        <f t="shared" si="10"/>
        <v>4802.29</v>
      </c>
      <c r="Y95" s="3"/>
      <c r="Z95" s="20">
        <f t="shared" si="11"/>
        <v>-1</v>
      </c>
    </row>
    <row r="96" spans="1:26" s="69" customFormat="1" ht="15" hidden="1" customHeight="1" outlineLevel="1" x14ac:dyDescent="0.3">
      <c r="A96" s="42"/>
      <c r="B96" s="12" t="str">
        <f>CONCATENATE("          ","4300"," - ","NON-TAX RETURNS")</f>
        <v xml:space="preserve">          4300 - NON-TAX RETURNS</v>
      </c>
      <c r="C96" s="12"/>
      <c r="D96" s="3">
        <f>-9969.65</f>
        <v>-9969.65</v>
      </c>
      <c r="E96" s="3"/>
      <c r="F96" s="20"/>
      <c r="G96" s="3"/>
      <c r="H96" s="3">
        <f>0</f>
        <v>0</v>
      </c>
      <c r="I96" s="3"/>
      <c r="J96" s="20"/>
      <c r="K96" s="3"/>
      <c r="L96" s="3">
        <f t="shared" si="8"/>
        <v>-9969.65</v>
      </c>
      <c r="M96" s="3"/>
      <c r="N96" s="20">
        <f t="shared" si="9"/>
        <v>0</v>
      </c>
      <c r="O96" s="12"/>
      <c r="P96" s="3">
        <f>-42331.37</f>
        <v>-42331.37</v>
      </c>
      <c r="Q96" s="3"/>
      <c r="R96" s="20"/>
      <c r="S96" s="3"/>
      <c r="T96" s="3">
        <f>0</f>
        <v>0</v>
      </c>
      <c r="U96" s="3"/>
      <c r="V96" s="20"/>
      <c r="W96" s="3"/>
      <c r="X96" s="3">
        <f t="shared" si="10"/>
        <v>-42331.37</v>
      </c>
      <c r="Y96" s="3"/>
      <c r="Z96" s="20">
        <f t="shared" si="11"/>
        <v>0</v>
      </c>
    </row>
    <row r="97" spans="1:26" s="69" customFormat="1" ht="15" hidden="1" customHeight="1" outlineLevel="1" x14ac:dyDescent="0.3">
      <c r="A97" s="42"/>
      <c r="B97" s="12" t="str">
        <f>CONCATENATE("          ","4301"," - ","SALES RETURN NON TAXABLE-NEW T")</f>
        <v xml:space="preserve">          4301 - SALES RETURN NON TAXABLE-NEW T</v>
      </c>
      <c r="C97" s="12"/>
      <c r="D97" s="3">
        <f>0</f>
        <v>0</v>
      </c>
      <c r="E97" s="3"/>
      <c r="F97" s="20"/>
      <c r="G97" s="3"/>
      <c r="H97" s="3">
        <f>-225.91</f>
        <v>-225.91</v>
      </c>
      <c r="I97" s="3"/>
      <c r="J97" s="20"/>
      <c r="K97" s="3"/>
      <c r="L97" s="3">
        <f t="shared" si="8"/>
        <v>225.91</v>
      </c>
      <c r="M97" s="3"/>
      <c r="N97" s="20">
        <f t="shared" si="9"/>
        <v>-1</v>
      </c>
      <c r="O97" s="12"/>
      <c r="P97" s="3">
        <f>0</f>
        <v>0</v>
      </c>
      <c r="Q97" s="3"/>
      <c r="R97" s="20"/>
      <c r="S97" s="3"/>
      <c r="T97" s="3">
        <f>-3463.2</f>
        <v>-3463.2</v>
      </c>
      <c r="U97" s="3"/>
      <c r="V97" s="20"/>
      <c r="W97" s="3"/>
      <c r="X97" s="3">
        <f t="shared" si="10"/>
        <v>3463.2</v>
      </c>
      <c r="Y97" s="3"/>
      <c r="Z97" s="20">
        <f t="shared" si="11"/>
        <v>-1</v>
      </c>
    </row>
    <row r="98" spans="1:26" s="69" customFormat="1" ht="15" hidden="1" customHeight="1" outlineLevel="1" x14ac:dyDescent="0.3">
      <c r="A98" s="42"/>
      <c r="B98" s="12" t="str">
        <f>CONCATENATE("          ","4302"," - ","SALES RETURN NON TAXABLE-TEXT")</f>
        <v xml:space="preserve">          4302 - SALES RETURN NON TAXABLE-TEXT</v>
      </c>
      <c r="C98" s="12"/>
      <c r="D98" s="3">
        <f>0</f>
        <v>0</v>
      </c>
      <c r="E98" s="3"/>
      <c r="F98" s="20"/>
      <c r="G98" s="3"/>
      <c r="H98" s="3">
        <f>-98.97</f>
        <v>-98.97</v>
      </c>
      <c r="I98" s="3"/>
      <c r="J98" s="20"/>
      <c r="K98" s="3"/>
      <c r="L98" s="3">
        <f t="shared" si="8"/>
        <v>98.97</v>
      </c>
      <c r="M98" s="3"/>
      <c r="N98" s="20">
        <f t="shared" si="9"/>
        <v>-1</v>
      </c>
      <c r="O98" s="12"/>
      <c r="P98" s="3">
        <f>0</f>
        <v>0</v>
      </c>
      <c r="Q98" s="3"/>
      <c r="R98" s="20"/>
      <c r="S98" s="3"/>
      <c r="T98" s="3">
        <f>-2443.32</f>
        <v>-2443.3200000000002</v>
      </c>
      <c r="U98" s="3"/>
      <c r="V98" s="20"/>
      <c r="W98" s="3"/>
      <c r="X98" s="3">
        <f t="shared" si="10"/>
        <v>2443.3200000000002</v>
      </c>
      <c r="Y98" s="3"/>
      <c r="Z98" s="20">
        <f t="shared" si="11"/>
        <v>-1</v>
      </c>
    </row>
    <row r="99" spans="1:26" s="69" customFormat="1" ht="15" hidden="1" customHeight="1" outlineLevel="1" x14ac:dyDescent="0.3">
      <c r="A99" s="42"/>
      <c r="B99" s="12" t="str">
        <f>CONCATENATE("          ","4304"," - ","SALES RETURN NON TAXABLE-DIGIT")</f>
        <v xml:space="preserve">          4304 - SALES RETURN NON TAXABLE-DIGIT</v>
      </c>
      <c r="C99" s="12"/>
      <c r="D99" s="3">
        <f>0</f>
        <v>0</v>
      </c>
      <c r="E99" s="3"/>
      <c r="F99" s="20"/>
      <c r="G99" s="3"/>
      <c r="H99" s="3">
        <f>0</f>
        <v>0</v>
      </c>
      <c r="I99" s="3"/>
      <c r="J99" s="20"/>
      <c r="K99" s="3"/>
      <c r="L99" s="3">
        <f t="shared" si="8"/>
        <v>0</v>
      </c>
      <c r="M99" s="3"/>
      <c r="N99" s="20">
        <f t="shared" si="9"/>
        <v>0</v>
      </c>
      <c r="O99" s="12"/>
      <c r="P99" s="3">
        <f>0</f>
        <v>0</v>
      </c>
      <c r="Q99" s="3"/>
      <c r="R99" s="20"/>
      <c r="S99" s="3"/>
      <c r="T99" s="3">
        <f>-27543.76</f>
        <v>-27543.759999999998</v>
      </c>
      <c r="U99" s="3"/>
      <c r="V99" s="20"/>
      <c r="W99" s="3"/>
      <c r="X99" s="3">
        <f t="shared" si="10"/>
        <v>27543.759999999998</v>
      </c>
      <c r="Y99" s="3"/>
      <c r="Z99" s="20">
        <f t="shared" si="11"/>
        <v>-1</v>
      </c>
    </row>
    <row r="100" spans="1:26" s="69" customFormat="1" ht="15" hidden="1" customHeight="1" outlineLevel="1" x14ac:dyDescent="0.3">
      <c r="A100" s="42"/>
      <c r="B100" s="12" t="str">
        <f>CONCATENATE("          ","4340"," - ","SALES RETURN NON TAXABLE-LOGO")</f>
        <v xml:space="preserve">          4340 - SALES RETURN NON TAXABLE-LOGO</v>
      </c>
      <c r="C100" s="12"/>
      <c r="D100" s="3">
        <f>0</f>
        <v>0</v>
      </c>
      <c r="E100" s="3"/>
      <c r="F100" s="20"/>
      <c r="G100" s="3"/>
      <c r="H100" s="3">
        <f>-664.13</f>
        <v>-664.13</v>
      </c>
      <c r="I100" s="3"/>
      <c r="J100" s="20"/>
      <c r="K100" s="3"/>
      <c r="L100" s="3">
        <f t="shared" si="8"/>
        <v>664.13</v>
      </c>
      <c r="M100" s="3"/>
      <c r="N100" s="20">
        <f t="shared" si="9"/>
        <v>-1</v>
      </c>
      <c r="O100" s="12"/>
      <c r="P100" s="3">
        <f>0</f>
        <v>0</v>
      </c>
      <c r="Q100" s="3"/>
      <c r="R100" s="20"/>
      <c r="S100" s="3"/>
      <c r="T100" s="3">
        <f>-3307.52</f>
        <v>-3307.52</v>
      </c>
      <c r="U100" s="3"/>
      <c r="V100" s="20"/>
      <c r="W100" s="3"/>
      <c r="X100" s="3">
        <f t="shared" si="10"/>
        <v>3307.52</v>
      </c>
      <c r="Y100" s="3"/>
      <c r="Z100" s="20">
        <f t="shared" si="11"/>
        <v>-1</v>
      </c>
    </row>
    <row r="101" spans="1:26" s="69" customFormat="1" ht="15" hidden="1" customHeight="1" outlineLevel="1" x14ac:dyDescent="0.3">
      <c r="A101" s="42"/>
      <c r="B101" s="12" t="str">
        <f>CONCATENATE("          ","4341"," - ","SALES RETURN NON TAXABLE-LOGO")</f>
        <v xml:space="preserve">          4341 - SALES RETURN NON TAXABLE-LOGO</v>
      </c>
      <c r="C101" s="12"/>
      <c r="D101" s="3">
        <f>0</f>
        <v>0</v>
      </c>
      <c r="E101" s="3"/>
      <c r="F101" s="20"/>
      <c r="G101" s="3"/>
      <c r="H101" s="3">
        <f>-9.9</f>
        <v>-9.9</v>
      </c>
      <c r="I101" s="3"/>
      <c r="J101" s="20"/>
      <c r="K101" s="3"/>
      <c r="L101" s="3">
        <f t="shared" si="8"/>
        <v>9.9</v>
      </c>
      <c r="M101" s="3"/>
      <c r="N101" s="20">
        <f t="shared" si="9"/>
        <v>-1</v>
      </c>
      <c r="O101" s="12"/>
      <c r="P101" s="3">
        <f>0</f>
        <v>0</v>
      </c>
      <c r="Q101" s="3"/>
      <c r="R101" s="20"/>
      <c r="S101" s="3"/>
      <c r="T101" s="3">
        <f>-402.44</f>
        <v>-402.44</v>
      </c>
      <c r="U101" s="3"/>
      <c r="V101" s="20"/>
      <c r="W101" s="3"/>
      <c r="X101" s="3">
        <f t="shared" si="10"/>
        <v>402.44</v>
      </c>
      <c r="Y101" s="3"/>
      <c r="Z101" s="20">
        <f t="shared" si="11"/>
        <v>-1</v>
      </c>
    </row>
    <row r="102" spans="1:26" s="69" customFormat="1" ht="15" hidden="1" customHeight="1" outlineLevel="1" x14ac:dyDescent="0.3">
      <c r="A102" s="42"/>
      <c r="B102" s="12" t="str">
        <f>CONCATENATE("          ","4342"," - ","SALES RETURN NON TAXABLE-EVERY")</f>
        <v xml:space="preserve">          4342 - SALES RETURN NON TAXABLE-EVERY</v>
      </c>
      <c r="C102" s="12"/>
      <c r="D102" s="3">
        <f>0</f>
        <v>0</v>
      </c>
      <c r="E102" s="3"/>
      <c r="F102" s="20"/>
      <c r="G102" s="3"/>
      <c r="H102" s="3">
        <f>0</f>
        <v>0</v>
      </c>
      <c r="I102" s="3"/>
      <c r="J102" s="20"/>
      <c r="K102" s="3"/>
      <c r="L102" s="3">
        <f t="shared" si="8"/>
        <v>0</v>
      </c>
      <c r="M102" s="3"/>
      <c r="N102" s="20">
        <f t="shared" si="9"/>
        <v>0</v>
      </c>
      <c r="O102" s="12"/>
      <c r="P102" s="3">
        <f>0</f>
        <v>0</v>
      </c>
      <c r="Q102" s="3"/>
      <c r="R102" s="20"/>
      <c r="S102" s="3"/>
      <c r="T102" s="3">
        <f>-118.7</f>
        <v>-118.7</v>
      </c>
      <c r="U102" s="3"/>
      <c r="V102" s="20"/>
      <c r="W102" s="3"/>
      <c r="X102" s="3">
        <f t="shared" si="10"/>
        <v>118.7</v>
      </c>
      <c r="Y102" s="3"/>
      <c r="Z102" s="20">
        <f t="shared" si="11"/>
        <v>-1</v>
      </c>
    </row>
    <row r="103" spans="1:26" s="69" customFormat="1" ht="15" hidden="1" customHeight="1" outlineLevel="1" x14ac:dyDescent="0.3">
      <c r="A103" s="42"/>
      <c r="B103" s="12" t="str">
        <f>CONCATENATE("          ","4381"," - ","SALES RETURN NON TAXABLE-ELECT")</f>
        <v xml:space="preserve">          4381 - SALES RETURN NON TAXABLE-ELECT</v>
      </c>
      <c r="C103" s="12"/>
      <c r="D103" s="3">
        <f>0</f>
        <v>0</v>
      </c>
      <c r="E103" s="3"/>
      <c r="F103" s="20"/>
      <c r="G103" s="3"/>
      <c r="H103" s="3">
        <f>0</f>
        <v>0</v>
      </c>
      <c r="I103" s="3"/>
      <c r="J103" s="20"/>
      <c r="K103" s="3"/>
      <c r="L103" s="3">
        <f t="shared" si="8"/>
        <v>0</v>
      </c>
      <c r="M103" s="3"/>
      <c r="N103" s="20">
        <f t="shared" si="9"/>
        <v>0</v>
      </c>
      <c r="O103" s="12"/>
      <c r="P103" s="3">
        <f>0</f>
        <v>0</v>
      </c>
      <c r="Q103" s="3"/>
      <c r="R103" s="20"/>
      <c r="S103" s="3"/>
      <c r="T103" s="3">
        <f>-5624.15</f>
        <v>-5624.15</v>
      </c>
      <c r="U103" s="3"/>
      <c r="V103" s="20"/>
      <c r="W103" s="3"/>
      <c r="X103" s="3">
        <f t="shared" si="10"/>
        <v>5624.15</v>
      </c>
      <c r="Y103" s="3"/>
      <c r="Z103" s="20">
        <f t="shared" si="11"/>
        <v>-1</v>
      </c>
    </row>
    <row r="104" spans="1:26" s="69" customFormat="1" ht="15" hidden="1" customHeight="1" outlineLevel="1" x14ac:dyDescent="0.3">
      <c r="A104" s="42"/>
      <c r="B104" s="12" t="str">
        <f>CONCATENATE("          ","4383"," - ","SALES RETURN NON TAXABLE-COMPU")</f>
        <v xml:space="preserve">          4383 - SALES RETURN NON TAXABLE-COMPU</v>
      </c>
      <c r="C104" s="12"/>
      <c r="D104" s="3">
        <f>0</f>
        <v>0</v>
      </c>
      <c r="E104" s="3"/>
      <c r="F104" s="20"/>
      <c r="G104" s="3"/>
      <c r="H104" s="3">
        <f>-14.99</f>
        <v>-14.99</v>
      </c>
      <c r="I104" s="3"/>
      <c r="J104" s="20"/>
      <c r="K104" s="3"/>
      <c r="L104" s="3">
        <f t="shared" si="8"/>
        <v>14.99</v>
      </c>
      <c r="M104" s="3"/>
      <c r="N104" s="20">
        <f t="shared" si="9"/>
        <v>-1</v>
      </c>
      <c r="O104" s="12"/>
      <c r="P104" s="3">
        <f>0</f>
        <v>0</v>
      </c>
      <c r="Q104" s="3"/>
      <c r="R104" s="20"/>
      <c r="S104" s="3"/>
      <c r="T104" s="3">
        <f>-14.99</f>
        <v>-14.99</v>
      </c>
      <c r="U104" s="3"/>
      <c r="V104" s="20"/>
      <c r="W104" s="3"/>
      <c r="X104" s="3">
        <f t="shared" si="10"/>
        <v>14.99</v>
      </c>
      <c r="Y104" s="3"/>
      <c r="Z104" s="20">
        <f t="shared" si="11"/>
        <v>-1</v>
      </c>
    </row>
    <row r="105" spans="1:26" s="69" customFormat="1" ht="15" hidden="1" customHeight="1" outlineLevel="1" x14ac:dyDescent="0.3">
      <c r="A105" s="42"/>
      <c r="B105" s="12" t="str">
        <f>CONCATENATE("          ","4500"," - ","SALES DISCOUNT")</f>
        <v xml:space="preserve">          4500 - SALES DISCOUNT</v>
      </c>
      <c r="C105" s="12"/>
      <c r="D105" s="3">
        <f>-14838.59</f>
        <v>-14838.59</v>
      </c>
      <c r="E105" s="3"/>
      <c r="F105" s="20"/>
      <c r="G105" s="3"/>
      <c r="H105" s="3">
        <f>0</f>
        <v>0</v>
      </c>
      <c r="I105" s="3"/>
      <c r="J105" s="20"/>
      <c r="K105" s="3"/>
      <c r="L105" s="3">
        <f t="shared" si="8"/>
        <v>-14838.59</v>
      </c>
      <c r="M105" s="3"/>
      <c r="N105" s="20">
        <f t="shared" si="9"/>
        <v>0</v>
      </c>
      <c r="O105" s="12"/>
      <c r="P105" s="3">
        <f>-107904.15</f>
        <v>-107904.15</v>
      </c>
      <c r="Q105" s="3"/>
      <c r="R105" s="20"/>
      <c r="S105" s="3"/>
      <c r="T105" s="3">
        <f>0</f>
        <v>0</v>
      </c>
      <c r="U105" s="3"/>
      <c r="V105" s="20"/>
      <c r="W105" s="3"/>
      <c r="X105" s="3">
        <f t="shared" si="10"/>
        <v>-107904.15</v>
      </c>
      <c r="Y105" s="3"/>
      <c r="Z105" s="20">
        <f t="shared" si="11"/>
        <v>0</v>
      </c>
    </row>
    <row r="106" spans="1:26" ht="15" customHeight="1" x14ac:dyDescent="0.3">
      <c r="A106" s="10"/>
      <c r="B106" s="11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collapsed="1" x14ac:dyDescent="0.3">
      <c r="A107" s="11"/>
      <c r="B107" s="27" t="s">
        <v>287</v>
      </c>
      <c r="C107" s="11"/>
      <c r="D107" s="5">
        <f>SUM(OSRRefD16x_0)</f>
        <v>1162184.9900000002</v>
      </c>
      <c r="E107" s="5"/>
      <c r="F107" s="13">
        <f t="shared" ref="F107:F138" si="12">IF(D$12=0,0,D107/D$12)</f>
        <v>0.34742538946389934</v>
      </c>
      <c r="G107" s="5"/>
      <c r="H107" s="5">
        <f>SUM(OSRRefH16x_0)</f>
        <v>643578.63</v>
      </c>
      <c r="I107" s="5"/>
      <c r="J107" s="13">
        <f t="shared" ref="J107:J138" si="13">IF(H$12=0,0,H107/H$12)</f>
        <v>0.61961636136116982</v>
      </c>
      <c r="K107" s="5"/>
      <c r="L107" s="5">
        <f t="shared" ref="L107:L138" si="14">+D107-H107</f>
        <v>518606.36000000022</v>
      </c>
      <c r="M107" s="5"/>
      <c r="N107" s="13">
        <f t="shared" ref="N107:N138" si="15">IF(H107=0,0,L107/H107)</f>
        <v>0.80581662570119861</v>
      </c>
      <c r="O107" s="11"/>
      <c r="P107" s="5">
        <f>SUM(OSRRefP16x_0)</f>
        <v>8759819.3199999984</v>
      </c>
      <c r="Q107" s="5"/>
      <c r="R107" s="13">
        <f t="shared" ref="R107:R138" si="16">IF(P$12=0,0,P107/P$12)</f>
        <v>0.40072773877941953</v>
      </c>
      <c r="S107" s="5"/>
      <c r="T107" s="5">
        <f>SUM(OSRRefT16x_0)</f>
        <v>5635922.9100000001</v>
      </c>
      <c r="U107" s="5"/>
      <c r="V107" s="13">
        <f t="shared" ref="V107:V138" si="17">IF(T$12=0,0,T107/T$12)</f>
        <v>0.62594759764028962</v>
      </c>
      <c r="W107" s="5"/>
      <c r="X107" s="5">
        <f t="shared" ref="X107:X138" si="18">+P107-T107</f>
        <v>3123896.4099999983</v>
      </c>
      <c r="Y107" s="5"/>
      <c r="Z107" s="13">
        <f t="shared" ref="Z107:Z138" si="19">IF(T107=0,0,X107/T107)</f>
        <v>0.55428302691244546</v>
      </c>
    </row>
    <row r="108" spans="1:26" s="69" customFormat="1" ht="15" hidden="1" customHeight="1" outlineLevel="1" x14ac:dyDescent="0.3">
      <c r="A108" s="42"/>
      <c r="B108" s="12" t="str">
        <f>CONCATENATE("          ","5000"," - ","PURCHASES @ COST")</f>
        <v xml:space="preserve">          5000 - PURCHASES @ COST</v>
      </c>
      <c r="C108" s="12"/>
      <c r="D108" s="3">
        <v>362482.26</v>
      </c>
      <c r="E108" s="3"/>
      <c r="F108" s="20">
        <f t="shared" si="12"/>
        <v>0.10836101088713458</v>
      </c>
      <c r="G108" s="3"/>
      <c r="H108" s="3"/>
      <c r="I108" s="3"/>
      <c r="J108" s="20">
        <f t="shared" si="13"/>
        <v>0</v>
      </c>
      <c r="K108" s="3"/>
      <c r="L108" s="3">
        <f t="shared" si="14"/>
        <v>362482.26</v>
      </c>
      <c r="M108" s="3"/>
      <c r="N108" s="20">
        <f t="shared" si="15"/>
        <v>0</v>
      </c>
      <c r="O108" s="12"/>
      <c r="P108" s="3">
        <v>5434085.29</v>
      </c>
      <c r="Q108" s="3"/>
      <c r="R108" s="20">
        <f t="shared" si="16"/>
        <v>0.24858831341697202</v>
      </c>
      <c r="S108" s="3"/>
      <c r="T108" s="3">
        <v>0</v>
      </c>
      <c r="U108" s="3"/>
      <c r="V108" s="20">
        <f t="shared" si="17"/>
        <v>0</v>
      </c>
      <c r="W108" s="3"/>
      <c r="X108" s="3">
        <f t="shared" si="18"/>
        <v>5434085.29</v>
      </c>
      <c r="Y108" s="3"/>
      <c r="Z108" s="20">
        <f t="shared" si="19"/>
        <v>0</v>
      </c>
    </row>
    <row r="109" spans="1:26" s="69" customFormat="1" ht="15" hidden="1" customHeight="1" outlineLevel="1" x14ac:dyDescent="0.3">
      <c r="A109" s="42"/>
      <c r="B109" s="12" t="str">
        <f>CONCATENATE("          ","5001"," - ","PURCHASES @ COST-NEW TEXT")</f>
        <v xml:space="preserve">          5001 - PURCHASES @ COST-NEW TEXT</v>
      </c>
      <c r="C109" s="12"/>
      <c r="D109" s="3"/>
      <c r="E109" s="3"/>
      <c r="F109" s="20">
        <f t="shared" si="12"/>
        <v>0</v>
      </c>
      <c r="G109" s="3"/>
      <c r="H109" s="3">
        <v>-28969.93</v>
      </c>
      <c r="I109" s="3"/>
      <c r="J109" s="20">
        <f t="shared" si="13"/>
        <v>-2.7891296849753687E-2</v>
      </c>
      <c r="K109" s="3"/>
      <c r="L109" s="3">
        <f t="shared" si="14"/>
        <v>28969.93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1006546.47</v>
      </c>
      <c r="U109" s="3"/>
      <c r="V109" s="20">
        <f t="shared" si="17"/>
        <v>0.11179097991065562</v>
      </c>
      <c r="W109" s="3"/>
      <c r="X109" s="3">
        <f t="shared" si="18"/>
        <v>-1006546.47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","5002"," - ","PURCHASES @ COST-USED TEXT")</f>
        <v xml:space="preserve">          5002 - PURCHASES @ COST-USED TEXT</v>
      </c>
      <c r="C110" s="12"/>
      <c r="D110" s="3"/>
      <c r="E110" s="3"/>
      <c r="F110" s="20">
        <f t="shared" si="12"/>
        <v>0</v>
      </c>
      <c r="G110" s="3"/>
      <c r="H110" s="3">
        <v>-122091.65</v>
      </c>
      <c r="I110" s="3"/>
      <c r="J110" s="20">
        <f t="shared" si="13"/>
        <v>-0.11754582952137715</v>
      </c>
      <c r="K110" s="3"/>
      <c r="L110" s="3">
        <f t="shared" si="14"/>
        <v>122091.65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274961.02</v>
      </c>
      <c r="U110" s="3"/>
      <c r="V110" s="20">
        <f t="shared" si="17"/>
        <v>3.0538244163762635E-2</v>
      </c>
      <c r="W110" s="3"/>
      <c r="X110" s="3">
        <f t="shared" si="18"/>
        <v>-274961.02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","5003"," - ","PURCHASES @ COST-RENTAL TEXT")</f>
        <v xml:space="preserve">          5003 - PURCHASES @ COST-RENTAL TEXT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32.520000000000003</v>
      </c>
      <c r="U111" s="3"/>
      <c r="V111" s="20">
        <f t="shared" si="17"/>
        <v>3.6117981385345491E-6</v>
      </c>
      <c r="W111" s="3"/>
      <c r="X111" s="3">
        <f t="shared" si="18"/>
        <v>-32.520000000000003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","5004"," - ","PURCHASES @ COST-DIGITAL TEXT")</f>
        <v xml:space="preserve">          5004 - PURCHASES @ COST-DIGITAL TEXT</v>
      </c>
      <c r="C112" s="12"/>
      <c r="D112" s="3"/>
      <c r="E112" s="3"/>
      <c r="F112" s="20">
        <f t="shared" si="12"/>
        <v>0</v>
      </c>
      <c r="G112" s="3"/>
      <c r="H112" s="3">
        <v>887.88</v>
      </c>
      <c r="I112" s="3"/>
      <c r="J112" s="20">
        <f t="shared" si="13"/>
        <v>8.5482169432094944E-4</v>
      </c>
      <c r="K112" s="3"/>
      <c r="L112" s="3">
        <f t="shared" si="14"/>
        <v>-887.88</v>
      </c>
      <c r="M112" s="3"/>
      <c r="N112" s="20">
        <f t="shared" si="15"/>
        <v>-1</v>
      </c>
      <c r="O112" s="12"/>
      <c r="P112" s="3">
        <v>0</v>
      </c>
      <c r="Q112" s="3"/>
      <c r="R112" s="20">
        <f t="shared" si="16"/>
        <v>0</v>
      </c>
      <c r="S112" s="3"/>
      <c r="T112" s="3">
        <v>207450.38</v>
      </c>
      <c r="U112" s="3"/>
      <c r="V112" s="20">
        <f t="shared" si="17"/>
        <v>2.3040248964399903E-2</v>
      </c>
      <c r="W112" s="3"/>
      <c r="X112" s="3">
        <f t="shared" si="18"/>
        <v>-207450.38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","5011"," - ","PURCHASES @ COST-NO VALUE TEXT")</f>
        <v xml:space="preserve">          5011 - PURCHASES @ COST-NO VALUE TEXT</v>
      </c>
      <c r="C113" s="12"/>
      <c r="D113" s="3"/>
      <c r="E113" s="3"/>
      <c r="F113" s="20">
        <f t="shared" si="12"/>
        <v>0</v>
      </c>
      <c r="G113" s="3"/>
      <c r="H113" s="3"/>
      <c r="I113" s="3"/>
      <c r="J113" s="20">
        <f t="shared" si="13"/>
        <v>0</v>
      </c>
      <c r="K113" s="3"/>
      <c r="L113" s="3">
        <f t="shared" si="14"/>
        <v>0</v>
      </c>
      <c r="M113" s="3"/>
      <c r="N113" s="20">
        <f t="shared" si="15"/>
        <v>0</v>
      </c>
      <c r="O113" s="12"/>
      <c r="P113" s="3"/>
      <c r="Q113" s="3"/>
      <c r="R113" s="20">
        <f t="shared" si="16"/>
        <v>0</v>
      </c>
      <c r="S113" s="3"/>
      <c r="T113" s="3">
        <v>67.17</v>
      </c>
      <c r="U113" s="3"/>
      <c r="V113" s="20">
        <f t="shared" si="17"/>
        <v>7.4601623913089068E-6</v>
      </c>
      <c r="W113" s="3"/>
      <c r="X113" s="3">
        <f t="shared" si="18"/>
        <v>-67.17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","5013"," - ","PURCHASES @ COST-TRADE BOOKS")</f>
        <v xml:space="preserve">          5013 - PURCHASES @ COST-TRADE BOOKS</v>
      </c>
      <c r="C114" s="12"/>
      <c r="D114" s="3"/>
      <c r="E114" s="3"/>
      <c r="F114" s="20">
        <f t="shared" si="12"/>
        <v>0</v>
      </c>
      <c r="G114" s="3"/>
      <c r="H114" s="3">
        <v>800</v>
      </c>
      <c r="I114" s="3"/>
      <c r="J114" s="20">
        <f t="shared" si="13"/>
        <v>7.7021371745816954E-4</v>
      </c>
      <c r="K114" s="3"/>
      <c r="L114" s="3">
        <f t="shared" si="14"/>
        <v>-800</v>
      </c>
      <c r="M114" s="3"/>
      <c r="N114" s="20">
        <f t="shared" si="15"/>
        <v>-1</v>
      </c>
      <c r="O114" s="12"/>
      <c r="P114" s="3"/>
      <c r="Q114" s="3"/>
      <c r="R114" s="20">
        <f t="shared" si="16"/>
        <v>0</v>
      </c>
      <c r="S114" s="3"/>
      <c r="T114" s="3">
        <v>9670.02</v>
      </c>
      <c r="U114" s="3"/>
      <c r="V114" s="20">
        <f t="shared" si="17"/>
        <v>1.0739901671461211E-3</v>
      </c>
      <c r="W114" s="3"/>
      <c r="X114" s="3">
        <f t="shared" si="18"/>
        <v>-9670.02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","5014"," - ","PURCHASES @ COST-REMAINDERS")</f>
        <v xml:space="preserve">          5014 - PURCHASES @ COST-REMAINDERS</v>
      </c>
      <c r="C115" s="12"/>
      <c r="D115" s="3"/>
      <c r="E115" s="3"/>
      <c r="F115" s="20">
        <f t="shared" si="12"/>
        <v>0</v>
      </c>
      <c r="G115" s="3"/>
      <c r="H115" s="3"/>
      <c r="I115" s="3"/>
      <c r="J115" s="20">
        <f t="shared" si="13"/>
        <v>0</v>
      </c>
      <c r="K115" s="3"/>
      <c r="L115" s="3">
        <f t="shared" si="14"/>
        <v>0</v>
      </c>
      <c r="M115" s="3"/>
      <c r="N115" s="20">
        <f t="shared" si="15"/>
        <v>0</v>
      </c>
      <c r="O115" s="12"/>
      <c r="P115" s="3"/>
      <c r="Q115" s="3"/>
      <c r="R115" s="20">
        <f t="shared" si="16"/>
        <v>0</v>
      </c>
      <c r="S115" s="3"/>
      <c r="T115" s="3">
        <v>111.57</v>
      </c>
      <c r="U115" s="3"/>
      <c r="V115" s="20">
        <f t="shared" si="17"/>
        <v>1.2391399702223234E-5</v>
      </c>
      <c r="W115" s="3"/>
      <c r="X115" s="3">
        <f t="shared" si="18"/>
        <v>-111.57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","5018"," - ","PURCHASES @ COST-STUDY GUIDES")</f>
        <v xml:space="preserve">          5018 - PURCHASES @ COST-STUDY GUIDES</v>
      </c>
      <c r="C116" s="12"/>
      <c r="D116" s="3"/>
      <c r="E116" s="3"/>
      <c r="F116" s="20">
        <f t="shared" si="12"/>
        <v>0</v>
      </c>
      <c r="G116" s="3"/>
      <c r="H116" s="3"/>
      <c r="I116" s="3"/>
      <c r="J116" s="20">
        <f t="shared" si="13"/>
        <v>0</v>
      </c>
      <c r="K116" s="3"/>
      <c r="L116" s="3">
        <f t="shared" si="14"/>
        <v>0</v>
      </c>
      <c r="M116" s="3"/>
      <c r="N116" s="20">
        <f t="shared" si="15"/>
        <v>0</v>
      </c>
      <c r="O116" s="12"/>
      <c r="P116" s="3"/>
      <c r="Q116" s="3"/>
      <c r="R116" s="20">
        <f t="shared" si="16"/>
        <v>0</v>
      </c>
      <c r="S116" s="3"/>
      <c r="T116" s="3">
        <v>967.21</v>
      </c>
      <c r="U116" s="3"/>
      <c r="V116" s="20">
        <f t="shared" si="17"/>
        <v>1.074221180065191E-4</v>
      </c>
      <c r="W116" s="3"/>
      <c r="X116" s="3">
        <f t="shared" si="18"/>
        <v>-967.21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","5025"," - ","PURCHASES @ COST-TEST FORMS")</f>
        <v xml:space="preserve">          5025 - PURCHASES @ COST-TEST FORMS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/>
      <c r="Q117" s="3"/>
      <c r="R117" s="20">
        <f t="shared" si="16"/>
        <v>0</v>
      </c>
      <c r="S117" s="3"/>
      <c r="T117" s="3">
        <v>599.29</v>
      </c>
      <c r="U117" s="3"/>
      <c r="V117" s="20">
        <f t="shared" si="17"/>
        <v>6.6559486667969539E-5</v>
      </c>
      <c r="W117" s="3"/>
      <c r="X117" s="3">
        <f t="shared" si="18"/>
        <v>-599.29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","5026"," - ","PURCHASES @ COST-WRITING INSTR")</f>
        <v xml:space="preserve">          5026 - PURCHASES @ COST-WRITING INSTR</v>
      </c>
      <c r="C118" s="12"/>
      <c r="D118" s="3"/>
      <c r="E118" s="3"/>
      <c r="F118" s="20">
        <f t="shared" si="12"/>
        <v>0</v>
      </c>
      <c r="G118" s="3"/>
      <c r="H118" s="3"/>
      <c r="I118" s="3"/>
      <c r="J118" s="20">
        <f t="shared" si="13"/>
        <v>0</v>
      </c>
      <c r="K118" s="3"/>
      <c r="L118" s="3">
        <f t="shared" si="14"/>
        <v>0</v>
      </c>
      <c r="M118" s="3"/>
      <c r="N118" s="20">
        <f t="shared" si="15"/>
        <v>0</v>
      </c>
      <c r="O118" s="12"/>
      <c r="P118" s="3">
        <v>0</v>
      </c>
      <c r="Q118" s="3"/>
      <c r="R118" s="20">
        <f t="shared" si="16"/>
        <v>0</v>
      </c>
      <c r="S118" s="3"/>
      <c r="T118" s="3">
        <v>584.54999999999995</v>
      </c>
      <c r="U118" s="3"/>
      <c r="V118" s="20">
        <f t="shared" si="17"/>
        <v>6.4922404731868706E-5</v>
      </c>
      <c r="W118" s="3"/>
      <c r="X118" s="3">
        <f t="shared" si="18"/>
        <v>-584.54999999999995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","5027"," - ","PURCHASES @ COST-SCHOOL SUPPLI")</f>
        <v xml:space="preserve">          5027 - PURCHASES @ COST-SCHOOL SUPPLI</v>
      </c>
      <c r="C119" s="12"/>
      <c r="D119" s="3"/>
      <c r="E119" s="3"/>
      <c r="F119" s="20">
        <f t="shared" si="12"/>
        <v>0</v>
      </c>
      <c r="G119" s="3"/>
      <c r="H119" s="3">
        <v>1838.72</v>
      </c>
      <c r="I119" s="3"/>
      <c r="J119" s="20">
        <f t="shared" si="13"/>
        <v>1.770259208205857E-3</v>
      </c>
      <c r="K119" s="3"/>
      <c r="L119" s="3">
        <f t="shared" si="14"/>
        <v>-1838.72</v>
      </c>
      <c r="M119" s="3"/>
      <c r="N119" s="20">
        <f t="shared" si="15"/>
        <v>-1</v>
      </c>
      <c r="O119" s="12"/>
      <c r="P119" s="3">
        <v>0</v>
      </c>
      <c r="Q119" s="3"/>
      <c r="R119" s="20">
        <f t="shared" si="16"/>
        <v>0</v>
      </c>
      <c r="S119" s="3"/>
      <c r="T119" s="3">
        <v>23734.6</v>
      </c>
      <c r="U119" s="3"/>
      <c r="V119" s="20">
        <f t="shared" si="17"/>
        <v>2.6360573216132254E-3</v>
      </c>
      <c r="W119" s="3"/>
      <c r="X119" s="3">
        <f t="shared" si="18"/>
        <v>-23734.6</v>
      </c>
      <c r="Y119" s="3"/>
      <c r="Z119" s="20">
        <f t="shared" si="19"/>
        <v>-1</v>
      </c>
    </row>
    <row r="120" spans="1:26" s="69" customFormat="1" ht="15" hidden="1" customHeight="1" outlineLevel="1" x14ac:dyDescent="0.3">
      <c r="A120" s="42"/>
      <c r="B120" s="12" t="str">
        <f>CONCATENATE("          ","5028"," - ","PURCHASES @ COST-ART/TECH")</f>
        <v xml:space="preserve">          5028 - PURCHASES @ COST-ART/TECH</v>
      </c>
      <c r="C120" s="12"/>
      <c r="D120" s="3"/>
      <c r="E120" s="3"/>
      <c r="F120" s="20">
        <f t="shared" si="12"/>
        <v>0</v>
      </c>
      <c r="G120" s="3"/>
      <c r="H120" s="3">
        <v>1371.26</v>
      </c>
      <c r="I120" s="3"/>
      <c r="J120" s="20">
        <f t="shared" si="13"/>
        <v>1.320204077752112E-3</v>
      </c>
      <c r="K120" s="3"/>
      <c r="L120" s="3">
        <f t="shared" si="14"/>
        <v>-1371.26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47006.62</v>
      </c>
      <c r="U120" s="3"/>
      <c r="V120" s="20">
        <f t="shared" si="17"/>
        <v>5.220738702792156E-3</v>
      </c>
      <c r="W120" s="3"/>
      <c r="X120" s="3">
        <f t="shared" si="18"/>
        <v>-47006.62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","5031"," - ","PURCHASES @ COST-FOOD")</f>
        <v xml:space="preserve">          5031 - PURCHASES @ COST-FOOD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>
        <v>0</v>
      </c>
      <c r="Q121" s="3"/>
      <c r="R121" s="20">
        <f t="shared" si="16"/>
        <v>0</v>
      </c>
      <c r="S121" s="3"/>
      <c r="T121" s="3">
        <v>7785.72</v>
      </c>
      <c r="U121" s="3"/>
      <c r="V121" s="20">
        <f t="shared" si="17"/>
        <v>8.6471245397143934E-4</v>
      </c>
      <c r="W121" s="3"/>
      <c r="X121" s="3">
        <f t="shared" si="18"/>
        <v>-7785.72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","5040"," - ","PURCHASES @ COST-LOGO CLOTHING")</f>
        <v xml:space="preserve">          5040 - PURCHASES @ COST-LOGO CLOTHING</v>
      </c>
      <c r="C122" s="12"/>
      <c r="D122" s="3"/>
      <c r="E122" s="3"/>
      <c r="F122" s="20">
        <f t="shared" si="12"/>
        <v>0</v>
      </c>
      <c r="G122" s="3"/>
      <c r="H122" s="3">
        <v>39218.65</v>
      </c>
      <c r="I122" s="3"/>
      <c r="J122" s="20">
        <f t="shared" si="13"/>
        <v>3.7758427762738557E-2</v>
      </c>
      <c r="K122" s="3"/>
      <c r="L122" s="3">
        <f t="shared" si="14"/>
        <v>-39218.65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279090.25</v>
      </c>
      <c r="U122" s="3"/>
      <c r="V122" s="20">
        <f t="shared" si="17"/>
        <v>3.0996852565594767E-2</v>
      </c>
      <c r="W122" s="3"/>
      <c r="X122" s="3">
        <f t="shared" si="18"/>
        <v>-279090.25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","5041"," - ","PURCHASES @ COST-LOGO GIFTS")</f>
        <v xml:space="preserve">          5041 - PURCHASES @ COST-LOGO GIFTS</v>
      </c>
      <c r="C123" s="12"/>
      <c r="D123" s="3"/>
      <c r="E123" s="3"/>
      <c r="F123" s="20">
        <f t="shared" si="12"/>
        <v>0</v>
      </c>
      <c r="G123" s="3"/>
      <c r="H123" s="3">
        <v>15798.51</v>
      </c>
      <c r="I123" s="3"/>
      <c r="J123" s="20">
        <f t="shared" si="13"/>
        <v>1.5210286396750084E-2</v>
      </c>
      <c r="K123" s="3"/>
      <c r="L123" s="3">
        <f t="shared" si="14"/>
        <v>-15798.51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84261.95</v>
      </c>
      <c r="U123" s="3"/>
      <c r="V123" s="20">
        <f t="shared" si="17"/>
        <v>9.3584610750089541E-3</v>
      </c>
      <c r="W123" s="3"/>
      <c r="X123" s="3">
        <f t="shared" si="18"/>
        <v>-84261.95</v>
      </c>
      <c r="Y123" s="3"/>
      <c r="Z123" s="20">
        <f t="shared" si="19"/>
        <v>-1</v>
      </c>
    </row>
    <row r="124" spans="1:26" s="69" customFormat="1" ht="15" hidden="1" customHeight="1" outlineLevel="1" x14ac:dyDescent="0.3">
      <c r="A124" s="42"/>
      <c r="B124" s="12" t="str">
        <f>CONCATENATE("          ","5042"," - ","PURCHASES @ COST-EVERYDAY GIFT")</f>
        <v xml:space="preserve">          5042 - PURCHASES @ COST-EVERYDAY GIFT</v>
      </c>
      <c r="C124" s="12"/>
      <c r="D124" s="3"/>
      <c r="E124" s="3"/>
      <c r="F124" s="20">
        <f t="shared" si="12"/>
        <v>0</v>
      </c>
      <c r="G124" s="3"/>
      <c r="H124" s="3"/>
      <c r="I124" s="3"/>
      <c r="J124" s="20">
        <f t="shared" si="13"/>
        <v>0</v>
      </c>
      <c r="K124" s="3"/>
      <c r="L124" s="3">
        <f t="shared" si="14"/>
        <v>0</v>
      </c>
      <c r="M124" s="3"/>
      <c r="N124" s="20">
        <f t="shared" si="15"/>
        <v>0</v>
      </c>
      <c r="O124" s="12"/>
      <c r="P124" s="3">
        <v>0</v>
      </c>
      <c r="Q124" s="3"/>
      <c r="R124" s="20">
        <f t="shared" si="16"/>
        <v>0</v>
      </c>
      <c r="S124" s="3"/>
      <c r="T124" s="3">
        <v>18748.18</v>
      </c>
      <c r="U124" s="3"/>
      <c r="V124" s="20">
        <f t="shared" si="17"/>
        <v>2.0822460524265269E-3</v>
      </c>
      <c r="W124" s="3"/>
      <c r="X124" s="3">
        <f t="shared" si="18"/>
        <v>-18748.18</v>
      </c>
      <c r="Y124" s="3"/>
      <c r="Z124" s="20">
        <f t="shared" si="19"/>
        <v>-1</v>
      </c>
    </row>
    <row r="125" spans="1:26" s="69" customFormat="1" ht="15" hidden="1" customHeight="1" outlineLevel="1" x14ac:dyDescent="0.3">
      <c r="A125" s="42"/>
      <c r="B125" s="12" t="str">
        <f>CONCATENATE("          ","5043"," - ","PURCHASES @ COST-CARDS")</f>
        <v xml:space="preserve">          5043 - PURCHASES @ COST-CARDS</v>
      </c>
      <c r="C125" s="12"/>
      <c r="D125" s="3"/>
      <c r="E125" s="3"/>
      <c r="F125" s="20">
        <f t="shared" si="12"/>
        <v>0</v>
      </c>
      <c r="G125" s="3"/>
      <c r="H125" s="3">
        <v>41</v>
      </c>
      <c r="I125" s="3"/>
      <c r="J125" s="20">
        <f t="shared" si="13"/>
        <v>3.9473453019731191E-5</v>
      </c>
      <c r="K125" s="3"/>
      <c r="L125" s="3">
        <f t="shared" si="14"/>
        <v>-41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55405.33</v>
      </c>
      <c r="U125" s="3"/>
      <c r="V125" s="20">
        <f t="shared" si="17"/>
        <v>6.1535322189081301E-3</v>
      </c>
      <c r="W125" s="3"/>
      <c r="X125" s="3">
        <f t="shared" si="18"/>
        <v>-55405.33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","5044"," - ","PURCHASES @ COST-ACCESSORIES")</f>
        <v xml:space="preserve">          5044 - PURCHASES @ COST-ACCESSORIES</v>
      </c>
      <c r="C126" s="12"/>
      <c r="D126" s="3"/>
      <c r="E126" s="3"/>
      <c r="F126" s="20">
        <f t="shared" si="12"/>
        <v>0</v>
      </c>
      <c r="G126" s="3"/>
      <c r="H126" s="3">
        <v>1490.88</v>
      </c>
      <c r="I126" s="3"/>
      <c r="J126" s="20">
        <f t="shared" si="13"/>
        <v>1.435370283855045E-3</v>
      </c>
      <c r="K126" s="3"/>
      <c r="L126" s="3">
        <f t="shared" si="14"/>
        <v>-1490.88</v>
      </c>
      <c r="M126" s="3"/>
      <c r="N126" s="20">
        <f t="shared" si="15"/>
        <v>-1</v>
      </c>
      <c r="O126" s="12"/>
      <c r="P126" s="3">
        <v>0</v>
      </c>
      <c r="Q126" s="3"/>
      <c r="R126" s="20">
        <f t="shared" si="16"/>
        <v>0</v>
      </c>
      <c r="S126" s="3"/>
      <c r="T126" s="3">
        <v>2555.71</v>
      </c>
      <c r="U126" s="3"/>
      <c r="V126" s="20">
        <f t="shared" si="17"/>
        <v>2.838471285557851E-4</v>
      </c>
      <c r="W126" s="3"/>
      <c r="X126" s="3">
        <f t="shared" si="18"/>
        <v>-2555.71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","5045"," - ","PURCHASES @ COST-SPECIAL ORDER")</f>
        <v xml:space="preserve">          5045 - PURCHASES @ COST-SPECIAL ORDER</v>
      </c>
      <c r="C127" s="12"/>
      <c r="D127" s="3"/>
      <c r="E127" s="3"/>
      <c r="F127" s="20">
        <f t="shared" si="12"/>
        <v>0</v>
      </c>
      <c r="G127" s="3"/>
      <c r="H127" s="3">
        <v>5771.38</v>
      </c>
      <c r="I127" s="3"/>
      <c r="J127" s="20">
        <f t="shared" si="13"/>
        <v>5.5564950558296636E-3</v>
      </c>
      <c r="K127" s="3"/>
      <c r="L127" s="3">
        <f t="shared" si="14"/>
        <v>-5771.38</v>
      </c>
      <c r="M127" s="3"/>
      <c r="N127" s="20">
        <f t="shared" si="15"/>
        <v>-1</v>
      </c>
      <c r="O127" s="12"/>
      <c r="P127" s="3">
        <v>0</v>
      </c>
      <c r="Q127" s="3"/>
      <c r="R127" s="20">
        <f t="shared" si="16"/>
        <v>0</v>
      </c>
      <c r="S127" s="3"/>
      <c r="T127" s="3">
        <v>114998.07</v>
      </c>
      <c r="U127" s="3"/>
      <c r="V127" s="20">
        <f t="shared" si="17"/>
        <v>1.2772134537548148E-2</v>
      </c>
      <c r="W127" s="3"/>
      <c r="X127" s="3">
        <f t="shared" si="18"/>
        <v>-114998.07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","5053"," - ","PURCHASES @ COST-FOOD")</f>
        <v xml:space="preserve">          5053 - PURCHASES @ COST-FOOD</v>
      </c>
      <c r="C128" s="12"/>
      <c r="D128" s="3">
        <v>423768.13</v>
      </c>
      <c r="E128" s="3"/>
      <c r="F128" s="20">
        <f t="shared" si="12"/>
        <v>0.12668190423594983</v>
      </c>
      <c r="G128" s="3"/>
      <c r="H128" s="3">
        <v>50330.63</v>
      </c>
      <c r="I128" s="3"/>
      <c r="J128" s="20">
        <f t="shared" si="13"/>
        <v>4.8456677042889591E-2</v>
      </c>
      <c r="K128" s="3"/>
      <c r="L128" s="3">
        <f t="shared" si="14"/>
        <v>373437.5</v>
      </c>
      <c r="M128" s="3"/>
      <c r="N128" s="20">
        <f t="shared" si="15"/>
        <v>7.4196865805176691</v>
      </c>
      <c r="O128" s="12"/>
      <c r="P128" s="3">
        <v>3106469.82</v>
      </c>
      <c r="Q128" s="3"/>
      <c r="R128" s="20">
        <f t="shared" si="16"/>
        <v>0.14210893867558796</v>
      </c>
      <c r="S128" s="3"/>
      <c r="T128" s="3">
        <v>425336.02</v>
      </c>
      <c r="U128" s="3"/>
      <c r="V128" s="20">
        <f t="shared" si="17"/>
        <v>4.7239478637382953E-2</v>
      </c>
      <c r="W128" s="3"/>
      <c r="X128" s="3">
        <f t="shared" si="18"/>
        <v>2681133.7999999998</v>
      </c>
      <c r="Y128" s="3"/>
      <c r="Z128" s="20">
        <f t="shared" si="19"/>
        <v>6.3035662956549032</v>
      </c>
    </row>
    <row r="129" spans="1:26" s="69" customFormat="1" ht="15" hidden="1" customHeight="1" outlineLevel="1" x14ac:dyDescent="0.3">
      <c r="A129" s="42"/>
      <c r="B129" s="12" t="str">
        <f>CONCATENATE("          ","5059"," - ","PURCHASES @ COST-FOOD")</f>
        <v xml:space="preserve">          5059 - PURCHASES @ COST-FOOD</v>
      </c>
      <c r="C129" s="12"/>
      <c r="D129" s="3">
        <v>69307.149999999994</v>
      </c>
      <c r="E129" s="3"/>
      <c r="F129" s="20">
        <f t="shared" si="12"/>
        <v>2.0718787274462119E-2</v>
      </c>
      <c r="G129" s="3"/>
      <c r="H129" s="3">
        <v>653.01</v>
      </c>
      <c r="I129" s="3"/>
      <c r="J129" s="20">
        <f t="shared" si="13"/>
        <v>6.2869657454669916E-4</v>
      </c>
      <c r="K129" s="3"/>
      <c r="L129" s="3">
        <f t="shared" si="14"/>
        <v>68654.14</v>
      </c>
      <c r="M129" s="3"/>
      <c r="N129" s="20">
        <f t="shared" si="15"/>
        <v>105.13489839359275</v>
      </c>
      <c r="O129" s="12"/>
      <c r="P129" s="3">
        <v>193498.12</v>
      </c>
      <c r="Q129" s="3"/>
      <c r="R129" s="20">
        <f t="shared" si="16"/>
        <v>8.8517880624127739E-3</v>
      </c>
      <c r="S129" s="3"/>
      <c r="T129" s="3">
        <v>32494.3</v>
      </c>
      <c r="U129" s="3"/>
      <c r="V129" s="20">
        <f t="shared" si="17"/>
        <v>3.6089437962171949E-3</v>
      </c>
      <c r="W129" s="3"/>
      <c r="X129" s="3">
        <f t="shared" si="18"/>
        <v>161003.82</v>
      </c>
      <c r="Y129" s="3"/>
      <c r="Z129" s="20">
        <f t="shared" si="19"/>
        <v>4.9548326937339784</v>
      </c>
    </row>
    <row r="130" spans="1:26" s="69" customFormat="1" ht="15" hidden="1" customHeight="1" outlineLevel="1" x14ac:dyDescent="0.3">
      <c r="A130" s="42"/>
      <c r="B130" s="12" t="str">
        <f>CONCATENATE("          ","5081"," - ","PURCHASES @ COST-ELECTRONICS")</f>
        <v xml:space="preserve">          5081 - PURCHASES @ COST-ELECTRONICS</v>
      </c>
      <c r="C130" s="12"/>
      <c r="D130" s="3"/>
      <c r="E130" s="3"/>
      <c r="F130" s="20">
        <f t="shared" si="12"/>
        <v>0</v>
      </c>
      <c r="G130" s="3"/>
      <c r="H130" s="3">
        <v>-19.5</v>
      </c>
      <c r="I130" s="3"/>
      <c r="J130" s="20">
        <f t="shared" si="13"/>
        <v>-1.8773959363042883E-5</v>
      </c>
      <c r="K130" s="3"/>
      <c r="L130" s="3">
        <f t="shared" si="14"/>
        <v>19.5</v>
      </c>
      <c r="M130" s="3"/>
      <c r="N130" s="20">
        <f t="shared" si="15"/>
        <v>-1</v>
      </c>
      <c r="O130" s="12"/>
      <c r="P130" s="3">
        <v>0</v>
      </c>
      <c r="Q130" s="3"/>
      <c r="R130" s="20">
        <f t="shared" si="16"/>
        <v>0</v>
      </c>
      <c r="S130" s="3"/>
      <c r="T130" s="3">
        <v>32448.37</v>
      </c>
      <c r="U130" s="3"/>
      <c r="V130" s="20">
        <f t="shared" si="17"/>
        <v>3.6038426311340802E-3</v>
      </c>
      <c r="W130" s="3"/>
      <c r="X130" s="3">
        <f t="shared" si="18"/>
        <v>-32448.37</v>
      </c>
      <c r="Y130" s="3"/>
      <c r="Z130" s="20">
        <f t="shared" si="19"/>
        <v>-1</v>
      </c>
    </row>
    <row r="131" spans="1:26" s="69" customFormat="1" ht="15" hidden="1" customHeight="1" outlineLevel="1" x14ac:dyDescent="0.3">
      <c r="A131" s="42"/>
      <c r="B131" s="12" t="str">
        <f>CONCATENATE("          ","5082"," - ","PURCHASES @ COST-COMPUTER HARD")</f>
        <v xml:space="preserve">          5082 - PURCHASES @ COST-COMPUTER HARD</v>
      </c>
      <c r="C131" s="12"/>
      <c r="D131" s="3"/>
      <c r="E131" s="3"/>
      <c r="F131" s="20">
        <f t="shared" si="12"/>
        <v>0</v>
      </c>
      <c r="G131" s="3"/>
      <c r="H131" s="3">
        <v>277047.03999999998</v>
      </c>
      <c r="I131" s="3"/>
      <c r="J131" s="20">
        <f t="shared" si="13"/>
        <v>0.26673178823647775</v>
      </c>
      <c r="K131" s="3"/>
      <c r="L131" s="3">
        <f t="shared" si="14"/>
        <v>-277047.03999999998</v>
      </c>
      <c r="M131" s="3"/>
      <c r="N131" s="20">
        <f t="shared" si="15"/>
        <v>-1</v>
      </c>
      <c r="O131" s="12"/>
      <c r="P131" s="3">
        <v>-110193.26</v>
      </c>
      <c r="Q131" s="3"/>
      <c r="R131" s="20">
        <f t="shared" si="16"/>
        <v>-5.0409140069492516E-3</v>
      </c>
      <c r="S131" s="3"/>
      <c r="T131" s="3">
        <v>1673340.8</v>
      </c>
      <c r="U131" s="3"/>
      <c r="V131" s="20">
        <f t="shared" si="17"/>
        <v>0.18584776096475747</v>
      </c>
      <c r="W131" s="3"/>
      <c r="X131" s="3">
        <f t="shared" si="18"/>
        <v>-1783534.06</v>
      </c>
      <c r="Y131" s="3"/>
      <c r="Z131" s="20">
        <f t="shared" si="19"/>
        <v>-1.065852251974015</v>
      </c>
    </row>
    <row r="132" spans="1:26" s="69" customFormat="1" ht="15" hidden="1" customHeight="1" outlineLevel="1" x14ac:dyDescent="0.3">
      <c r="A132" s="42"/>
      <c r="B132" s="12" t="str">
        <f>CONCATENATE("          ","5083"," - ","PURCHASES @ COST-COMPUTER EQUI")</f>
        <v xml:space="preserve">          5083 - PURCHASES @ COST-COMPUTER EQUI</v>
      </c>
      <c r="C132" s="12"/>
      <c r="D132" s="3"/>
      <c r="E132" s="3"/>
      <c r="F132" s="20">
        <f t="shared" si="12"/>
        <v>0</v>
      </c>
      <c r="G132" s="3"/>
      <c r="H132" s="3">
        <v>14312.16</v>
      </c>
      <c r="I132" s="3"/>
      <c r="J132" s="20">
        <f t="shared" si="13"/>
        <v>1.3779277448070145E-2</v>
      </c>
      <c r="K132" s="3"/>
      <c r="L132" s="3">
        <f t="shared" si="14"/>
        <v>-14312.16</v>
      </c>
      <c r="M132" s="3"/>
      <c r="N132" s="20">
        <f t="shared" si="15"/>
        <v>-1</v>
      </c>
      <c r="O132" s="12"/>
      <c r="P132" s="3">
        <v>0</v>
      </c>
      <c r="Q132" s="3"/>
      <c r="R132" s="20">
        <f t="shared" si="16"/>
        <v>0</v>
      </c>
      <c r="S132" s="3"/>
      <c r="T132" s="3">
        <v>119515.49</v>
      </c>
      <c r="U132" s="3"/>
      <c r="V132" s="20">
        <f t="shared" si="17"/>
        <v>1.3273856836040729E-2</v>
      </c>
      <c r="W132" s="3"/>
      <c r="X132" s="3">
        <f t="shared" si="18"/>
        <v>-119515.49</v>
      </c>
      <c r="Y132" s="3"/>
      <c r="Z132" s="20">
        <f t="shared" si="19"/>
        <v>-1</v>
      </c>
    </row>
    <row r="133" spans="1:26" s="69" customFormat="1" ht="15" hidden="1" customHeight="1" outlineLevel="1" x14ac:dyDescent="0.3">
      <c r="A133" s="42"/>
      <c r="B133" s="12" t="str">
        <f>CONCATENATE("          ","5085"," - ","PURCHASES @ COST-SOFTWARE")</f>
        <v xml:space="preserve">          5085 - PURCHASES @ COST-SOFTWARE</v>
      </c>
      <c r="C133" s="12"/>
      <c r="D133" s="3"/>
      <c r="E133" s="3"/>
      <c r="F133" s="20">
        <f t="shared" si="12"/>
        <v>0</v>
      </c>
      <c r="G133" s="3"/>
      <c r="H133" s="3">
        <v>4012.17</v>
      </c>
      <c r="I133" s="3"/>
      <c r="J133" s="20">
        <f t="shared" si="13"/>
        <v>3.8627854634676801E-3</v>
      </c>
      <c r="K133" s="3"/>
      <c r="L133" s="3">
        <f t="shared" si="14"/>
        <v>-4012.17</v>
      </c>
      <c r="M133" s="3"/>
      <c r="N133" s="20">
        <f t="shared" si="15"/>
        <v>-1</v>
      </c>
      <c r="O133" s="12"/>
      <c r="P133" s="3">
        <v>0</v>
      </c>
      <c r="Q133" s="3"/>
      <c r="R133" s="20">
        <f t="shared" si="16"/>
        <v>0</v>
      </c>
      <c r="S133" s="3"/>
      <c r="T133" s="3">
        <v>37910.879999999997</v>
      </c>
      <c r="U133" s="3"/>
      <c r="V133" s="20">
        <f t="shared" si="17"/>
        <v>4.210530314089995E-3</v>
      </c>
      <c r="W133" s="3"/>
      <c r="X133" s="3">
        <f t="shared" si="18"/>
        <v>-37910.879999999997</v>
      </c>
      <c r="Y133" s="3"/>
      <c r="Z133" s="20">
        <f t="shared" si="19"/>
        <v>-1</v>
      </c>
    </row>
    <row r="134" spans="1:26" s="69" customFormat="1" ht="15" hidden="1" customHeight="1" outlineLevel="1" x14ac:dyDescent="0.3">
      <c r="A134" s="42"/>
      <c r="B134" s="12" t="str">
        <f>CONCATENATE("          ","5086"," - ","PURCHASES @ COST-COMPUTER SUPP")</f>
        <v xml:space="preserve">          5086 - PURCHASES @ COST-COMPUTER SUPP</v>
      </c>
      <c r="C134" s="12"/>
      <c r="D134" s="3"/>
      <c r="E134" s="3"/>
      <c r="F134" s="20">
        <f t="shared" si="12"/>
        <v>0</v>
      </c>
      <c r="G134" s="3"/>
      <c r="H134" s="3">
        <v>28.4</v>
      </c>
      <c r="I134" s="3"/>
      <c r="J134" s="20">
        <f t="shared" si="13"/>
        <v>2.7342586969765019E-5</v>
      </c>
      <c r="K134" s="3"/>
      <c r="L134" s="3">
        <f t="shared" si="14"/>
        <v>-28.4</v>
      </c>
      <c r="M134" s="3"/>
      <c r="N134" s="20">
        <f t="shared" si="15"/>
        <v>-1</v>
      </c>
      <c r="O134" s="12"/>
      <c r="P134" s="3">
        <v>0</v>
      </c>
      <c r="Q134" s="3"/>
      <c r="R134" s="20">
        <f t="shared" si="16"/>
        <v>0</v>
      </c>
      <c r="S134" s="3"/>
      <c r="T134" s="3">
        <v>23692.6</v>
      </c>
      <c r="U134" s="3"/>
      <c r="V134" s="20">
        <f t="shared" si="17"/>
        <v>2.6313926376704687E-3</v>
      </c>
      <c r="W134" s="3"/>
      <c r="X134" s="3">
        <f t="shared" si="18"/>
        <v>-23692.6</v>
      </c>
      <c r="Y134" s="3"/>
      <c r="Z134" s="20">
        <f t="shared" si="19"/>
        <v>-1</v>
      </c>
    </row>
    <row r="135" spans="1:26" s="69" customFormat="1" ht="15" hidden="1" customHeight="1" outlineLevel="1" x14ac:dyDescent="0.3">
      <c r="A135" s="42"/>
      <c r="B135" s="12" t="str">
        <f>CONCATENATE("          ","5092"," - ","PURCHASES @ COST-GRAD MERCH")</f>
        <v xml:space="preserve">          5092 - PURCHASES @ COST-GRAD MERCH</v>
      </c>
      <c r="C135" s="12"/>
      <c r="D135" s="3"/>
      <c r="E135" s="3"/>
      <c r="F135" s="20">
        <f t="shared" si="12"/>
        <v>0</v>
      </c>
      <c r="G135" s="3"/>
      <c r="H135" s="3"/>
      <c r="I135" s="3"/>
      <c r="J135" s="20">
        <f t="shared" si="13"/>
        <v>0</v>
      </c>
      <c r="K135" s="3"/>
      <c r="L135" s="3">
        <f t="shared" si="14"/>
        <v>0</v>
      </c>
      <c r="M135" s="3"/>
      <c r="N135" s="20">
        <f t="shared" si="15"/>
        <v>0</v>
      </c>
      <c r="O135" s="12"/>
      <c r="P135" s="3"/>
      <c r="Q135" s="3"/>
      <c r="R135" s="20">
        <f t="shared" si="16"/>
        <v>0</v>
      </c>
      <c r="S135" s="3"/>
      <c r="T135" s="3">
        <v>0</v>
      </c>
      <c r="U135" s="3"/>
      <c r="V135" s="20">
        <f t="shared" si="17"/>
        <v>0</v>
      </c>
      <c r="W135" s="3"/>
      <c r="X135" s="3">
        <f t="shared" si="18"/>
        <v>0</v>
      </c>
      <c r="Y135" s="3"/>
      <c r="Z135" s="20">
        <f t="shared" si="19"/>
        <v>0</v>
      </c>
    </row>
    <row r="136" spans="1:26" s="69" customFormat="1" ht="15" hidden="1" customHeight="1" outlineLevel="1" x14ac:dyDescent="0.3">
      <c r="A136" s="42"/>
      <c r="B136" s="12" t="str">
        <f>CONCATENATE("          ","5200"," - ","PURCHASES OFFSET")</f>
        <v xml:space="preserve">          5200 - PURCHASES OFFSET</v>
      </c>
      <c r="C136" s="12"/>
      <c r="D136" s="3">
        <v>-422991.04</v>
      </c>
      <c r="E136" s="3"/>
      <c r="F136" s="20">
        <f t="shared" si="12"/>
        <v>-0.12644959974206843</v>
      </c>
      <c r="G136" s="3"/>
      <c r="H136" s="3">
        <v>-216816.48</v>
      </c>
      <c r="I136" s="3"/>
      <c r="J136" s="20">
        <f t="shared" si="13"/>
        <v>-0.20874378383374359</v>
      </c>
      <c r="K136" s="3"/>
      <c r="L136" s="3">
        <f t="shared" si="14"/>
        <v>-206174.55999999997</v>
      </c>
      <c r="M136" s="3"/>
      <c r="N136" s="20">
        <f t="shared" si="15"/>
        <v>0.9509173841398032</v>
      </c>
      <c r="O136" s="12"/>
      <c r="P136" s="3">
        <v>-5326326.78</v>
      </c>
      <c r="Q136" s="3"/>
      <c r="R136" s="20">
        <f t="shared" si="16"/>
        <v>-0.24365877977374392</v>
      </c>
      <c r="S136" s="3"/>
      <c r="T136" s="3">
        <v>-3568766.21</v>
      </c>
      <c r="U136" s="3"/>
      <c r="V136" s="20">
        <f t="shared" si="17"/>
        <v>-0.39636110560095317</v>
      </c>
      <c r="W136" s="3"/>
      <c r="X136" s="3">
        <f t="shared" si="18"/>
        <v>-1757560.5700000003</v>
      </c>
      <c r="Y136" s="3"/>
      <c r="Z136" s="20">
        <f t="shared" si="19"/>
        <v>0.49248408737875837</v>
      </c>
    </row>
    <row r="137" spans="1:26" s="69" customFormat="1" ht="15" hidden="1" customHeight="1" outlineLevel="1" x14ac:dyDescent="0.3">
      <c r="A137" s="42"/>
      <c r="B137" s="12" t="str">
        <f>CONCATENATE("          ","5300"," - ","COG$ OFFSET")</f>
        <v xml:space="preserve">          5300 - COG$ OFFSET</v>
      </c>
      <c r="C137" s="12"/>
      <c r="D137" s="3">
        <v>694429.14</v>
      </c>
      <c r="E137" s="3"/>
      <c r="F137" s="20">
        <f t="shared" si="12"/>
        <v>0.20759372775893503</v>
      </c>
      <c r="G137" s="3"/>
      <c r="H137" s="3">
        <v>592301</v>
      </c>
      <c r="I137" s="3"/>
      <c r="J137" s="20">
        <f t="shared" si="13"/>
        <v>0.57024794383023913</v>
      </c>
      <c r="K137" s="3"/>
      <c r="L137" s="3">
        <f t="shared" si="14"/>
        <v>102128.14000000001</v>
      </c>
      <c r="M137" s="3"/>
      <c r="N137" s="20">
        <f t="shared" si="15"/>
        <v>0.17242608065831397</v>
      </c>
      <c r="O137" s="12"/>
      <c r="P137" s="3">
        <v>5278808.82</v>
      </c>
      <c r="Q137" s="3"/>
      <c r="R137" s="20">
        <f t="shared" si="16"/>
        <v>0.24148501751146351</v>
      </c>
      <c r="S137" s="3"/>
      <c r="T137" s="3">
        <v>4630385</v>
      </c>
      <c r="U137" s="3"/>
      <c r="V137" s="20">
        <f t="shared" si="17"/>
        <v>0.51426863234004605</v>
      </c>
      <c r="W137" s="3"/>
      <c r="X137" s="3">
        <f t="shared" si="18"/>
        <v>648423.8200000003</v>
      </c>
      <c r="Y137" s="3"/>
      <c r="Z137" s="20">
        <f t="shared" si="19"/>
        <v>0.14003669673256117</v>
      </c>
    </row>
    <row r="138" spans="1:26" s="69" customFormat="1" ht="15" hidden="1" customHeight="1" outlineLevel="1" x14ac:dyDescent="0.3">
      <c r="A138" s="42"/>
      <c r="B138" s="12" t="str">
        <f>CONCATENATE("          ","5500"," - ","FREIGHT-IN")</f>
        <v xml:space="preserve">          5500 - FREIGHT-IN</v>
      </c>
      <c r="C138" s="12"/>
      <c r="D138" s="3">
        <v>35189.35</v>
      </c>
      <c r="E138" s="3"/>
      <c r="F138" s="20">
        <f t="shared" si="12"/>
        <v>1.0519559049486144E-2</v>
      </c>
      <c r="G138" s="3"/>
      <c r="H138" s="3"/>
      <c r="I138" s="3"/>
      <c r="J138" s="20">
        <f t="shared" si="13"/>
        <v>0</v>
      </c>
      <c r="K138" s="3"/>
      <c r="L138" s="3">
        <f t="shared" si="14"/>
        <v>35189.35</v>
      </c>
      <c r="M138" s="3"/>
      <c r="N138" s="20">
        <f t="shared" si="15"/>
        <v>0</v>
      </c>
      <c r="O138" s="12"/>
      <c r="P138" s="3">
        <v>183477.31</v>
      </c>
      <c r="Q138" s="3"/>
      <c r="R138" s="20">
        <f t="shared" si="16"/>
        <v>8.3933748936765272E-3</v>
      </c>
      <c r="S138" s="3"/>
      <c r="T138" s="3">
        <v>0</v>
      </c>
      <c r="U138" s="3"/>
      <c r="V138" s="20">
        <f t="shared" si="17"/>
        <v>0</v>
      </c>
      <c r="W138" s="3"/>
      <c r="X138" s="3">
        <f t="shared" si="18"/>
        <v>183477.31</v>
      </c>
      <c r="Y138" s="3"/>
      <c r="Z138" s="20">
        <f t="shared" si="19"/>
        <v>0</v>
      </c>
    </row>
    <row r="139" spans="1:26" s="69" customFormat="1" ht="15" hidden="1" customHeight="1" outlineLevel="1" x14ac:dyDescent="0.3">
      <c r="A139" s="42"/>
      <c r="B139" s="12" t="str">
        <f>CONCATENATE("          ","5501"," - ","FREIGHT-IN-NEW TEXT")</f>
        <v xml:space="preserve">          5501 - FREIGHT-IN-NEW TEXT</v>
      </c>
      <c r="C139" s="12"/>
      <c r="D139" s="3"/>
      <c r="E139" s="3"/>
      <c r="F139" s="20">
        <f t="shared" ref="F139:F159" si="20">IF(D$12=0,0,D139/D$12)</f>
        <v>0</v>
      </c>
      <c r="G139" s="3"/>
      <c r="H139" s="3">
        <v>271.27</v>
      </c>
      <c r="I139" s="3"/>
      <c r="J139" s="20">
        <f t="shared" ref="J139:J159" si="21">IF(H$12=0,0,H139/H$12)</f>
        <v>2.6116984391859707E-4</v>
      </c>
      <c r="K139" s="3"/>
      <c r="L139" s="3">
        <f t="shared" ref="L139:L159" si="22">+D139-H139</f>
        <v>-271.27</v>
      </c>
      <c r="M139" s="3"/>
      <c r="N139" s="20">
        <f t="shared" ref="N139:N159" si="23">IF(H139=0,0,L139/H139)</f>
        <v>-1</v>
      </c>
      <c r="O139" s="12"/>
      <c r="P139" s="3">
        <v>0</v>
      </c>
      <c r="Q139" s="3"/>
      <c r="R139" s="20">
        <f t="shared" ref="R139:R159" si="24">IF(P$12=0,0,P139/P$12)</f>
        <v>0</v>
      </c>
      <c r="S139" s="3"/>
      <c r="T139" s="3">
        <v>50313.73</v>
      </c>
      <c r="U139" s="3"/>
      <c r="V139" s="20">
        <f t="shared" ref="V139:V159" si="25">IF(T$12=0,0,T139/T$12)</f>
        <v>5.5880392483619278E-3</v>
      </c>
      <c r="W139" s="3"/>
      <c r="X139" s="3">
        <f t="shared" ref="X139:X159" si="26">+P139-T139</f>
        <v>-50313.73</v>
      </c>
      <c r="Y139" s="3"/>
      <c r="Z139" s="20">
        <f t="shared" ref="Z139:Z159" si="27">IF(T139=0,0,X139/T139)</f>
        <v>-1</v>
      </c>
    </row>
    <row r="140" spans="1:26" s="69" customFormat="1" ht="15" hidden="1" customHeight="1" outlineLevel="1" x14ac:dyDescent="0.3">
      <c r="A140" s="42"/>
      <c r="B140" s="12" t="str">
        <f>CONCATENATE("          ","5502"," - ","FREIGHT-IN-USED TEXT")</f>
        <v xml:space="preserve">          5502 - FREIGHT-IN-USED TEXT</v>
      </c>
      <c r="C140" s="12"/>
      <c r="D140" s="3"/>
      <c r="E140" s="3"/>
      <c r="F140" s="20">
        <f t="shared" si="20"/>
        <v>0</v>
      </c>
      <c r="G140" s="3"/>
      <c r="H140" s="3">
        <v>58.77</v>
      </c>
      <c r="I140" s="3"/>
      <c r="J140" s="20">
        <f t="shared" si="21"/>
        <v>5.6581825218770785E-5</v>
      </c>
      <c r="K140" s="3"/>
      <c r="L140" s="3">
        <f t="shared" si="22"/>
        <v>-58.77</v>
      </c>
      <c r="M140" s="3"/>
      <c r="N140" s="20">
        <f t="shared" si="23"/>
        <v>-1</v>
      </c>
      <c r="O140" s="12"/>
      <c r="P140" s="3">
        <v>0</v>
      </c>
      <c r="Q140" s="3"/>
      <c r="R140" s="20">
        <f t="shared" si="24"/>
        <v>0</v>
      </c>
      <c r="S140" s="3"/>
      <c r="T140" s="3">
        <v>17858.900000000001</v>
      </c>
      <c r="U140" s="3"/>
      <c r="V140" s="20">
        <f t="shared" si="25"/>
        <v>1.9834791444118898E-3</v>
      </c>
      <c r="W140" s="3"/>
      <c r="X140" s="3">
        <f t="shared" si="26"/>
        <v>-17858.900000000001</v>
      </c>
      <c r="Y140" s="3"/>
      <c r="Z140" s="20">
        <f t="shared" si="27"/>
        <v>-1</v>
      </c>
    </row>
    <row r="141" spans="1:26" s="69" customFormat="1" ht="15" hidden="1" customHeight="1" outlineLevel="1" x14ac:dyDescent="0.3">
      <c r="A141" s="42"/>
      <c r="B141" s="12" t="str">
        <f>CONCATENATE("          ","5504"," - ","FREIGHT-IN-DIGITAL TEXT")</f>
        <v xml:space="preserve">          5504 - FREIGHT-IN-DIGITAL TEXT</v>
      </c>
      <c r="C141" s="12"/>
      <c r="D141" s="3"/>
      <c r="E141" s="3"/>
      <c r="F141" s="20">
        <f t="shared" si="20"/>
        <v>0</v>
      </c>
      <c r="G141" s="3"/>
      <c r="H141" s="3"/>
      <c r="I141" s="3"/>
      <c r="J141" s="20">
        <f t="shared" si="21"/>
        <v>0</v>
      </c>
      <c r="K141" s="3"/>
      <c r="L141" s="3">
        <f t="shared" si="22"/>
        <v>0</v>
      </c>
      <c r="M141" s="3"/>
      <c r="N141" s="20">
        <f t="shared" si="23"/>
        <v>0</v>
      </c>
      <c r="O141" s="12"/>
      <c r="P141" s="3"/>
      <c r="Q141" s="3"/>
      <c r="R141" s="20">
        <f t="shared" si="24"/>
        <v>0</v>
      </c>
      <c r="S141" s="3"/>
      <c r="T141" s="3">
        <v>28.92</v>
      </c>
      <c r="U141" s="3"/>
      <c r="V141" s="20">
        <f t="shared" si="25"/>
        <v>3.2119680862982521E-6</v>
      </c>
      <c r="W141" s="3"/>
      <c r="X141" s="3">
        <f t="shared" si="26"/>
        <v>-28.92</v>
      </c>
      <c r="Y141" s="3"/>
      <c r="Z141" s="20">
        <f t="shared" si="27"/>
        <v>-1</v>
      </c>
    </row>
    <row r="142" spans="1:26" s="69" customFormat="1" ht="15" hidden="1" customHeight="1" outlineLevel="1" x14ac:dyDescent="0.3">
      <c r="A142" s="42"/>
      <c r="B142" s="12" t="str">
        <f>CONCATENATE("          ","5513"," - ","FREIGHT-IN-TRADE BOOKS")</f>
        <v xml:space="preserve">          5513 - FREIGHT-IN-TRADE BOOKS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/>
      <c r="Q142" s="3"/>
      <c r="R142" s="20">
        <f t="shared" si="24"/>
        <v>0</v>
      </c>
      <c r="S142" s="3"/>
      <c r="T142" s="3">
        <v>85.28</v>
      </c>
      <c r="U142" s="3"/>
      <c r="V142" s="20">
        <f t="shared" si="25"/>
        <v>9.4715296818642788E-6</v>
      </c>
      <c r="W142" s="3"/>
      <c r="X142" s="3">
        <f t="shared" si="26"/>
        <v>-85.28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","5518"," - ","FREIGHT-IN-STUDY GUIDES")</f>
        <v xml:space="preserve">          5518 - FREIGHT-IN-STUDY GUIDES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>
        <v>0</v>
      </c>
      <c r="Q143" s="3"/>
      <c r="R143" s="20">
        <f t="shared" si="24"/>
        <v>0</v>
      </c>
      <c r="S143" s="3"/>
      <c r="T143" s="3"/>
      <c r="U143" s="3"/>
      <c r="V143" s="20">
        <f t="shared" si="25"/>
        <v>0</v>
      </c>
      <c r="W143" s="3"/>
      <c r="X143" s="3">
        <f t="shared" si="26"/>
        <v>0</v>
      </c>
      <c r="Y143" s="3"/>
      <c r="Z143" s="20">
        <f t="shared" si="27"/>
        <v>0</v>
      </c>
    </row>
    <row r="144" spans="1:26" s="69" customFormat="1" ht="15" hidden="1" customHeight="1" outlineLevel="1" x14ac:dyDescent="0.3">
      <c r="A144" s="42"/>
      <c r="B144" s="12" t="str">
        <f>CONCATENATE("          ","5525"," - ","FREIGHT-IN-TEST FORMS")</f>
        <v xml:space="preserve">          5525 - FREIGHT-IN-TEST FORMS</v>
      </c>
      <c r="C144" s="12"/>
      <c r="D144" s="3"/>
      <c r="E144" s="3"/>
      <c r="F144" s="20">
        <f t="shared" si="20"/>
        <v>0</v>
      </c>
      <c r="G144" s="3"/>
      <c r="H144" s="3"/>
      <c r="I144" s="3"/>
      <c r="J144" s="20">
        <f t="shared" si="21"/>
        <v>0</v>
      </c>
      <c r="K144" s="3"/>
      <c r="L144" s="3">
        <f t="shared" si="22"/>
        <v>0</v>
      </c>
      <c r="M144" s="3"/>
      <c r="N144" s="20">
        <f t="shared" si="23"/>
        <v>0</v>
      </c>
      <c r="O144" s="12"/>
      <c r="P144" s="3"/>
      <c r="Q144" s="3"/>
      <c r="R144" s="20">
        <f t="shared" si="24"/>
        <v>0</v>
      </c>
      <c r="S144" s="3"/>
      <c r="T144" s="3">
        <v>48.14</v>
      </c>
      <c r="U144" s="3"/>
      <c r="V144" s="20">
        <f t="shared" si="25"/>
        <v>5.3466163096264812E-6</v>
      </c>
      <c r="W144" s="3"/>
      <c r="X144" s="3">
        <f t="shared" si="26"/>
        <v>-48.14</v>
      </c>
      <c r="Y144" s="3"/>
      <c r="Z144" s="20">
        <f t="shared" si="27"/>
        <v>-1</v>
      </c>
    </row>
    <row r="145" spans="1:26" s="69" customFormat="1" ht="15" hidden="1" customHeight="1" outlineLevel="1" x14ac:dyDescent="0.3">
      <c r="A145" s="42"/>
      <c r="B145" s="12" t="str">
        <f>CONCATENATE("          ","5526"," - ","FREIGHT-IN-WRITING INSTRUMENTS")</f>
        <v xml:space="preserve">          5526 - FREIGHT-IN-WRITING INSTRUMENTS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/>
      <c r="Q145" s="3"/>
      <c r="R145" s="20">
        <f t="shared" si="24"/>
        <v>0</v>
      </c>
      <c r="S145" s="3"/>
      <c r="T145" s="3">
        <v>0</v>
      </c>
      <c r="U145" s="3"/>
      <c r="V145" s="20">
        <f t="shared" si="25"/>
        <v>0</v>
      </c>
      <c r="W145" s="3"/>
      <c r="X145" s="3">
        <f t="shared" si="26"/>
        <v>0</v>
      </c>
      <c r="Y145" s="3"/>
      <c r="Z145" s="20">
        <f t="shared" si="27"/>
        <v>0</v>
      </c>
    </row>
    <row r="146" spans="1:26" s="69" customFormat="1" ht="15" hidden="1" customHeight="1" outlineLevel="1" x14ac:dyDescent="0.3">
      <c r="A146" s="42"/>
      <c r="B146" s="12" t="str">
        <f>CONCATENATE("          ","5527"," - ","FREIGHT-IN-SCHOOL SUPPLIES")</f>
        <v xml:space="preserve">          5527 - FREIGHT-IN-SCHOOL SUPPLIES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>
        <v>0</v>
      </c>
      <c r="Q146" s="3"/>
      <c r="R146" s="20">
        <f t="shared" si="24"/>
        <v>0</v>
      </c>
      <c r="S146" s="3"/>
      <c r="T146" s="3">
        <v>218.62</v>
      </c>
      <c r="U146" s="3"/>
      <c r="V146" s="20">
        <f t="shared" si="25"/>
        <v>2.4280790561083121E-5</v>
      </c>
      <c r="W146" s="3"/>
      <c r="X146" s="3">
        <f t="shared" si="26"/>
        <v>-218.62</v>
      </c>
      <c r="Y146" s="3"/>
      <c r="Z146" s="20">
        <f t="shared" si="27"/>
        <v>-1</v>
      </c>
    </row>
    <row r="147" spans="1:26" s="69" customFormat="1" ht="15" hidden="1" customHeight="1" outlineLevel="1" x14ac:dyDescent="0.3">
      <c r="A147" s="42"/>
      <c r="B147" s="12" t="str">
        <f>CONCATENATE("          ","5528"," - ","FREIGHT-IN-ART/TECH")</f>
        <v xml:space="preserve">          5528 - FREIGHT-IN-ART/TECH</v>
      </c>
      <c r="C147" s="12"/>
      <c r="D147" s="3"/>
      <c r="E147" s="3"/>
      <c r="F147" s="20">
        <f t="shared" si="20"/>
        <v>0</v>
      </c>
      <c r="G147" s="3"/>
      <c r="H147" s="3">
        <v>89.22</v>
      </c>
      <c r="I147" s="3"/>
      <c r="J147" s="20">
        <f t="shared" si="21"/>
        <v>8.5898084839522367E-5</v>
      </c>
      <c r="K147" s="3"/>
      <c r="L147" s="3">
        <f t="shared" si="22"/>
        <v>-89.22</v>
      </c>
      <c r="M147" s="3"/>
      <c r="N147" s="20">
        <f t="shared" si="23"/>
        <v>-1</v>
      </c>
      <c r="O147" s="12"/>
      <c r="P147" s="3">
        <v>0</v>
      </c>
      <c r="Q147" s="3"/>
      <c r="R147" s="20">
        <f t="shared" si="24"/>
        <v>0</v>
      </c>
      <c r="S147" s="3"/>
      <c r="T147" s="3">
        <v>544.42999999999995</v>
      </c>
      <c r="U147" s="3"/>
      <c r="V147" s="20">
        <f t="shared" si="25"/>
        <v>6.0466520927501974E-5</v>
      </c>
      <c r="W147" s="3"/>
      <c r="X147" s="3">
        <f t="shared" si="26"/>
        <v>-544.42999999999995</v>
      </c>
      <c r="Y147" s="3"/>
      <c r="Z147" s="20">
        <f t="shared" si="27"/>
        <v>-1</v>
      </c>
    </row>
    <row r="148" spans="1:26" s="69" customFormat="1" ht="15" hidden="1" customHeight="1" outlineLevel="1" x14ac:dyDescent="0.3">
      <c r="A148" s="42"/>
      <c r="B148" s="12" t="str">
        <f>CONCATENATE("          ","5540"," - ","FREIGHT-IN-LOGO CLOTHING")</f>
        <v xml:space="preserve">          5540 - FREIGHT-IN-LOGO CLOTHING</v>
      </c>
      <c r="C148" s="12"/>
      <c r="D148" s="3"/>
      <c r="E148" s="3"/>
      <c r="F148" s="20">
        <f t="shared" si="20"/>
        <v>0</v>
      </c>
      <c r="G148" s="3"/>
      <c r="H148" s="3">
        <v>2107.65</v>
      </c>
      <c r="I148" s="3"/>
      <c r="J148" s="20">
        <f t="shared" si="21"/>
        <v>2.0291761770008889E-3</v>
      </c>
      <c r="K148" s="3"/>
      <c r="L148" s="3">
        <f t="shared" si="22"/>
        <v>-2107.65</v>
      </c>
      <c r="M148" s="3"/>
      <c r="N148" s="20">
        <f t="shared" si="23"/>
        <v>-1</v>
      </c>
      <c r="O148" s="12"/>
      <c r="P148" s="3">
        <v>0</v>
      </c>
      <c r="Q148" s="3"/>
      <c r="R148" s="20">
        <f t="shared" si="24"/>
        <v>0</v>
      </c>
      <c r="S148" s="3"/>
      <c r="T148" s="3">
        <v>9216.02</v>
      </c>
      <c r="U148" s="3"/>
      <c r="V148" s="20">
        <f t="shared" si="25"/>
        <v>1.0235671550029881E-3</v>
      </c>
      <c r="W148" s="3"/>
      <c r="X148" s="3">
        <f t="shared" si="26"/>
        <v>-9216.02</v>
      </c>
      <c r="Y148" s="3"/>
      <c r="Z148" s="20">
        <f t="shared" si="27"/>
        <v>-1</v>
      </c>
    </row>
    <row r="149" spans="1:26" s="69" customFormat="1" ht="15" hidden="1" customHeight="1" outlineLevel="1" x14ac:dyDescent="0.3">
      <c r="A149" s="42"/>
      <c r="B149" s="12" t="str">
        <f>CONCATENATE("          ","5541"," - ","FREIGHT-IN-LOGO GIFTS")</f>
        <v xml:space="preserve">          5541 - FREIGHT-IN-LOGO GIFTS</v>
      </c>
      <c r="C149" s="12"/>
      <c r="D149" s="3"/>
      <c r="E149" s="3"/>
      <c r="F149" s="20">
        <f t="shared" si="20"/>
        <v>0</v>
      </c>
      <c r="G149" s="3"/>
      <c r="H149" s="3">
        <v>2877.99</v>
      </c>
      <c r="I149" s="3"/>
      <c r="J149" s="20">
        <f t="shared" si="21"/>
        <v>2.7708342208842968E-3</v>
      </c>
      <c r="K149" s="3"/>
      <c r="L149" s="3">
        <f t="shared" si="22"/>
        <v>-2877.99</v>
      </c>
      <c r="M149" s="3"/>
      <c r="N149" s="20">
        <f t="shared" si="23"/>
        <v>-1</v>
      </c>
      <c r="O149" s="12"/>
      <c r="P149" s="3">
        <v>0</v>
      </c>
      <c r="Q149" s="3"/>
      <c r="R149" s="20">
        <f t="shared" si="24"/>
        <v>0</v>
      </c>
      <c r="S149" s="3"/>
      <c r="T149" s="3">
        <v>5015.99</v>
      </c>
      <c r="U149" s="3"/>
      <c r="V149" s="20">
        <f t="shared" si="25"/>
        <v>5.5709542881020638E-4</v>
      </c>
      <c r="W149" s="3"/>
      <c r="X149" s="3">
        <f t="shared" si="26"/>
        <v>-5015.99</v>
      </c>
      <c r="Y149" s="3"/>
      <c r="Z149" s="20">
        <f t="shared" si="27"/>
        <v>-1</v>
      </c>
    </row>
    <row r="150" spans="1:26" s="69" customFormat="1" ht="15" hidden="1" customHeight="1" outlineLevel="1" x14ac:dyDescent="0.3">
      <c r="A150" s="42"/>
      <c r="B150" s="12" t="str">
        <f>CONCATENATE("          ","5542"," - ","FREIGHT-IN-EVERYDAY GIFTS")</f>
        <v xml:space="preserve">          5542 - FREIGHT-IN-EVERYDAY GIFTS</v>
      </c>
      <c r="C150" s="12"/>
      <c r="D150" s="3"/>
      <c r="E150" s="3"/>
      <c r="F150" s="20">
        <f t="shared" si="20"/>
        <v>0</v>
      </c>
      <c r="G150" s="3"/>
      <c r="H150" s="3"/>
      <c r="I150" s="3"/>
      <c r="J150" s="20">
        <f t="shared" si="21"/>
        <v>0</v>
      </c>
      <c r="K150" s="3"/>
      <c r="L150" s="3">
        <f t="shared" si="22"/>
        <v>0</v>
      </c>
      <c r="M150" s="3"/>
      <c r="N150" s="20">
        <f t="shared" si="23"/>
        <v>0</v>
      </c>
      <c r="O150" s="12"/>
      <c r="P150" s="3">
        <v>0</v>
      </c>
      <c r="Q150" s="3"/>
      <c r="R150" s="20">
        <f t="shared" si="24"/>
        <v>0</v>
      </c>
      <c r="S150" s="3"/>
      <c r="T150" s="3">
        <v>681.72</v>
      </c>
      <c r="U150" s="3"/>
      <c r="V150" s="20">
        <f t="shared" si="25"/>
        <v>7.5714484225146756E-5</v>
      </c>
      <c r="W150" s="3"/>
      <c r="X150" s="3">
        <f t="shared" si="26"/>
        <v>-681.72</v>
      </c>
      <c r="Y150" s="3"/>
      <c r="Z150" s="20">
        <f t="shared" si="27"/>
        <v>-1</v>
      </c>
    </row>
    <row r="151" spans="1:26" s="69" customFormat="1" ht="15" hidden="1" customHeight="1" outlineLevel="1" x14ac:dyDescent="0.3">
      <c r="A151" s="42"/>
      <c r="B151" s="12" t="str">
        <f>CONCATENATE("          ","5543"," - ","FREIGHT-IN-CARDS")</f>
        <v xml:space="preserve">          5543 - FREIGHT-IN-CARDS</v>
      </c>
      <c r="C151" s="12"/>
      <c r="D151" s="3"/>
      <c r="E151" s="3"/>
      <c r="F151" s="20">
        <f t="shared" si="20"/>
        <v>0</v>
      </c>
      <c r="G151" s="3"/>
      <c r="H151" s="3"/>
      <c r="I151" s="3"/>
      <c r="J151" s="20">
        <f t="shared" si="21"/>
        <v>0</v>
      </c>
      <c r="K151" s="3"/>
      <c r="L151" s="3">
        <f t="shared" si="22"/>
        <v>0</v>
      </c>
      <c r="M151" s="3"/>
      <c r="N151" s="20">
        <f t="shared" si="23"/>
        <v>0</v>
      </c>
      <c r="O151" s="12"/>
      <c r="P151" s="3"/>
      <c r="Q151" s="3"/>
      <c r="R151" s="20">
        <f t="shared" si="24"/>
        <v>0</v>
      </c>
      <c r="S151" s="3"/>
      <c r="T151" s="3">
        <v>9110.5300000000007</v>
      </c>
      <c r="U151" s="3"/>
      <c r="V151" s="20">
        <f t="shared" si="25"/>
        <v>1.0118510238334307E-3</v>
      </c>
      <c r="W151" s="3"/>
      <c r="X151" s="3">
        <f t="shared" si="26"/>
        <v>-9110.5300000000007</v>
      </c>
      <c r="Y151" s="3"/>
      <c r="Z151" s="20">
        <f t="shared" si="27"/>
        <v>-1</v>
      </c>
    </row>
    <row r="152" spans="1:26" s="69" customFormat="1" ht="15" hidden="1" customHeight="1" outlineLevel="1" x14ac:dyDescent="0.3">
      <c r="A152" s="42"/>
      <c r="B152" s="12" t="str">
        <f>CONCATENATE("          ","5544"," - ","FREIGHT-IN-ACCESSORIES")</f>
        <v xml:space="preserve">          5544 - FREIGHT-IN-ACCESSORIES</v>
      </c>
      <c r="C152" s="12"/>
      <c r="D152" s="3"/>
      <c r="E152" s="3"/>
      <c r="F152" s="20">
        <f t="shared" si="20"/>
        <v>0</v>
      </c>
      <c r="G152" s="3"/>
      <c r="H152" s="3"/>
      <c r="I152" s="3"/>
      <c r="J152" s="20">
        <f t="shared" si="21"/>
        <v>0</v>
      </c>
      <c r="K152" s="3"/>
      <c r="L152" s="3">
        <f t="shared" si="22"/>
        <v>0</v>
      </c>
      <c r="M152" s="3"/>
      <c r="N152" s="20">
        <f t="shared" si="23"/>
        <v>0</v>
      </c>
      <c r="O152" s="12"/>
      <c r="P152" s="3">
        <v>0</v>
      </c>
      <c r="Q152" s="3"/>
      <c r="R152" s="20">
        <f t="shared" si="24"/>
        <v>0</v>
      </c>
      <c r="S152" s="3"/>
      <c r="T152" s="3"/>
      <c r="U152" s="3"/>
      <c r="V152" s="20">
        <f t="shared" si="25"/>
        <v>0</v>
      </c>
      <c r="W152" s="3"/>
      <c r="X152" s="3">
        <f t="shared" si="26"/>
        <v>0</v>
      </c>
      <c r="Y152" s="3"/>
      <c r="Z152" s="20">
        <f t="shared" si="27"/>
        <v>0</v>
      </c>
    </row>
    <row r="153" spans="1:26" s="69" customFormat="1" ht="15" hidden="1" customHeight="1" outlineLevel="1" x14ac:dyDescent="0.3">
      <c r="A153" s="42"/>
      <c r="B153" s="12" t="str">
        <f>CONCATENATE("          ","5545"," - ","FREIGHT-IN-SPECIAL ORDERS")</f>
        <v xml:space="preserve">          5545 - FREIGHT-IN-SPECIAL ORDERS</v>
      </c>
      <c r="C153" s="12"/>
      <c r="D153" s="3"/>
      <c r="E153" s="3"/>
      <c r="F153" s="20">
        <f t="shared" si="20"/>
        <v>0</v>
      </c>
      <c r="G153" s="3"/>
      <c r="H153" s="3">
        <v>168.6</v>
      </c>
      <c r="I153" s="3"/>
      <c r="J153" s="20">
        <f t="shared" si="21"/>
        <v>1.6232254095430924E-4</v>
      </c>
      <c r="K153" s="3"/>
      <c r="L153" s="3">
        <f t="shared" si="22"/>
        <v>-168.6</v>
      </c>
      <c r="M153" s="3"/>
      <c r="N153" s="20">
        <f t="shared" si="23"/>
        <v>-1</v>
      </c>
      <c r="O153" s="12"/>
      <c r="P153" s="3">
        <v>0</v>
      </c>
      <c r="Q153" s="3"/>
      <c r="R153" s="20">
        <f t="shared" si="24"/>
        <v>0</v>
      </c>
      <c r="S153" s="3"/>
      <c r="T153" s="3">
        <v>1434.76</v>
      </c>
      <c r="U153" s="3"/>
      <c r="V153" s="20">
        <f t="shared" si="25"/>
        <v>1.5935004604070816E-4</v>
      </c>
      <c r="W153" s="3"/>
      <c r="X153" s="3">
        <f t="shared" si="26"/>
        <v>-1434.76</v>
      </c>
      <c r="Y153" s="3"/>
      <c r="Z153" s="20">
        <f t="shared" si="27"/>
        <v>-1</v>
      </c>
    </row>
    <row r="154" spans="1:26" s="69" customFormat="1" ht="15" hidden="1" customHeight="1" outlineLevel="1" x14ac:dyDescent="0.3">
      <c r="A154" s="42"/>
      <c r="B154" s="12" t="str">
        <f>CONCATENATE("          ","5581"," - ","FREIGHT-IN-ELECTRONICS")</f>
        <v xml:space="preserve">          5581 - FREIGHT-IN-ELECTRONICS</v>
      </c>
      <c r="C154" s="12"/>
      <c r="D154" s="3"/>
      <c r="E154" s="3"/>
      <c r="F154" s="20">
        <f t="shared" si="20"/>
        <v>0</v>
      </c>
      <c r="G154" s="3"/>
      <c r="H154" s="3"/>
      <c r="I154" s="3"/>
      <c r="J154" s="20">
        <f t="shared" si="21"/>
        <v>0</v>
      </c>
      <c r="K154" s="3"/>
      <c r="L154" s="3">
        <f t="shared" si="22"/>
        <v>0</v>
      </c>
      <c r="M154" s="3"/>
      <c r="N154" s="20">
        <f t="shared" si="23"/>
        <v>0</v>
      </c>
      <c r="O154" s="12"/>
      <c r="P154" s="3"/>
      <c r="Q154" s="3"/>
      <c r="R154" s="20">
        <f t="shared" si="24"/>
        <v>0</v>
      </c>
      <c r="S154" s="3"/>
      <c r="T154" s="3">
        <v>31</v>
      </c>
      <c r="U154" s="3"/>
      <c r="V154" s="20">
        <f t="shared" si="25"/>
        <v>3.4429810053681124E-6</v>
      </c>
      <c r="W154" s="3"/>
      <c r="X154" s="3">
        <f t="shared" si="26"/>
        <v>-31</v>
      </c>
      <c r="Y154" s="3"/>
      <c r="Z154" s="20">
        <f t="shared" si="27"/>
        <v>-1</v>
      </c>
    </row>
    <row r="155" spans="1:26" s="69" customFormat="1" ht="15" hidden="1" customHeight="1" outlineLevel="1" x14ac:dyDescent="0.3">
      <c r="A155" s="42"/>
      <c r="B155" s="12" t="str">
        <f>CONCATENATE("          ","5582"," - ","FREIGHT-IN-COMPUTER HARDWARE")</f>
        <v xml:space="preserve">          5582 - FREIGHT-IN-COMPUTER HARDWARE</v>
      </c>
      <c r="C155" s="12"/>
      <c r="D155" s="3"/>
      <c r="E155" s="3"/>
      <c r="F155" s="20">
        <f t="shared" si="20"/>
        <v>0</v>
      </c>
      <c r="G155" s="3"/>
      <c r="H155" s="3"/>
      <c r="I155" s="3"/>
      <c r="J155" s="20">
        <f t="shared" si="21"/>
        <v>0</v>
      </c>
      <c r="K155" s="3"/>
      <c r="L155" s="3">
        <f t="shared" si="22"/>
        <v>0</v>
      </c>
      <c r="M155" s="3"/>
      <c r="N155" s="20">
        <f t="shared" si="23"/>
        <v>0</v>
      </c>
      <c r="O155" s="12"/>
      <c r="P155" s="3"/>
      <c r="Q155" s="3"/>
      <c r="R155" s="20">
        <f t="shared" si="24"/>
        <v>0</v>
      </c>
      <c r="S155" s="3"/>
      <c r="T155" s="3">
        <v>125</v>
      </c>
      <c r="U155" s="3"/>
      <c r="V155" s="20">
        <f t="shared" si="25"/>
        <v>1.3882987924871421E-5</v>
      </c>
      <c r="W155" s="3"/>
      <c r="X155" s="3">
        <f t="shared" si="26"/>
        <v>-125</v>
      </c>
      <c r="Y155" s="3"/>
      <c r="Z155" s="20">
        <f t="shared" si="27"/>
        <v>-1</v>
      </c>
    </row>
    <row r="156" spans="1:26" s="69" customFormat="1" ht="15" hidden="1" customHeight="1" outlineLevel="1" x14ac:dyDescent="0.3">
      <c r="A156" s="42"/>
      <c r="B156" s="12" t="str">
        <f>CONCATENATE("          ","5583"," - ","FREIGHT-IN-COMPUTER EQUIPMENT")</f>
        <v xml:space="preserve">          5583 - FREIGHT-IN-COMPUTER EQUIPMENT</v>
      </c>
      <c r="C156" s="12"/>
      <c r="D156" s="3"/>
      <c r="E156" s="3"/>
      <c r="F156" s="20">
        <f t="shared" si="20"/>
        <v>0</v>
      </c>
      <c r="G156" s="3"/>
      <c r="H156" s="3"/>
      <c r="I156" s="3"/>
      <c r="J156" s="20">
        <f t="shared" si="21"/>
        <v>0</v>
      </c>
      <c r="K156" s="3"/>
      <c r="L156" s="3">
        <f t="shared" si="22"/>
        <v>0</v>
      </c>
      <c r="M156" s="3"/>
      <c r="N156" s="20">
        <f t="shared" si="23"/>
        <v>0</v>
      </c>
      <c r="O156" s="12"/>
      <c r="P156" s="3">
        <v>0</v>
      </c>
      <c r="Q156" s="3"/>
      <c r="R156" s="20">
        <f t="shared" si="24"/>
        <v>0</v>
      </c>
      <c r="S156" s="3"/>
      <c r="T156" s="3">
        <v>242.46</v>
      </c>
      <c r="U156" s="3"/>
      <c r="V156" s="20">
        <f t="shared" si="25"/>
        <v>2.6928554018114598E-5</v>
      </c>
      <c r="W156" s="3"/>
      <c r="X156" s="3">
        <f t="shared" si="26"/>
        <v>-242.46</v>
      </c>
      <c r="Y156" s="3"/>
      <c r="Z156" s="20">
        <f t="shared" si="27"/>
        <v>-1</v>
      </c>
    </row>
    <row r="157" spans="1:26" s="69" customFormat="1" ht="15" hidden="1" customHeight="1" outlineLevel="1" x14ac:dyDescent="0.3">
      <c r="A157" s="42"/>
      <c r="B157" s="12" t="str">
        <f>CONCATENATE("          ","5585"," - ","FREIGHT-IN-SOFTWARE")</f>
        <v xml:space="preserve">          5585 - FREIGHT-IN-SOFTWARE</v>
      </c>
      <c r="C157" s="12"/>
      <c r="D157" s="3"/>
      <c r="E157" s="3"/>
      <c r="F157" s="20">
        <f t="shared" si="20"/>
        <v>0</v>
      </c>
      <c r="G157" s="3"/>
      <c r="H157" s="3"/>
      <c r="I157" s="3"/>
      <c r="J157" s="20">
        <f t="shared" si="21"/>
        <v>0</v>
      </c>
      <c r="K157" s="3"/>
      <c r="L157" s="3">
        <f t="shared" si="22"/>
        <v>0</v>
      </c>
      <c r="M157" s="3"/>
      <c r="N157" s="20">
        <f t="shared" si="23"/>
        <v>0</v>
      </c>
      <c r="O157" s="12"/>
      <c r="P157" s="3"/>
      <c r="Q157" s="3"/>
      <c r="R157" s="20">
        <f t="shared" si="24"/>
        <v>0</v>
      </c>
      <c r="S157" s="3"/>
      <c r="T157" s="3">
        <v>9.41</v>
      </c>
      <c r="U157" s="3"/>
      <c r="V157" s="20">
        <f t="shared" si="25"/>
        <v>1.0451113309843207E-6</v>
      </c>
      <c r="W157" s="3"/>
      <c r="X157" s="3">
        <f t="shared" si="26"/>
        <v>-9.41</v>
      </c>
      <c r="Y157" s="3"/>
      <c r="Z157" s="20">
        <f t="shared" si="27"/>
        <v>-1</v>
      </c>
    </row>
    <row r="158" spans="1:26" s="69" customFormat="1" ht="15" hidden="1" customHeight="1" outlineLevel="1" x14ac:dyDescent="0.3">
      <c r="A158" s="42"/>
      <c r="B158" s="12" t="str">
        <f>CONCATENATE("          ","5586"," - ","FREIGHT-IN-COMPUTER SUPPLIES")</f>
        <v xml:space="preserve">          5586 - FREIGHT-IN-COMPUTER SUPPLIES</v>
      </c>
      <c r="C158" s="12"/>
      <c r="D158" s="3"/>
      <c r="E158" s="3"/>
      <c r="F158" s="20">
        <f t="shared" si="20"/>
        <v>0</v>
      </c>
      <c r="G158" s="3"/>
      <c r="H158" s="3"/>
      <c r="I158" s="3"/>
      <c r="J158" s="20">
        <f t="shared" si="21"/>
        <v>0</v>
      </c>
      <c r="K158" s="3"/>
      <c r="L158" s="3">
        <f t="shared" si="22"/>
        <v>0</v>
      </c>
      <c r="M158" s="3"/>
      <c r="N158" s="20">
        <f t="shared" si="23"/>
        <v>0</v>
      </c>
      <c r="O158" s="12"/>
      <c r="P158" s="3"/>
      <c r="Q158" s="3"/>
      <c r="R158" s="20">
        <f t="shared" si="24"/>
        <v>0</v>
      </c>
      <c r="S158" s="3"/>
      <c r="T158" s="3">
        <v>24.12</v>
      </c>
      <c r="U158" s="3"/>
      <c r="V158" s="20">
        <f t="shared" si="25"/>
        <v>2.6788613499831894E-6</v>
      </c>
      <c r="W158" s="3"/>
      <c r="X158" s="3">
        <f t="shared" si="26"/>
        <v>-24.12</v>
      </c>
      <c r="Y158" s="3"/>
      <c r="Z158" s="20">
        <f t="shared" si="27"/>
        <v>-1</v>
      </c>
    </row>
    <row r="159" spans="1:26" s="69" customFormat="1" ht="15" hidden="1" customHeight="1" outlineLevel="1" x14ac:dyDescent="0.3">
      <c r="A159" s="42"/>
      <c r="B159" s="12" t="str">
        <f>CONCATENATE("          ","5592"," - ","FREIGHT-IN-GRAD MERCH")</f>
        <v xml:space="preserve">          5592 - FREIGHT-IN-GRAD MERCH</v>
      </c>
      <c r="C159" s="12"/>
      <c r="D159" s="3"/>
      <c r="E159" s="3"/>
      <c r="F159" s="20">
        <f t="shared" si="20"/>
        <v>0</v>
      </c>
      <c r="G159" s="3"/>
      <c r="H159" s="3"/>
      <c r="I159" s="3"/>
      <c r="J159" s="20">
        <f t="shared" si="21"/>
        <v>0</v>
      </c>
      <c r="K159" s="3"/>
      <c r="L159" s="3">
        <f t="shared" si="22"/>
        <v>0</v>
      </c>
      <c r="M159" s="3"/>
      <c r="N159" s="20">
        <f t="shared" si="23"/>
        <v>0</v>
      </c>
      <c r="O159" s="12"/>
      <c r="P159" s="3"/>
      <c r="Q159" s="3"/>
      <c r="R159" s="20">
        <f t="shared" si="24"/>
        <v>0</v>
      </c>
      <c r="S159" s="3"/>
      <c r="T159" s="3">
        <v>0</v>
      </c>
      <c r="U159" s="3"/>
      <c r="V159" s="20">
        <f t="shared" si="25"/>
        <v>0</v>
      </c>
      <c r="W159" s="3"/>
      <c r="X159" s="3">
        <f t="shared" si="26"/>
        <v>0</v>
      </c>
      <c r="Y159" s="3"/>
      <c r="Z159" s="20">
        <f t="shared" si="27"/>
        <v>0</v>
      </c>
    </row>
    <row r="160" spans="1:26" ht="15" customHeight="1" x14ac:dyDescent="0.3">
      <c r="A160" s="10"/>
      <c r="B160" s="11"/>
      <c r="C160" s="11"/>
      <c r="D160" s="4"/>
      <c r="E160" s="4"/>
      <c r="F160" s="9"/>
      <c r="G160" s="4"/>
      <c r="H160" s="4"/>
      <c r="I160" s="4"/>
      <c r="J160" s="9"/>
      <c r="K160" s="4"/>
      <c r="L160" s="4"/>
      <c r="M160" s="4"/>
      <c r="N160" s="9"/>
      <c r="O160" s="11"/>
      <c r="P160" s="4"/>
      <c r="Q160" s="4"/>
      <c r="R160" s="9"/>
      <c r="S160" s="4"/>
      <c r="T160" s="4"/>
      <c r="U160" s="4"/>
      <c r="V160" s="9"/>
      <c r="W160" s="4"/>
      <c r="X160" s="4"/>
      <c r="Y160" s="4"/>
      <c r="Z160" s="9"/>
    </row>
    <row r="161" spans="1:26" s="62" customFormat="1" ht="15" customHeight="1" x14ac:dyDescent="0.3">
      <c r="A161" s="11"/>
      <c r="B161" s="28" t="s">
        <v>288</v>
      </c>
      <c r="C161" s="28"/>
      <c r="D161" s="21">
        <f>D12-D107</f>
        <v>2182950.4700000002</v>
      </c>
      <c r="E161" s="15"/>
      <c r="F161" s="23">
        <f>IF(D$12=0,0,D161/D$12)</f>
        <v>0.65257461053610066</v>
      </c>
      <c r="G161" s="15"/>
      <c r="H161" s="21">
        <f>H12-H107</f>
        <v>395094.12</v>
      </c>
      <c r="I161" s="15"/>
      <c r="J161" s="23">
        <f>IF(H$12=0,0,H161/H$12)</f>
        <v>0.38038363863883018</v>
      </c>
      <c r="K161" s="16"/>
      <c r="L161" s="21">
        <f>+D161-H161</f>
        <v>1787856.35</v>
      </c>
      <c r="M161" s="16"/>
      <c r="N161" s="23">
        <f>IF(H161=0,0,L161/H161)</f>
        <v>4.5251403640226284</v>
      </c>
      <c r="O161" s="27"/>
      <c r="P161" s="21">
        <f>P12-P107</f>
        <v>13099958.459999999</v>
      </c>
      <c r="Q161" s="15"/>
      <c r="R161" s="23">
        <f>IF(P$12=0,0,P161/P$12)</f>
        <v>0.59927226122058042</v>
      </c>
      <c r="S161" s="15"/>
      <c r="T161" s="21">
        <f>T12-T107</f>
        <v>3367902.540000001</v>
      </c>
      <c r="U161" s="15"/>
      <c r="V161" s="23">
        <f>IF(T$12=0,0,T161/T$12)</f>
        <v>0.37405240235971038</v>
      </c>
      <c r="W161" s="16"/>
      <c r="X161" s="21">
        <f>+P161-T161</f>
        <v>9732055.9199999981</v>
      </c>
      <c r="Y161" s="16"/>
      <c r="Z161" s="23">
        <f>IF(T161=0,0,X161/T161)</f>
        <v>2.8896489148406284</v>
      </c>
    </row>
    <row r="162" spans="1:26" ht="15" customHeight="1" x14ac:dyDescent="0.3">
      <c r="A162" s="10"/>
      <c r="B162" s="11"/>
      <c r="C162" s="10"/>
      <c r="D162" s="2"/>
      <c r="E162" s="2"/>
      <c r="F162" s="6"/>
      <c r="G162" s="2"/>
      <c r="H162" s="2"/>
      <c r="I162" s="2"/>
      <c r="J162" s="6"/>
      <c r="K162" s="2"/>
      <c r="L162" s="2"/>
      <c r="M162" s="2"/>
      <c r="N162" s="6"/>
      <c r="O162" s="36"/>
      <c r="P162" s="2"/>
      <c r="Q162" s="2"/>
      <c r="R162" s="6"/>
      <c r="S162" s="2"/>
      <c r="T162" s="2"/>
      <c r="U162" s="2"/>
      <c r="V162" s="6"/>
      <c r="W162" s="2"/>
      <c r="X162" s="2"/>
      <c r="Y162" s="2"/>
      <c r="Z162" s="6"/>
    </row>
    <row r="163" spans="1:26" s="62" customFormat="1" ht="15" customHeight="1" x14ac:dyDescent="0.3">
      <c r="A163" s="11"/>
      <c r="B163" s="27" t="s">
        <v>289</v>
      </c>
      <c r="C163" s="11"/>
      <c r="D163" s="22" cm="1">
        <f t="array" ref="D163">SUM(OSRRefD22x_0)</f>
        <v>1332231.1599999995</v>
      </c>
      <c r="E163" s="22"/>
      <c r="F163" s="32">
        <f t="shared" ref="F163:F194" si="28">IF(D$12=0,0,D163/D$12)</f>
        <v>0.39825925614384516</v>
      </c>
      <c r="G163" s="22"/>
      <c r="H163" s="22" cm="1">
        <f t="array" ref="H163">SUM(OSRRefH22x_0)</f>
        <v>672522.08</v>
      </c>
      <c r="I163" s="22"/>
      <c r="J163" s="32">
        <f t="shared" ref="J163:J194" si="29">IF(H$12=0,0,H163/H$12)</f>
        <v>0.64748216413687565</v>
      </c>
      <c r="K163" s="5"/>
      <c r="L163" s="22">
        <f t="shared" ref="L163:L194" si="30">+D163-H163</f>
        <v>659709.07999999949</v>
      </c>
      <c r="M163" s="5"/>
      <c r="N163" s="32">
        <f t="shared" ref="N163:N194" si="31">IF(H163=0,0,L163/H163)</f>
        <v>0.98094783743011016</v>
      </c>
      <c r="O163" s="11"/>
      <c r="P163" s="22" cm="1">
        <f t="array" ref="P163">SUM(OSRRefP22x_0)</f>
        <v>10714419.15</v>
      </c>
      <c r="Q163" s="22"/>
      <c r="R163" s="32">
        <f t="shared" ref="R163:R194" si="32">IF(P$12=0,0,P163/P$12)</f>
        <v>0.49014309559005964</v>
      </c>
      <c r="S163" s="22"/>
      <c r="T163" s="22" cm="1">
        <f t="array" ref="T163">SUM(OSRRefT22x_0)</f>
        <v>6778754.4299999997</v>
      </c>
      <c r="U163" s="22"/>
      <c r="V163" s="32">
        <f t="shared" ref="V163:V194" si="33">IF(T$12=0,0,T163/T$12)</f>
        <v>0.75287492717886917</v>
      </c>
      <c r="W163" s="5"/>
      <c r="X163" s="22">
        <f t="shared" ref="X163:X194" si="34">+P163-T163</f>
        <v>3935664.7200000007</v>
      </c>
      <c r="Y163" s="5"/>
      <c r="Z163" s="32">
        <f t="shared" ref="Z163:Z194" si="35">IF(T163=0,0,X163/T163)</f>
        <v>0.58058818336630624</v>
      </c>
    </row>
    <row r="164" spans="1:26" s="68" customFormat="1" ht="15" customHeight="1" outlineLevel="1" collapsed="1" x14ac:dyDescent="0.3">
      <c r="A164" s="25"/>
      <c r="B164" s="14" t="str">
        <f>CONCATENATE("     ","*Benefits                                         ")</f>
        <v xml:space="preserve">     *Benefits                                         </v>
      </c>
      <c r="C164" s="14"/>
      <c r="D164" s="2">
        <f>SUM(OSRRefD22_0x_0)</f>
        <v>199753.57</v>
      </c>
      <c r="E164" s="2"/>
      <c r="F164" s="6">
        <f t="shared" si="28"/>
        <v>5.9714643065605477E-2</v>
      </c>
      <c r="G164" s="2"/>
      <c r="H164" s="2">
        <f>SUM(OSRRefH22_0x_0)</f>
        <v>166236.45000000001</v>
      </c>
      <c r="I164" s="2"/>
      <c r="J164" s="6">
        <f t="shared" si="29"/>
        <v>0.16004699266443642</v>
      </c>
      <c r="K164" s="2"/>
      <c r="L164" s="2">
        <f t="shared" si="30"/>
        <v>33517.119999999995</v>
      </c>
      <c r="M164" s="2"/>
      <c r="N164" s="6">
        <f t="shared" si="31"/>
        <v>0.20162316988843296</v>
      </c>
      <c r="O164" s="14"/>
      <c r="P164" s="2">
        <f>SUM(OSRRefP22_0x_0)</f>
        <v>1754563.9300000002</v>
      </c>
      <c r="Q164" s="2"/>
      <c r="R164" s="6">
        <f t="shared" si="32"/>
        <v>8.026449068504668E-2</v>
      </c>
      <c r="S164" s="2"/>
      <c r="T164" s="2">
        <f>SUM(OSRRefT22_0x_0)</f>
        <v>1553457.0599999998</v>
      </c>
      <c r="U164" s="2"/>
      <c r="V164" s="6">
        <f t="shared" si="33"/>
        <v>0.17253300484629006</v>
      </c>
      <c r="W164" s="2"/>
      <c r="X164" s="2">
        <f t="shared" si="34"/>
        <v>201106.87000000034</v>
      </c>
      <c r="Y164" s="2"/>
      <c r="Z164" s="6">
        <f t="shared" si="35"/>
        <v>0.12945763045423372</v>
      </c>
    </row>
    <row r="165" spans="1:26" s="69" customFormat="1" ht="15" hidden="1" customHeight="1" outlineLevel="2" x14ac:dyDescent="0.3">
      <c r="A165" s="26"/>
      <c r="B165" s="12" t="str">
        <f>CONCATENATE("          ","6111"," - ","F.I.C.A.")</f>
        <v xml:space="preserve">          6111 - F.I.C.A.</v>
      </c>
      <c r="C165" s="12"/>
      <c r="D165" s="8">
        <v>38007.870000000003</v>
      </c>
      <c r="E165" s="3"/>
      <c r="F165" s="7">
        <f t="shared" si="28"/>
        <v>1.1362131804372429E-2</v>
      </c>
      <c r="G165" s="3"/>
      <c r="H165" s="8">
        <v>27233.31</v>
      </c>
      <c r="I165" s="3"/>
      <c r="J165" s="7">
        <f t="shared" si="29"/>
        <v>2.6219336167238431E-2</v>
      </c>
      <c r="K165" s="3"/>
      <c r="L165" s="8">
        <f t="shared" si="30"/>
        <v>10774.560000000001</v>
      </c>
      <c r="M165" s="3"/>
      <c r="N165" s="7">
        <f t="shared" si="31"/>
        <v>0.39563901707137328</v>
      </c>
      <c r="O165" s="12"/>
      <c r="P165" s="8">
        <v>280921.51</v>
      </c>
      <c r="Q165" s="3"/>
      <c r="R165" s="7">
        <f t="shared" si="32"/>
        <v>1.2851068882183304E-2</v>
      </c>
      <c r="S165" s="3"/>
      <c r="T165" s="8">
        <v>216662.28</v>
      </c>
      <c r="U165" s="3"/>
      <c r="V165" s="7">
        <f t="shared" si="33"/>
        <v>2.4063358536120884E-2</v>
      </c>
      <c r="W165" s="3"/>
      <c r="X165" s="8">
        <f t="shared" si="34"/>
        <v>64259.23000000001</v>
      </c>
      <c r="Y165" s="3"/>
      <c r="Z165" s="7">
        <f t="shared" si="35"/>
        <v>0.29658706628583437</v>
      </c>
    </row>
    <row r="166" spans="1:26" s="69" customFormat="1" ht="15" hidden="1" customHeight="1" outlineLevel="2" x14ac:dyDescent="0.3">
      <c r="A166" s="26"/>
      <c r="B166" s="12" t="str">
        <f>CONCATENATE("          ","6112"," - ","COMPENSATION INSURANCE")</f>
        <v xml:space="preserve">          6112 - COMPENSATION INSURANCE</v>
      </c>
      <c r="C166" s="12"/>
      <c r="D166" s="8">
        <v>14038.82</v>
      </c>
      <c r="E166" s="3"/>
      <c r="F166" s="7">
        <f t="shared" si="28"/>
        <v>4.1967866975407917E-3</v>
      </c>
      <c r="G166" s="3"/>
      <c r="H166" s="8">
        <v>6829.3</v>
      </c>
      <c r="I166" s="3"/>
      <c r="J166" s="7">
        <f t="shared" si="29"/>
        <v>6.5750256757963468E-3</v>
      </c>
      <c r="K166" s="3"/>
      <c r="L166" s="8">
        <f t="shared" si="30"/>
        <v>7209.5199999999995</v>
      </c>
      <c r="M166" s="3"/>
      <c r="N166" s="7">
        <f t="shared" si="31"/>
        <v>1.0556748129383684</v>
      </c>
      <c r="O166" s="12"/>
      <c r="P166" s="8">
        <v>128842.33</v>
      </c>
      <c r="Q166" s="3"/>
      <c r="R166" s="7">
        <f t="shared" si="32"/>
        <v>5.8940365861303839E-3</v>
      </c>
      <c r="S166" s="3"/>
      <c r="T166" s="8">
        <v>80515.63</v>
      </c>
      <c r="U166" s="3"/>
      <c r="V166" s="7">
        <f t="shared" si="33"/>
        <v>8.9423801524273205E-3</v>
      </c>
      <c r="W166" s="3"/>
      <c r="X166" s="8">
        <f t="shared" si="34"/>
        <v>48326.7</v>
      </c>
      <c r="Y166" s="3"/>
      <c r="Z166" s="7">
        <f t="shared" si="35"/>
        <v>0.60021513835264029</v>
      </c>
    </row>
    <row r="167" spans="1:26" s="69" customFormat="1" ht="15" hidden="1" customHeight="1" outlineLevel="2" x14ac:dyDescent="0.3">
      <c r="A167" s="26"/>
      <c r="B167" s="12" t="str">
        <f>CONCATENATE("          ","6113"," - ","GROUP INSURANCE")</f>
        <v xml:space="preserve">          6113 - GROUP INSURANCE</v>
      </c>
      <c r="C167" s="12"/>
      <c r="D167" s="8">
        <v>71396.320000000007</v>
      </c>
      <c r="E167" s="3"/>
      <c r="F167" s="7">
        <f t="shared" si="28"/>
        <v>2.13433270053584E-2</v>
      </c>
      <c r="G167" s="3"/>
      <c r="H167" s="8">
        <v>73954.740000000005</v>
      </c>
      <c r="I167" s="3"/>
      <c r="J167" s="7">
        <f t="shared" si="29"/>
        <v>7.1201194023815501E-2</v>
      </c>
      <c r="K167" s="3"/>
      <c r="L167" s="8">
        <f t="shared" si="30"/>
        <v>-2558.4199999999983</v>
      </c>
      <c r="M167" s="3"/>
      <c r="N167" s="7">
        <f t="shared" si="31"/>
        <v>-3.4594401927449114E-2</v>
      </c>
      <c r="O167" s="12"/>
      <c r="P167" s="8">
        <v>743977.44</v>
      </c>
      <c r="Q167" s="3"/>
      <c r="R167" s="7">
        <f t="shared" si="32"/>
        <v>3.4034080652031222E-2</v>
      </c>
      <c r="S167" s="3"/>
      <c r="T167" s="8">
        <v>749441.26</v>
      </c>
      <c r="U167" s="3"/>
      <c r="V167" s="7">
        <f t="shared" si="33"/>
        <v>8.3235871703843389E-2</v>
      </c>
      <c r="W167" s="3"/>
      <c r="X167" s="8">
        <f t="shared" si="34"/>
        <v>-5463.8200000000652</v>
      </c>
      <c r="Y167" s="3"/>
      <c r="Z167" s="7">
        <f t="shared" si="35"/>
        <v>-7.2905246770107977E-3</v>
      </c>
    </row>
    <row r="168" spans="1:26" s="69" customFormat="1" ht="15" hidden="1" customHeight="1" outlineLevel="2" x14ac:dyDescent="0.3">
      <c r="A168" s="26"/>
      <c r="B168" s="12" t="str">
        <f>CONCATENATE("          ","6114"," - ","STATE UNEMPLOYMENT INSURANCE")</f>
        <v xml:space="preserve">          6114 - STATE UNEMPLOYMENT INSURANCE</v>
      </c>
      <c r="C168" s="12"/>
      <c r="D168" s="8">
        <v>1367.99</v>
      </c>
      <c r="E168" s="3"/>
      <c r="F168" s="7">
        <f t="shared" si="28"/>
        <v>4.0894905942015269E-4</v>
      </c>
      <c r="G168" s="3"/>
      <c r="H168" s="8">
        <v>680.57</v>
      </c>
      <c r="I168" s="3"/>
      <c r="J168" s="7">
        <f t="shared" si="29"/>
        <v>6.5523043711313315E-4</v>
      </c>
      <c r="K168" s="3"/>
      <c r="L168" s="8">
        <f t="shared" si="30"/>
        <v>687.42</v>
      </c>
      <c r="M168" s="3"/>
      <c r="N168" s="7">
        <f t="shared" si="31"/>
        <v>1.010065092495996</v>
      </c>
      <c r="O168" s="12"/>
      <c r="P168" s="8">
        <v>12814.91</v>
      </c>
      <c r="Q168" s="3"/>
      <c r="R168" s="7">
        <f t="shared" si="32"/>
        <v>5.8623240039176652E-4</v>
      </c>
      <c r="S168" s="3"/>
      <c r="T168" s="8">
        <v>8210.52</v>
      </c>
      <c r="U168" s="3"/>
      <c r="V168" s="7">
        <f t="shared" si="33"/>
        <v>9.1189240013532242E-4</v>
      </c>
      <c r="W168" s="3"/>
      <c r="X168" s="8">
        <f t="shared" si="34"/>
        <v>4604.3899999999994</v>
      </c>
      <c r="Y168" s="3"/>
      <c r="Z168" s="7">
        <f t="shared" si="35"/>
        <v>0.56079152112168285</v>
      </c>
    </row>
    <row r="169" spans="1:26" s="69" customFormat="1" ht="15" hidden="1" customHeight="1" outlineLevel="2" x14ac:dyDescent="0.3">
      <c r="A169" s="26"/>
      <c r="B169" s="12" t="str">
        <f>CONCATENATE("          ","6115"," - ","P.E.R.S.")</f>
        <v xml:space="preserve">          6115 - P.E.R.S.</v>
      </c>
      <c r="C169" s="12"/>
      <c r="D169" s="8">
        <v>18748.23</v>
      </c>
      <c r="E169" s="3"/>
      <c r="F169" s="7">
        <f t="shared" si="28"/>
        <v>5.6046250515666704E-3</v>
      </c>
      <c r="G169" s="3"/>
      <c r="H169" s="8">
        <v>13304.87</v>
      </c>
      <c r="I169" s="3"/>
      <c r="J169" s="7">
        <f t="shared" si="29"/>
        <v>1.2809491728747097E-2</v>
      </c>
      <c r="K169" s="3"/>
      <c r="L169" s="8">
        <f t="shared" si="30"/>
        <v>5443.3599999999988</v>
      </c>
      <c r="M169" s="3"/>
      <c r="N169" s="7">
        <f t="shared" si="31"/>
        <v>0.40912538040582119</v>
      </c>
      <c r="O169" s="12"/>
      <c r="P169" s="8">
        <v>155347.29</v>
      </c>
      <c r="Q169" s="3"/>
      <c r="R169" s="7">
        <f t="shared" si="32"/>
        <v>7.1065356456702288E-3</v>
      </c>
      <c r="S169" s="3"/>
      <c r="T169" s="8">
        <v>155682.10999999999</v>
      </c>
      <c r="U169" s="3"/>
      <c r="V169" s="7">
        <f t="shared" si="33"/>
        <v>1.7290662825988033E-2</v>
      </c>
      <c r="W169" s="3"/>
      <c r="X169" s="8">
        <f t="shared" si="34"/>
        <v>-334.81999999997788</v>
      </c>
      <c r="Y169" s="3"/>
      <c r="Z169" s="7">
        <f t="shared" si="35"/>
        <v>-2.1506645818198246E-3</v>
      </c>
    </row>
    <row r="170" spans="1:26" s="69" customFormat="1" ht="15" hidden="1" customHeight="1" outlineLevel="2" x14ac:dyDescent="0.3">
      <c r="A170" s="26"/>
      <c r="B170" s="12" t="str">
        <f>CONCATENATE("          ","6116"," - ","EDUCATIONAL BENEFITS")</f>
        <v xml:space="preserve">          6116 - EDUCATIONAL BENEFITS</v>
      </c>
      <c r="C170" s="12"/>
      <c r="D170" s="8"/>
      <c r="E170" s="3"/>
      <c r="F170" s="7">
        <f t="shared" si="28"/>
        <v>0</v>
      </c>
      <c r="G170" s="3"/>
      <c r="H170" s="8"/>
      <c r="I170" s="3"/>
      <c r="J170" s="7">
        <f t="shared" si="29"/>
        <v>0</v>
      </c>
      <c r="K170" s="3"/>
      <c r="L170" s="8">
        <f t="shared" si="30"/>
        <v>0</v>
      </c>
      <c r="M170" s="3"/>
      <c r="N170" s="7">
        <f t="shared" si="31"/>
        <v>0</v>
      </c>
      <c r="O170" s="12"/>
      <c r="P170" s="8"/>
      <c r="Q170" s="3"/>
      <c r="R170" s="7">
        <f t="shared" si="32"/>
        <v>0</v>
      </c>
      <c r="S170" s="3"/>
      <c r="T170" s="8">
        <v>0</v>
      </c>
      <c r="U170" s="3"/>
      <c r="V170" s="7">
        <f t="shared" si="33"/>
        <v>0</v>
      </c>
      <c r="W170" s="3"/>
      <c r="X170" s="8">
        <f t="shared" si="34"/>
        <v>0</v>
      </c>
      <c r="Y170" s="3"/>
      <c r="Z170" s="7">
        <f t="shared" si="35"/>
        <v>0</v>
      </c>
    </row>
    <row r="171" spans="1:26" s="69" customFormat="1" ht="15" hidden="1" customHeight="1" outlineLevel="2" x14ac:dyDescent="0.3">
      <c r="A171" s="26"/>
      <c r="B171" s="12" t="str">
        <f>CONCATENATE("          ","6117"," - ","RETIREMENT STAFF HOURLY")</f>
        <v xml:space="preserve">          6117 - RETIREMENT STAFF HOURLY</v>
      </c>
      <c r="C171" s="12"/>
      <c r="D171" s="8">
        <v>2679.87</v>
      </c>
      <c r="E171" s="3"/>
      <c r="F171" s="7">
        <f t="shared" si="28"/>
        <v>8.0112450812380536E-4</v>
      </c>
      <c r="G171" s="3"/>
      <c r="H171" s="8">
        <v>2018.25</v>
      </c>
      <c r="I171" s="3"/>
      <c r="J171" s="7">
        <f t="shared" si="29"/>
        <v>1.9431047940749384E-3</v>
      </c>
      <c r="K171" s="3"/>
      <c r="L171" s="8">
        <f t="shared" si="30"/>
        <v>661.61999999999989</v>
      </c>
      <c r="M171" s="3"/>
      <c r="N171" s="7">
        <f t="shared" si="31"/>
        <v>0.32781865477517647</v>
      </c>
      <c r="O171" s="12"/>
      <c r="P171" s="8">
        <v>25354.080000000002</v>
      </c>
      <c r="Q171" s="3"/>
      <c r="R171" s="7">
        <f t="shared" si="32"/>
        <v>1.1598507658754436E-3</v>
      </c>
      <c r="S171" s="3"/>
      <c r="T171" s="8">
        <v>21949.25</v>
      </c>
      <c r="U171" s="3"/>
      <c r="V171" s="7">
        <f t="shared" si="33"/>
        <v>2.4377693816798724E-3</v>
      </c>
      <c r="W171" s="3"/>
      <c r="X171" s="8">
        <f t="shared" si="34"/>
        <v>3404.8300000000017</v>
      </c>
      <c r="Y171" s="3"/>
      <c r="Z171" s="7">
        <f t="shared" si="35"/>
        <v>0.15512284018816141</v>
      </c>
    </row>
    <row r="172" spans="1:26" s="69" customFormat="1" ht="15" hidden="1" customHeight="1" outlineLevel="2" x14ac:dyDescent="0.3">
      <c r="A172" s="26"/>
      <c r="B172" s="12" t="str">
        <f>CONCATENATE("          ","6118"," - ","VACATION")</f>
        <v xml:space="preserve">          6118 - VACATION</v>
      </c>
      <c r="C172" s="12"/>
      <c r="D172" s="8">
        <v>24692.19</v>
      </c>
      <c r="E172" s="3"/>
      <c r="F172" s="7">
        <f t="shared" si="28"/>
        <v>7.3815217037578491E-3</v>
      </c>
      <c r="G172" s="3"/>
      <c r="H172" s="8">
        <v>22536.1</v>
      </c>
      <c r="I172" s="3"/>
      <c r="J172" s="7">
        <f t="shared" si="29"/>
        <v>2.1697016697511319E-2</v>
      </c>
      <c r="K172" s="3"/>
      <c r="L172" s="8">
        <f t="shared" si="30"/>
        <v>2156.09</v>
      </c>
      <c r="M172" s="3"/>
      <c r="N172" s="7">
        <f t="shared" si="31"/>
        <v>9.5672720657079102E-2</v>
      </c>
      <c r="O172" s="12"/>
      <c r="P172" s="8">
        <v>194253.39</v>
      </c>
      <c r="Q172" s="3"/>
      <c r="R172" s="7">
        <f t="shared" si="32"/>
        <v>8.8863387338606343E-3</v>
      </c>
      <c r="S172" s="3"/>
      <c r="T172" s="8">
        <v>163671.79999999999</v>
      </c>
      <c r="U172" s="3"/>
      <c r="V172" s="7">
        <f t="shared" si="33"/>
        <v>1.8178028984335761E-2</v>
      </c>
      <c r="W172" s="3"/>
      <c r="X172" s="8">
        <f t="shared" si="34"/>
        <v>30581.590000000026</v>
      </c>
      <c r="Y172" s="3"/>
      <c r="Z172" s="7">
        <f t="shared" si="35"/>
        <v>0.18684703168169489</v>
      </c>
    </row>
    <row r="173" spans="1:26" s="69" customFormat="1" ht="15" hidden="1" customHeight="1" outlineLevel="2" x14ac:dyDescent="0.3">
      <c r="A173" s="26"/>
      <c r="B173" s="12" t="str">
        <f>CONCATENATE("          ","6119"," - ","SICK LEAVE")</f>
        <v xml:space="preserve">          6119 - SICK LEAVE</v>
      </c>
      <c r="C173" s="12"/>
      <c r="D173" s="8">
        <v>18962.21</v>
      </c>
      <c r="E173" s="3"/>
      <c r="F173" s="7">
        <f t="shared" si="28"/>
        <v>5.6685925657551685E-3</v>
      </c>
      <c r="G173" s="3"/>
      <c r="H173" s="8">
        <v>14773.83</v>
      </c>
      <c r="I173" s="3"/>
      <c r="J173" s="7">
        <f t="shared" si="29"/>
        <v>1.4223758156743786E-2</v>
      </c>
      <c r="K173" s="3"/>
      <c r="L173" s="8">
        <f t="shared" si="30"/>
        <v>4188.3799999999992</v>
      </c>
      <c r="M173" s="3"/>
      <c r="N173" s="7">
        <f t="shared" si="31"/>
        <v>0.28349994551175961</v>
      </c>
      <c r="O173" s="12"/>
      <c r="P173" s="8">
        <v>129751.92</v>
      </c>
      <c r="Q173" s="3"/>
      <c r="R173" s="7">
        <f t="shared" si="32"/>
        <v>5.9356467986931205E-3</v>
      </c>
      <c r="S173" s="3"/>
      <c r="T173" s="8">
        <v>110264.12</v>
      </c>
      <c r="U173" s="3"/>
      <c r="V173" s="7">
        <f t="shared" si="33"/>
        <v>1.2246363572052586E-2</v>
      </c>
      <c r="W173" s="3"/>
      <c r="X173" s="8">
        <f t="shared" si="34"/>
        <v>19487.800000000003</v>
      </c>
      <c r="Y173" s="3"/>
      <c r="Z173" s="7">
        <f t="shared" si="35"/>
        <v>0.17673745548415934</v>
      </c>
    </row>
    <row r="174" spans="1:26" s="69" customFormat="1" ht="15" hidden="1" customHeight="1" outlineLevel="2" x14ac:dyDescent="0.3">
      <c r="A174" s="26"/>
      <c r="B174" s="12" t="str">
        <f>CONCATENATE("          ","6156"," - ","EMPLOYEE MEALS")</f>
        <v xml:space="preserve">          6156 - EMPLOYEE MEALS</v>
      </c>
      <c r="C174" s="12"/>
      <c r="D174" s="8">
        <v>9860.07</v>
      </c>
      <c r="E174" s="3"/>
      <c r="F174" s="7">
        <f t="shared" si="28"/>
        <v>2.9475846697102062E-3</v>
      </c>
      <c r="G174" s="3"/>
      <c r="H174" s="8">
        <v>4905.4799999999996</v>
      </c>
      <c r="I174" s="3"/>
      <c r="J174" s="7">
        <f t="shared" si="29"/>
        <v>4.7228349833958764E-3</v>
      </c>
      <c r="K174" s="3"/>
      <c r="L174" s="8">
        <f t="shared" si="30"/>
        <v>4954.59</v>
      </c>
      <c r="M174" s="3"/>
      <c r="N174" s="7">
        <f t="shared" si="31"/>
        <v>1.0100112527214464</v>
      </c>
      <c r="O174" s="12"/>
      <c r="P174" s="8">
        <v>83301.06</v>
      </c>
      <c r="Q174" s="3"/>
      <c r="R174" s="7">
        <f t="shared" si="32"/>
        <v>3.8107002202105648E-3</v>
      </c>
      <c r="S174" s="3"/>
      <c r="T174" s="8">
        <v>47060.09</v>
      </c>
      <c r="U174" s="3"/>
      <c r="V174" s="7">
        <f t="shared" si="33"/>
        <v>5.2266772897068981E-3</v>
      </c>
      <c r="W174" s="3"/>
      <c r="X174" s="8">
        <f t="shared" si="34"/>
        <v>36240.97</v>
      </c>
      <c r="Y174" s="3"/>
      <c r="Z174" s="7">
        <f t="shared" si="35"/>
        <v>0.77009988718678613</v>
      </c>
    </row>
    <row r="175" spans="1:26" s="68" customFormat="1" ht="15" customHeight="1" outlineLevel="1" collapsed="1" x14ac:dyDescent="0.3">
      <c r="A175" s="25"/>
      <c r="B175" s="14" t="str">
        <f>CONCATENATE("     ","*Payroll                                          ")</f>
        <v xml:space="preserve">     *Payroll                                          </v>
      </c>
      <c r="C175" s="14"/>
      <c r="D175" s="2">
        <f>SUM(OSRRefD22_1x_0)</f>
        <v>668253.4800000001</v>
      </c>
      <c r="E175" s="2"/>
      <c r="F175" s="6">
        <f t="shared" si="28"/>
        <v>0.19976873522485095</v>
      </c>
      <c r="G175" s="2"/>
      <c r="H175" s="2">
        <f>SUM(OSRRefH22_1x_0)</f>
        <v>295171.22000000003</v>
      </c>
      <c r="I175" s="2"/>
      <c r="J175" s="6">
        <f t="shared" si="29"/>
        <v>0.28418115330357907</v>
      </c>
      <c r="K175" s="2"/>
      <c r="L175" s="2">
        <f t="shared" si="30"/>
        <v>373082.26000000007</v>
      </c>
      <c r="M175" s="2"/>
      <c r="N175" s="6">
        <f t="shared" si="31"/>
        <v>1.2639520207966075</v>
      </c>
      <c r="O175" s="14"/>
      <c r="P175" s="2">
        <f>SUM(OSRRefP22_1x_0)</f>
        <v>5188954.2399999993</v>
      </c>
      <c r="Q175" s="2"/>
      <c r="R175" s="6">
        <f t="shared" si="32"/>
        <v>0.23737451918415614</v>
      </c>
      <c r="S175" s="2"/>
      <c r="T175" s="2">
        <f>SUM(OSRRefT22_1x_0)</f>
        <v>2874378.25</v>
      </c>
      <c r="U175" s="2"/>
      <c r="V175" s="6">
        <f t="shared" si="33"/>
        <v>0.31923966829010436</v>
      </c>
      <c r="W175" s="2"/>
      <c r="X175" s="2">
        <f t="shared" si="34"/>
        <v>2314575.9899999993</v>
      </c>
      <c r="Y175" s="2"/>
      <c r="Z175" s="6">
        <f t="shared" si="35"/>
        <v>0.80524405234418928</v>
      </c>
    </row>
    <row r="176" spans="1:26" s="69" customFormat="1" ht="15" hidden="1" customHeight="1" outlineLevel="2" x14ac:dyDescent="0.3">
      <c r="A176" s="26"/>
      <c r="B176" s="12" t="str">
        <f>CONCATENATE("          ","6001"," - ","ADMINISTRATIVE SALARIES")</f>
        <v xml:space="preserve">          6001 - ADMINISTRATIVE SALARIES</v>
      </c>
      <c r="C176" s="12"/>
      <c r="D176" s="8">
        <v>30676.82</v>
      </c>
      <c r="E176" s="3"/>
      <c r="F176" s="7">
        <f t="shared" si="28"/>
        <v>9.1705763090383172E-3</v>
      </c>
      <c r="G176" s="3"/>
      <c r="H176" s="8">
        <v>31629.19</v>
      </c>
      <c r="I176" s="3"/>
      <c r="J176" s="7">
        <f t="shared" si="29"/>
        <v>3.0451545012613452E-2</v>
      </c>
      <c r="K176" s="3"/>
      <c r="L176" s="8">
        <f t="shared" si="30"/>
        <v>-952.36999999999898</v>
      </c>
      <c r="M176" s="3"/>
      <c r="N176" s="7">
        <f t="shared" si="31"/>
        <v>-3.0110477062485604E-2</v>
      </c>
      <c r="O176" s="12"/>
      <c r="P176" s="8">
        <v>302544.7</v>
      </c>
      <c r="Q176" s="3"/>
      <c r="R176" s="7">
        <f t="shared" si="32"/>
        <v>1.3840245909398263E-2</v>
      </c>
      <c r="S176" s="3"/>
      <c r="T176" s="8">
        <v>289152.71999999997</v>
      </c>
      <c r="U176" s="3"/>
      <c r="V176" s="7">
        <f t="shared" si="33"/>
        <v>3.2114429761629815E-2</v>
      </c>
      <c r="W176" s="3"/>
      <c r="X176" s="8">
        <f t="shared" si="34"/>
        <v>13391.98000000004</v>
      </c>
      <c r="Y176" s="3"/>
      <c r="Z176" s="7">
        <f t="shared" si="35"/>
        <v>4.6314556542992373E-2</v>
      </c>
    </row>
    <row r="177" spans="1:26" s="69" customFormat="1" ht="15" hidden="1" customHeight="1" outlineLevel="2" x14ac:dyDescent="0.3">
      <c r="A177" s="26"/>
      <c r="B177" s="12" t="str">
        <f>CONCATENATE("          ","6002"," - ","STAFF SALARIES")</f>
        <v xml:space="preserve">          6002 - STAFF SALARIES</v>
      </c>
      <c r="C177" s="12"/>
      <c r="D177" s="8">
        <v>132640.35999999999</v>
      </c>
      <c r="E177" s="3"/>
      <c r="F177" s="7">
        <f t="shared" si="28"/>
        <v>3.9651715628879189E-2</v>
      </c>
      <c r="G177" s="3"/>
      <c r="H177" s="8">
        <v>118725.46</v>
      </c>
      <c r="I177" s="3"/>
      <c r="J177" s="7">
        <f t="shared" si="29"/>
        <v>0.11430497237941402</v>
      </c>
      <c r="K177" s="3"/>
      <c r="L177" s="8">
        <f t="shared" si="30"/>
        <v>13914.89999999998</v>
      </c>
      <c r="M177" s="3"/>
      <c r="N177" s="7">
        <f t="shared" si="31"/>
        <v>0.11720232543213543</v>
      </c>
      <c r="O177" s="12"/>
      <c r="P177" s="8">
        <v>1236363.47</v>
      </c>
      <c r="Q177" s="3"/>
      <c r="R177" s="7">
        <f t="shared" si="32"/>
        <v>5.6558830672614462E-2</v>
      </c>
      <c r="S177" s="3"/>
      <c r="T177" s="8">
        <v>1130003.1499999999</v>
      </c>
      <c r="U177" s="3"/>
      <c r="V177" s="7">
        <f t="shared" si="33"/>
        <v>0.12550256069213334</v>
      </c>
      <c r="W177" s="3"/>
      <c r="X177" s="8">
        <f t="shared" si="34"/>
        <v>106360.32000000007</v>
      </c>
      <c r="Y177" s="3"/>
      <c r="Z177" s="7">
        <f t="shared" si="35"/>
        <v>9.4123914610326598E-2</v>
      </c>
    </row>
    <row r="178" spans="1:26" s="69" customFormat="1" ht="15" hidden="1" customHeight="1" outlineLevel="2" x14ac:dyDescent="0.3">
      <c r="A178" s="26"/>
      <c r="B178" s="12" t="str">
        <f>CONCATENATE("          ","6004"," - ","STAFF HOURLY")</f>
        <v xml:space="preserve">          6004 - STAFF HOURLY</v>
      </c>
      <c r="C178" s="12"/>
      <c r="D178" s="8">
        <v>180016.06</v>
      </c>
      <c r="E178" s="3"/>
      <c r="F178" s="7">
        <f t="shared" si="28"/>
        <v>5.3814281111354452E-2</v>
      </c>
      <c r="G178" s="3"/>
      <c r="H178" s="8">
        <v>92670.57</v>
      </c>
      <c r="I178" s="3"/>
      <c r="J178" s="7">
        <f t="shared" si="29"/>
        <v>8.9220180273334407E-2</v>
      </c>
      <c r="K178" s="3"/>
      <c r="L178" s="8">
        <f t="shared" si="30"/>
        <v>87345.489999999991</v>
      </c>
      <c r="M178" s="3"/>
      <c r="N178" s="7">
        <f t="shared" si="31"/>
        <v>0.94253752836526183</v>
      </c>
      <c r="O178" s="12"/>
      <c r="P178" s="8">
        <v>1209185.76</v>
      </c>
      <c r="Q178" s="3"/>
      <c r="R178" s="7">
        <f t="shared" si="32"/>
        <v>5.531555591138311E-2</v>
      </c>
      <c r="S178" s="3"/>
      <c r="T178" s="8">
        <v>682830.15</v>
      </c>
      <c r="U178" s="3"/>
      <c r="V178" s="7">
        <f t="shared" si="33"/>
        <v>7.5837781817505126E-2</v>
      </c>
      <c r="W178" s="3"/>
      <c r="X178" s="8">
        <f t="shared" si="34"/>
        <v>526355.61</v>
      </c>
      <c r="Y178" s="3"/>
      <c r="Z178" s="7">
        <f t="shared" si="35"/>
        <v>0.77084412573170646</v>
      </c>
    </row>
    <row r="179" spans="1:26" s="69" customFormat="1" ht="15" hidden="1" customHeight="1" outlineLevel="2" x14ac:dyDescent="0.3">
      <c r="A179" s="26"/>
      <c r="B179" s="12" t="str">
        <f>CONCATENATE("          ","6005"," - ","TEMPORARY WAGES-HOURLY")</f>
        <v xml:space="preserve">          6005 - TEMPORARY WAGES-HOURLY</v>
      </c>
      <c r="C179" s="12"/>
      <c r="D179" s="8">
        <v>81599.64</v>
      </c>
      <c r="E179" s="3"/>
      <c r="F179" s="7">
        <f t="shared" si="28"/>
        <v>2.4393523364222743E-2</v>
      </c>
      <c r="G179" s="3"/>
      <c r="H179" s="8">
        <v>33928.269999999997</v>
      </c>
      <c r="I179" s="3"/>
      <c r="J179" s="7">
        <f t="shared" si="29"/>
        <v>3.2665023704530609E-2</v>
      </c>
      <c r="K179" s="3"/>
      <c r="L179" s="8">
        <f t="shared" si="30"/>
        <v>47671.37</v>
      </c>
      <c r="M179" s="3"/>
      <c r="N179" s="7">
        <f t="shared" si="31"/>
        <v>1.4050633881421011</v>
      </c>
      <c r="O179" s="12"/>
      <c r="P179" s="8">
        <v>662097.05000000005</v>
      </c>
      <c r="Q179" s="3"/>
      <c r="R179" s="7">
        <f t="shared" si="32"/>
        <v>3.0288370570983915E-2</v>
      </c>
      <c r="S179" s="3"/>
      <c r="T179" s="8">
        <v>322526.76</v>
      </c>
      <c r="U179" s="3"/>
      <c r="V179" s="7">
        <f t="shared" si="33"/>
        <v>3.582108091622322E-2</v>
      </c>
      <c r="W179" s="3"/>
      <c r="X179" s="8">
        <f t="shared" si="34"/>
        <v>339570.29000000004</v>
      </c>
      <c r="Y179" s="3"/>
      <c r="Z179" s="7">
        <f t="shared" si="35"/>
        <v>1.0528437702347553</v>
      </c>
    </row>
    <row r="180" spans="1:26" s="69" customFormat="1" ht="15" hidden="1" customHeight="1" outlineLevel="2" x14ac:dyDescent="0.3">
      <c r="A180" s="26"/>
      <c r="B180" s="12" t="str">
        <f>CONCATENATE("          ","6006"," - ","TEMPORARY PART TIME")</f>
        <v xml:space="preserve">          6006 - TEMPORARY PART TIME</v>
      </c>
      <c r="C180" s="12"/>
      <c r="D180" s="8">
        <v>8980.7099999999991</v>
      </c>
      <c r="E180" s="3"/>
      <c r="F180" s="7">
        <f t="shared" si="28"/>
        <v>2.6847074228796694E-3</v>
      </c>
      <c r="G180" s="3"/>
      <c r="H180" s="8">
        <v>3741.03</v>
      </c>
      <c r="I180" s="3"/>
      <c r="J180" s="7">
        <f t="shared" si="29"/>
        <v>3.6017407792781702E-3</v>
      </c>
      <c r="K180" s="3"/>
      <c r="L180" s="8">
        <f t="shared" si="30"/>
        <v>5239.6799999999985</v>
      </c>
      <c r="M180" s="3"/>
      <c r="N180" s="7">
        <f t="shared" si="31"/>
        <v>1.4005982309684761</v>
      </c>
      <c r="O180" s="12"/>
      <c r="P180" s="8">
        <v>30239.86</v>
      </c>
      <c r="Q180" s="3"/>
      <c r="R180" s="7">
        <f t="shared" si="32"/>
        <v>1.3833562401383206E-3</v>
      </c>
      <c r="S180" s="3"/>
      <c r="T180" s="8">
        <v>19121.28</v>
      </c>
      <c r="U180" s="3"/>
      <c r="V180" s="7">
        <f t="shared" si="33"/>
        <v>2.1236839947846829E-3</v>
      </c>
      <c r="W180" s="3"/>
      <c r="X180" s="8">
        <f t="shared" si="34"/>
        <v>11118.580000000002</v>
      </c>
      <c r="Y180" s="3"/>
      <c r="Z180" s="7">
        <f t="shared" si="35"/>
        <v>0.58147676306188723</v>
      </c>
    </row>
    <row r="181" spans="1:26" s="69" customFormat="1" ht="15" hidden="1" customHeight="1" outlineLevel="2" x14ac:dyDescent="0.3">
      <c r="A181" s="26"/>
      <c r="B181" s="12" t="str">
        <f>CONCATENATE("          ","6007"," - ","STUDENT HOURLY")</f>
        <v xml:space="preserve">          6007 - STUDENT HOURLY</v>
      </c>
      <c r="C181" s="12"/>
      <c r="D181" s="8">
        <v>152385.1</v>
      </c>
      <c r="E181" s="3"/>
      <c r="F181" s="7">
        <f t="shared" si="28"/>
        <v>4.5554238930581303E-2</v>
      </c>
      <c r="G181" s="3"/>
      <c r="H181" s="8">
        <v>12886.37</v>
      </c>
      <c r="I181" s="3"/>
      <c r="J181" s="7">
        <f t="shared" si="29"/>
        <v>1.2406573677801791E-2</v>
      </c>
      <c r="K181" s="3"/>
      <c r="L181" s="8">
        <f t="shared" si="30"/>
        <v>139498.73000000001</v>
      </c>
      <c r="M181" s="3"/>
      <c r="N181" s="7">
        <f t="shared" si="31"/>
        <v>10.825292925781271</v>
      </c>
      <c r="O181" s="12"/>
      <c r="P181" s="8">
        <v>1397851.77</v>
      </c>
      <c r="Q181" s="3"/>
      <c r="R181" s="7">
        <f t="shared" si="32"/>
        <v>6.3946293693750447E-2</v>
      </c>
      <c r="S181" s="3"/>
      <c r="T181" s="8">
        <v>406199.48</v>
      </c>
      <c r="U181" s="3"/>
      <c r="V181" s="7">
        <f t="shared" si="33"/>
        <v>4.5114099807432397E-2</v>
      </c>
      <c r="W181" s="3"/>
      <c r="X181" s="8">
        <f t="shared" si="34"/>
        <v>991652.29</v>
      </c>
      <c r="Y181" s="3"/>
      <c r="Z181" s="7">
        <f t="shared" si="35"/>
        <v>2.4412938440984711</v>
      </c>
    </row>
    <row r="182" spans="1:26" s="69" customFormat="1" ht="15" hidden="1" customHeight="1" outlineLevel="2" x14ac:dyDescent="0.3">
      <c r="A182" s="26"/>
      <c r="B182" s="12" t="str">
        <f>CONCATENATE("          ","6008"," - ","STUDENT HOURLY-FICA EXEMPT")</f>
        <v xml:space="preserve">          6008 - STUDENT HOURLY-FICA EXEMPT</v>
      </c>
      <c r="C182" s="12"/>
      <c r="D182" s="8">
        <v>81954.789999999994</v>
      </c>
      <c r="E182" s="3"/>
      <c r="F182" s="7">
        <f t="shared" si="28"/>
        <v>2.4499692457895256E-2</v>
      </c>
      <c r="G182" s="3"/>
      <c r="H182" s="8">
        <v>1590.33</v>
      </c>
      <c r="I182" s="3"/>
      <c r="J182" s="7">
        <f t="shared" si="29"/>
        <v>1.5311174766065635E-3</v>
      </c>
      <c r="K182" s="3"/>
      <c r="L182" s="8">
        <f t="shared" si="30"/>
        <v>80364.459999999992</v>
      </c>
      <c r="M182" s="3"/>
      <c r="N182" s="7">
        <f t="shared" si="31"/>
        <v>50.533197512465961</v>
      </c>
      <c r="O182" s="12"/>
      <c r="P182" s="8">
        <v>350671.63</v>
      </c>
      <c r="Q182" s="3"/>
      <c r="R182" s="7">
        <f t="shared" si="32"/>
        <v>1.6041866185887644E-2</v>
      </c>
      <c r="S182" s="3"/>
      <c r="T182" s="8">
        <v>24544.71</v>
      </c>
      <c r="U182" s="3"/>
      <c r="V182" s="7">
        <f t="shared" si="33"/>
        <v>2.7260313003957663E-3</v>
      </c>
      <c r="W182" s="3"/>
      <c r="X182" s="8">
        <f t="shared" si="34"/>
        <v>326126.92</v>
      </c>
      <c r="Y182" s="3"/>
      <c r="Z182" s="7">
        <f t="shared" si="35"/>
        <v>13.28705533697485</v>
      </c>
    </row>
    <row r="183" spans="1:26" s="68" customFormat="1" ht="15" customHeight="1" outlineLevel="1" collapsed="1" x14ac:dyDescent="0.3">
      <c r="A183" s="25"/>
      <c r="B183" s="14" t="str">
        <f>CONCATENATE("     ","Advertising/Promo                                 ")</f>
        <v xml:space="preserve">     Advertising/Promo                                 </v>
      </c>
      <c r="C183" s="14"/>
      <c r="D183" s="2">
        <f>SUM(OSRRefD22_2x_0)</f>
        <v>4021.81</v>
      </c>
      <c r="E183" s="2"/>
      <c r="F183" s="6">
        <f t="shared" si="28"/>
        <v>1.2022861400058219E-3</v>
      </c>
      <c r="G183" s="2"/>
      <c r="H183" s="2">
        <f>SUM(OSRRefH22_2x_0)</f>
        <v>1531.18</v>
      </c>
      <c r="I183" s="2"/>
      <c r="J183" s="6">
        <f t="shared" si="29"/>
        <v>1.4741697998720002E-3</v>
      </c>
      <c r="K183" s="2"/>
      <c r="L183" s="2">
        <f t="shared" si="30"/>
        <v>2490.63</v>
      </c>
      <c r="M183" s="2"/>
      <c r="N183" s="6">
        <f t="shared" si="31"/>
        <v>1.6266082367847019</v>
      </c>
      <c r="O183" s="14"/>
      <c r="P183" s="2">
        <f>SUM(OSRRefP22_2x_0)</f>
        <v>19245.02</v>
      </c>
      <c r="Q183" s="2"/>
      <c r="R183" s="6">
        <f t="shared" si="32"/>
        <v>8.8038497891811606E-4</v>
      </c>
      <c r="S183" s="2"/>
      <c r="T183" s="2">
        <f>SUM(OSRRefT22_2x_0)</f>
        <v>20170.52</v>
      </c>
      <c r="U183" s="2"/>
      <c r="V183" s="6">
        <f t="shared" si="33"/>
        <v>2.2402166847870198E-3</v>
      </c>
      <c r="W183" s="2"/>
      <c r="X183" s="2">
        <f t="shared" si="34"/>
        <v>-925.5</v>
      </c>
      <c r="Y183" s="2"/>
      <c r="Z183" s="6">
        <f t="shared" si="35"/>
        <v>-4.588379476582656E-2</v>
      </c>
    </row>
    <row r="184" spans="1:26" s="69" customFormat="1" ht="15" hidden="1" customHeight="1" outlineLevel="2" x14ac:dyDescent="0.3">
      <c r="A184" s="26"/>
      <c r="B184" s="12" t="str">
        <f>CONCATENATE("          ","6362"," - ","ADVERTISING EXPENSE")</f>
        <v xml:space="preserve">          6362 - ADVERTISING EXPENSE</v>
      </c>
      <c r="C184" s="12"/>
      <c r="D184" s="8">
        <v>4021.81</v>
      </c>
      <c r="E184" s="3"/>
      <c r="F184" s="7">
        <f t="shared" si="28"/>
        <v>1.2022861400058219E-3</v>
      </c>
      <c r="G184" s="3"/>
      <c r="H184" s="8">
        <v>1531.18</v>
      </c>
      <c r="I184" s="3"/>
      <c r="J184" s="7">
        <f t="shared" si="29"/>
        <v>1.4741697998720002E-3</v>
      </c>
      <c r="K184" s="3"/>
      <c r="L184" s="8">
        <f t="shared" si="30"/>
        <v>2490.63</v>
      </c>
      <c r="M184" s="3"/>
      <c r="N184" s="7">
        <f t="shared" si="31"/>
        <v>1.6266082367847019</v>
      </c>
      <c r="O184" s="12"/>
      <c r="P184" s="8">
        <v>19245.02</v>
      </c>
      <c r="Q184" s="3"/>
      <c r="R184" s="7">
        <f t="shared" si="32"/>
        <v>8.8038497891811606E-4</v>
      </c>
      <c r="S184" s="3"/>
      <c r="T184" s="8">
        <v>20170.52</v>
      </c>
      <c r="U184" s="3"/>
      <c r="V184" s="7">
        <f t="shared" si="33"/>
        <v>2.2402166847870198E-3</v>
      </c>
      <c r="W184" s="3"/>
      <c r="X184" s="8">
        <f t="shared" si="34"/>
        <v>-925.5</v>
      </c>
      <c r="Y184" s="3"/>
      <c r="Z184" s="7">
        <f t="shared" si="35"/>
        <v>-4.588379476582656E-2</v>
      </c>
    </row>
    <row r="185" spans="1:26" s="68" customFormat="1" ht="15" customHeight="1" outlineLevel="1" collapsed="1" x14ac:dyDescent="0.3">
      <c r="A185" s="25"/>
      <c r="B185" s="14" t="str">
        <f>CONCATENATE("     ","Bad Debts/Over/Short                              ")</f>
        <v xml:space="preserve">     Bad Debts/Over/Short                              </v>
      </c>
      <c r="C185" s="14"/>
      <c r="D185" s="2">
        <f>SUM(OSRRefD22_3x_0)</f>
        <v>-35.880000000000003</v>
      </c>
      <c r="E185" s="2"/>
      <c r="F185" s="6">
        <f t="shared" si="28"/>
        <v>-1.0726023035252508E-5</v>
      </c>
      <c r="G185" s="2"/>
      <c r="H185" s="2">
        <f>SUM(OSRRefH22_3x_0)</f>
        <v>-0.67</v>
      </c>
      <c r="I185" s="2"/>
      <c r="J185" s="6">
        <f t="shared" si="29"/>
        <v>-6.450539883712171E-7</v>
      </c>
      <c r="K185" s="2"/>
      <c r="L185" s="2">
        <f t="shared" si="30"/>
        <v>-35.21</v>
      </c>
      <c r="M185" s="2"/>
      <c r="N185" s="6">
        <f t="shared" si="31"/>
        <v>52.552238805970148</v>
      </c>
      <c r="O185" s="14"/>
      <c r="P185" s="2">
        <f>SUM(OSRRefP22_3x_0)</f>
        <v>-19.190000000000001</v>
      </c>
      <c r="Q185" s="2"/>
      <c r="R185" s="6">
        <f t="shared" si="32"/>
        <v>-8.7786802743975574E-7</v>
      </c>
      <c r="S185" s="2"/>
      <c r="T185" s="2">
        <f>SUM(OSRRefT22_3x_0)</f>
        <v>5248.53</v>
      </c>
      <c r="U185" s="2"/>
      <c r="V185" s="6">
        <f t="shared" si="33"/>
        <v>5.8292222890660313E-4</v>
      </c>
      <c r="W185" s="2"/>
      <c r="X185" s="2">
        <f t="shared" si="34"/>
        <v>-5267.7199999999993</v>
      </c>
      <c r="Y185" s="2"/>
      <c r="Z185" s="6">
        <f t="shared" si="35"/>
        <v>-1.0036562618485556</v>
      </c>
    </row>
    <row r="186" spans="1:26" s="69" customFormat="1" ht="15" hidden="1" customHeight="1" outlineLevel="2" x14ac:dyDescent="0.3">
      <c r="A186" s="26"/>
      <c r="B186" s="12" t="str">
        <f>CONCATENATE("          ","6272"," - ","CASH (OVER/SHORT)")</f>
        <v xml:space="preserve">          6272 - CASH (OVER/SHORT)</v>
      </c>
      <c r="C186" s="12"/>
      <c r="D186" s="8">
        <v>-35.880000000000003</v>
      </c>
      <c r="E186" s="3"/>
      <c r="F186" s="7">
        <f t="shared" si="28"/>
        <v>-1.0726023035252508E-5</v>
      </c>
      <c r="G186" s="3"/>
      <c r="H186" s="8">
        <v>-0.67</v>
      </c>
      <c r="I186" s="3"/>
      <c r="J186" s="7">
        <f t="shared" si="29"/>
        <v>-6.450539883712171E-7</v>
      </c>
      <c r="K186" s="3"/>
      <c r="L186" s="8">
        <f t="shared" si="30"/>
        <v>-35.21</v>
      </c>
      <c r="M186" s="3"/>
      <c r="N186" s="7">
        <f t="shared" si="31"/>
        <v>52.552238805970148</v>
      </c>
      <c r="O186" s="12"/>
      <c r="P186" s="8">
        <v>-19.190000000000001</v>
      </c>
      <c r="Q186" s="3"/>
      <c r="R186" s="7">
        <f t="shared" si="32"/>
        <v>-8.7786802743975574E-7</v>
      </c>
      <c r="S186" s="3"/>
      <c r="T186" s="8">
        <v>-100.89</v>
      </c>
      <c r="U186" s="3"/>
      <c r="V186" s="7">
        <f t="shared" si="33"/>
        <v>-1.1205237213922222E-5</v>
      </c>
      <c r="W186" s="3"/>
      <c r="X186" s="8">
        <f t="shared" si="34"/>
        <v>81.7</v>
      </c>
      <c r="Y186" s="3"/>
      <c r="Z186" s="7">
        <f t="shared" si="35"/>
        <v>-0.80979284369114879</v>
      </c>
    </row>
    <row r="187" spans="1:26" s="69" customFormat="1" ht="15" hidden="1" customHeight="1" outlineLevel="2" x14ac:dyDescent="0.3">
      <c r="A187" s="26"/>
      <c r="B187" s="12" t="str">
        <f>CONCATENATE("          ","6342"," - ","BAD DEBT")</f>
        <v xml:space="preserve">          6342 - BAD DEBT</v>
      </c>
      <c r="C187" s="12"/>
      <c r="D187" s="8"/>
      <c r="E187" s="3"/>
      <c r="F187" s="7">
        <f t="shared" si="28"/>
        <v>0</v>
      </c>
      <c r="G187" s="3"/>
      <c r="H187" s="8"/>
      <c r="I187" s="3"/>
      <c r="J187" s="7">
        <f t="shared" si="29"/>
        <v>0</v>
      </c>
      <c r="K187" s="3"/>
      <c r="L187" s="8">
        <f t="shared" si="30"/>
        <v>0</v>
      </c>
      <c r="M187" s="3"/>
      <c r="N187" s="7">
        <f t="shared" si="31"/>
        <v>0</v>
      </c>
      <c r="O187" s="12"/>
      <c r="P187" s="8"/>
      <c r="Q187" s="3"/>
      <c r="R187" s="7">
        <f t="shared" si="32"/>
        <v>0</v>
      </c>
      <c r="S187" s="3"/>
      <c r="T187" s="8">
        <v>5349.42</v>
      </c>
      <c r="U187" s="3"/>
      <c r="V187" s="7">
        <f t="shared" si="33"/>
        <v>5.9412746612052538E-4</v>
      </c>
      <c r="W187" s="3"/>
      <c r="X187" s="8">
        <f t="shared" si="34"/>
        <v>-5349.42</v>
      </c>
      <c r="Y187" s="3"/>
      <c r="Z187" s="7">
        <f t="shared" si="35"/>
        <v>-1</v>
      </c>
    </row>
    <row r="188" spans="1:26" s="68" customFormat="1" ht="15" customHeight="1" outlineLevel="1" collapsed="1" x14ac:dyDescent="0.3">
      <c r="A188" s="25"/>
      <c r="B188" s="14" t="str">
        <f>CONCATENATE("     ","Bank/card Fees                                    ")</f>
        <v xml:space="preserve">     Bank/card Fees                                    </v>
      </c>
      <c r="C188" s="14"/>
      <c r="D188" s="2">
        <f>SUM(OSRRefD22_4x_0)</f>
        <v>28954.61</v>
      </c>
      <c r="E188" s="2"/>
      <c r="F188" s="6">
        <f t="shared" si="28"/>
        <v>8.6557361715928829E-3</v>
      </c>
      <c r="G188" s="2"/>
      <c r="H188" s="2">
        <f>SUM(OSRRefH22_4x_0)</f>
        <v>7142.6</v>
      </c>
      <c r="I188" s="2"/>
      <c r="J188" s="6">
        <f t="shared" si="29"/>
        <v>6.876660622895903E-3</v>
      </c>
      <c r="K188" s="2"/>
      <c r="L188" s="2">
        <f t="shared" si="30"/>
        <v>21812.010000000002</v>
      </c>
      <c r="M188" s="2"/>
      <c r="N188" s="6">
        <f t="shared" si="31"/>
        <v>3.0537913364881137</v>
      </c>
      <c r="O188" s="14"/>
      <c r="P188" s="2">
        <f>SUM(OSRRefP22_4x_0)</f>
        <v>197883.68</v>
      </c>
      <c r="Q188" s="2"/>
      <c r="R188" s="6">
        <f t="shared" si="32"/>
        <v>9.0524104129296422E-3</v>
      </c>
      <c r="S188" s="2"/>
      <c r="T188" s="2">
        <f>SUM(OSRRefT22_4x_0)</f>
        <v>84433.91</v>
      </c>
      <c r="U188" s="2"/>
      <c r="V188" s="6">
        <f t="shared" si="33"/>
        <v>9.3775596238374424E-3</v>
      </c>
      <c r="W188" s="2"/>
      <c r="X188" s="2">
        <f t="shared" si="34"/>
        <v>113449.76999999999</v>
      </c>
      <c r="Y188" s="2"/>
      <c r="Z188" s="6">
        <f t="shared" si="35"/>
        <v>1.3436517389754896</v>
      </c>
    </row>
    <row r="189" spans="1:26" s="69" customFormat="1" ht="15" hidden="1" customHeight="1" outlineLevel="2" x14ac:dyDescent="0.3">
      <c r="A189" s="26"/>
      <c r="B189" s="12" t="str">
        <f>CONCATENATE("          ","6381"," - ","BANK/CREDIT CARD FEES")</f>
        <v xml:space="preserve">          6381 - BANK/CREDIT CARD FEES</v>
      </c>
      <c r="C189" s="12"/>
      <c r="D189" s="8">
        <v>28954.61</v>
      </c>
      <c r="E189" s="3"/>
      <c r="F189" s="7">
        <f t="shared" si="28"/>
        <v>8.6557361715928829E-3</v>
      </c>
      <c r="G189" s="3"/>
      <c r="H189" s="8">
        <v>7142.6</v>
      </c>
      <c r="I189" s="3"/>
      <c r="J189" s="7">
        <f t="shared" si="29"/>
        <v>6.876660622895903E-3</v>
      </c>
      <c r="K189" s="3"/>
      <c r="L189" s="8">
        <f t="shared" si="30"/>
        <v>21812.010000000002</v>
      </c>
      <c r="M189" s="3"/>
      <c r="N189" s="7">
        <f t="shared" si="31"/>
        <v>3.0537913364881137</v>
      </c>
      <c r="O189" s="12"/>
      <c r="P189" s="8">
        <v>197883.68</v>
      </c>
      <c r="Q189" s="3"/>
      <c r="R189" s="7">
        <f t="shared" si="32"/>
        <v>9.0524104129296422E-3</v>
      </c>
      <c r="S189" s="3"/>
      <c r="T189" s="8">
        <v>84433.91</v>
      </c>
      <c r="U189" s="3"/>
      <c r="V189" s="7">
        <f t="shared" si="33"/>
        <v>9.3775596238374424E-3</v>
      </c>
      <c r="W189" s="3"/>
      <c r="X189" s="8">
        <f t="shared" si="34"/>
        <v>113449.76999999999</v>
      </c>
      <c r="Y189" s="3"/>
      <c r="Z189" s="7">
        <f t="shared" si="35"/>
        <v>1.3436517389754896</v>
      </c>
    </row>
    <row r="190" spans="1:26" s="68" customFormat="1" ht="15" customHeight="1" outlineLevel="1" collapsed="1" x14ac:dyDescent="0.3">
      <c r="A190" s="25"/>
      <c r="B190" s="14" t="str">
        <f>CONCATENATE("     ","Depreciation                                      ")</f>
        <v xml:space="preserve">     Depreciation                                      </v>
      </c>
      <c r="C190" s="14"/>
      <c r="D190" s="2">
        <f>SUM(OSRRefD22_5x_0)</f>
        <v>59823</v>
      </c>
      <c r="E190" s="2"/>
      <c r="F190" s="6">
        <f t="shared" si="28"/>
        <v>1.7883580714546009E-2</v>
      </c>
      <c r="G190" s="2"/>
      <c r="H190" s="2">
        <f>SUM(OSRRefH22_5x_0)</f>
        <v>77647.64</v>
      </c>
      <c r="I190" s="2"/>
      <c r="J190" s="6">
        <f t="shared" si="29"/>
        <v>7.4756596820317087E-2</v>
      </c>
      <c r="K190" s="2"/>
      <c r="L190" s="2">
        <f t="shared" si="30"/>
        <v>-17824.64</v>
      </c>
      <c r="M190" s="2"/>
      <c r="N190" s="6">
        <f t="shared" si="31"/>
        <v>-0.22955803936861441</v>
      </c>
      <c r="O190" s="14"/>
      <c r="P190" s="2">
        <f>SUM(OSRRefP22_5x_0)</f>
        <v>690530.7</v>
      </c>
      <c r="Q190" s="2"/>
      <c r="R190" s="6">
        <f t="shared" si="32"/>
        <v>3.1589099713162774E-2</v>
      </c>
      <c r="S190" s="2"/>
      <c r="T190" s="2">
        <f>SUM(OSRRefT22_5x_0)</f>
        <v>779248.25</v>
      </c>
      <c r="U190" s="2"/>
      <c r="V190" s="6">
        <f t="shared" si="33"/>
        <v>8.6546352361817486E-2</v>
      </c>
      <c r="W190" s="2"/>
      <c r="X190" s="2">
        <f t="shared" si="34"/>
        <v>-88717.550000000047</v>
      </c>
      <c r="Y190" s="2"/>
      <c r="Z190" s="6">
        <f t="shared" si="35"/>
        <v>-0.11385017547360556</v>
      </c>
    </row>
    <row r="191" spans="1:26" s="69" customFormat="1" ht="15" hidden="1" customHeight="1" outlineLevel="2" x14ac:dyDescent="0.3">
      <c r="A191" s="26"/>
      <c r="B191" s="12" t="str">
        <f>CONCATENATE("          ","6321"," - ","BUILDING DEPRECIATION")</f>
        <v xml:space="preserve">          6321 - BUILDING DEPRECIATION</v>
      </c>
      <c r="C191" s="12"/>
      <c r="D191" s="8">
        <v>41941.620000000003</v>
      </c>
      <c r="E191" s="3"/>
      <c r="F191" s="7">
        <f t="shared" si="28"/>
        <v>1.2538093150942233E-2</v>
      </c>
      <c r="G191" s="3"/>
      <c r="H191" s="8">
        <v>45060.52</v>
      </c>
      <c r="I191" s="3"/>
      <c r="J191" s="7">
        <f t="shared" si="29"/>
        <v>4.3382788274747744E-2</v>
      </c>
      <c r="K191" s="3"/>
      <c r="L191" s="8">
        <f t="shared" si="30"/>
        <v>-3118.8999999999942</v>
      </c>
      <c r="M191" s="3"/>
      <c r="N191" s="7">
        <f t="shared" si="31"/>
        <v>-6.9215801326748885E-2</v>
      </c>
      <c r="O191" s="12"/>
      <c r="P191" s="8">
        <v>438763.08</v>
      </c>
      <c r="Q191" s="3"/>
      <c r="R191" s="7">
        <f t="shared" si="32"/>
        <v>2.0071708158050639E-2</v>
      </c>
      <c r="S191" s="3"/>
      <c r="T191" s="8">
        <v>451389.39</v>
      </c>
      <c r="U191" s="3"/>
      <c r="V191" s="7">
        <f t="shared" si="33"/>
        <v>5.0133067606280612E-2</v>
      </c>
      <c r="W191" s="3"/>
      <c r="X191" s="8">
        <f t="shared" si="34"/>
        <v>-12626.309999999998</v>
      </c>
      <c r="Y191" s="3"/>
      <c r="Z191" s="7">
        <f t="shared" si="35"/>
        <v>-2.7972101869740442E-2</v>
      </c>
    </row>
    <row r="192" spans="1:26" s="69" customFormat="1" ht="15" hidden="1" customHeight="1" outlineLevel="2" x14ac:dyDescent="0.3">
      <c r="A192" s="26"/>
      <c r="B192" s="12" t="str">
        <f>CONCATENATE("          ","6322"," - ","EQUIPMENT DEPRECIATION EXPENSE")</f>
        <v xml:space="preserve">          6322 - EQUIPMENT DEPRECIATION EXPENSE</v>
      </c>
      <c r="C192" s="12"/>
      <c r="D192" s="8">
        <v>17881.38</v>
      </c>
      <c r="E192" s="3"/>
      <c r="F192" s="7">
        <f t="shared" si="28"/>
        <v>5.3454875636037768E-3</v>
      </c>
      <c r="G192" s="3"/>
      <c r="H192" s="8">
        <v>32587.119999999999</v>
      </c>
      <c r="I192" s="3"/>
      <c r="J192" s="7">
        <f t="shared" si="29"/>
        <v>3.1373808545569336E-2</v>
      </c>
      <c r="K192" s="3"/>
      <c r="L192" s="8">
        <f t="shared" si="30"/>
        <v>-14705.739999999998</v>
      </c>
      <c r="M192" s="3"/>
      <c r="N192" s="7">
        <f t="shared" si="31"/>
        <v>-0.45127461401928121</v>
      </c>
      <c r="O192" s="12"/>
      <c r="P192" s="8">
        <v>251767.62</v>
      </c>
      <c r="Q192" s="3"/>
      <c r="R192" s="7">
        <f t="shared" si="32"/>
        <v>1.151739155511214E-2</v>
      </c>
      <c r="S192" s="3"/>
      <c r="T192" s="8">
        <v>327858.86</v>
      </c>
      <c r="U192" s="3"/>
      <c r="V192" s="7">
        <f t="shared" si="33"/>
        <v>3.6413284755536873E-2</v>
      </c>
      <c r="W192" s="3"/>
      <c r="X192" s="8">
        <f t="shared" si="34"/>
        <v>-76091.239999999991</v>
      </c>
      <c r="Y192" s="3"/>
      <c r="Z192" s="7">
        <f t="shared" si="35"/>
        <v>-0.23208535526537241</v>
      </c>
    </row>
    <row r="193" spans="1:26" s="68" customFormat="1" ht="15" customHeight="1" outlineLevel="1" collapsed="1" x14ac:dyDescent="0.3">
      <c r="A193" s="25"/>
      <c r="B193" s="14" t="str">
        <f>CONCATENATE("     ","Discounts and Markdowns                           ")</f>
        <v xml:space="preserve">     Discounts and Markdowns                           </v>
      </c>
      <c r="C193" s="14"/>
      <c r="D193" s="2">
        <f>SUM(OSRRefD22_6x_0)</f>
        <v>-50.18</v>
      </c>
      <c r="E193" s="2"/>
      <c r="F193" s="6">
        <f t="shared" si="28"/>
        <v>-1.5000887288432855E-5</v>
      </c>
      <c r="G193" s="2"/>
      <c r="H193" s="2">
        <f>SUM(OSRRefH22_6x_0)</f>
        <v>-15.43</v>
      </c>
      <c r="I193" s="2"/>
      <c r="J193" s="6">
        <f t="shared" si="29"/>
        <v>-1.4855497075474446E-5</v>
      </c>
      <c r="K193" s="2"/>
      <c r="L193" s="2">
        <f t="shared" si="30"/>
        <v>-34.75</v>
      </c>
      <c r="M193" s="2"/>
      <c r="N193" s="6">
        <f t="shared" si="31"/>
        <v>2.2521062864549579</v>
      </c>
      <c r="O193" s="14"/>
      <c r="P193" s="2">
        <f>SUM(OSRRefP22_6x_0)</f>
        <v>2006.6499999999999</v>
      </c>
      <c r="Q193" s="2"/>
      <c r="R193" s="6">
        <f t="shared" si="32"/>
        <v>9.1796450091817915E-5</v>
      </c>
      <c r="S193" s="2"/>
      <c r="T193" s="2">
        <f>SUM(OSRRefT22_6x_0)</f>
        <v>-15.43</v>
      </c>
      <c r="U193" s="2"/>
      <c r="V193" s="6">
        <f t="shared" si="33"/>
        <v>-1.713716029446128E-6</v>
      </c>
      <c r="W193" s="2"/>
      <c r="X193" s="2">
        <f t="shared" si="34"/>
        <v>2022.08</v>
      </c>
      <c r="Y193" s="2"/>
      <c r="Z193" s="6">
        <f t="shared" si="35"/>
        <v>-131.04860661049904</v>
      </c>
    </row>
    <row r="194" spans="1:26" s="69" customFormat="1" ht="15" hidden="1" customHeight="1" outlineLevel="2" x14ac:dyDescent="0.3">
      <c r="A194" s="26"/>
      <c r="B194" s="12" t="str">
        <f>CONCATENATE("          ","6382"," - ","DISCOUNTS/MARK DOWNS")</f>
        <v xml:space="preserve">          6382 - DISCOUNTS/MARK DOWNS</v>
      </c>
      <c r="C194" s="12"/>
      <c r="D194" s="8"/>
      <c r="E194" s="3"/>
      <c r="F194" s="7">
        <f t="shared" si="28"/>
        <v>0</v>
      </c>
      <c r="G194" s="3"/>
      <c r="H194" s="8">
        <v>0</v>
      </c>
      <c r="I194" s="3"/>
      <c r="J194" s="7">
        <f t="shared" si="29"/>
        <v>0</v>
      </c>
      <c r="K194" s="3"/>
      <c r="L194" s="8">
        <f t="shared" si="30"/>
        <v>0</v>
      </c>
      <c r="M194" s="3"/>
      <c r="N194" s="7">
        <f t="shared" si="31"/>
        <v>0</v>
      </c>
      <c r="O194" s="12"/>
      <c r="P194" s="8">
        <v>2171.35</v>
      </c>
      <c r="Q194" s="3"/>
      <c r="R194" s="7">
        <f t="shared" si="32"/>
        <v>9.9330835923987148E-5</v>
      </c>
      <c r="S194" s="3"/>
      <c r="T194" s="8">
        <v>0</v>
      </c>
      <c r="U194" s="3"/>
      <c r="V194" s="7">
        <f t="shared" si="33"/>
        <v>0</v>
      </c>
      <c r="W194" s="3"/>
      <c r="X194" s="8">
        <f t="shared" si="34"/>
        <v>2171.35</v>
      </c>
      <c r="Y194" s="3"/>
      <c r="Z194" s="7">
        <f t="shared" si="35"/>
        <v>0</v>
      </c>
    </row>
    <row r="195" spans="1:26" s="69" customFormat="1" ht="15" hidden="1" customHeight="1" outlineLevel="2" x14ac:dyDescent="0.3">
      <c r="A195" s="26"/>
      <c r="B195" s="12" t="str">
        <f>CONCATENATE("          ","9175"," - ","EARNED DISCOUNTS")</f>
        <v xml:space="preserve">          9175 - EARNED DISCOUNTS</v>
      </c>
      <c r="C195" s="12"/>
      <c r="D195" s="8">
        <v>-50.18</v>
      </c>
      <c r="E195" s="3"/>
      <c r="F195" s="7">
        <f t="shared" ref="F195:F226" si="36">IF(D$12=0,0,D195/D$12)</f>
        <v>-1.5000887288432855E-5</v>
      </c>
      <c r="G195" s="3"/>
      <c r="H195" s="8">
        <v>-15.43</v>
      </c>
      <c r="I195" s="3"/>
      <c r="J195" s="7">
        <f t="shared" ref="J195:J226" si="37">IF(H$12=0,0,H195/H$12)</f>
        <v>-1.4855497075474446E-5</v>
      </c>
      <c r="K195" s="3"/>
      <c r="L195" s="8">
        <f t="shared" ref="L195:L226" si="38">+D195-H195</f>
        <v>-34.75</v>
      </c>
      <c r="M195" s="3"/>
      <c r="N195" s="7">
        <f t="shared" ref="N195:N226" si="39">IF(H195=0,0,L195/H195)</f>
        <v>2.2521062864549579</v>
      </c>
      <c r="O195" s="12"/>
      <c r="P195" s="8">
        <v>-164.7</v>
      </c>
      <c r="Q195" s="3"/>
      <c r="R195" s="7">
        <f t="shared" ref="R195:R226" si="40">IF(P$12=0,0,P195/P$12)</f>
        <v>-7.5343858321692419E-6</v>
      </c>
      <c r="S195" s="3"/>
      <c r="T195" s="8">
        <v>-15.43</v>
      </c>
      <c r="U195" s="3"/>
      <c r="V195" s="7">
        <f t="shared" ref="V195:V226" si="41">IF(T$12=0,0,T195/T$12)</f>
        <v>-1.713716029446128E-6</v>
      </c>
      <c r="W195" s="3"/>
      <c r="X195" s="8">
        <f t="shared" ref="X195:X226" si="42">+P195-T195</f>
        <v>-149.26999999999998</v>
      </c>
      <c r="Y195" s="3"/>
      <c r="Z195" s="7">
        <f t="shared" ref="Z195:Z226" si="43">IF(T195=0,0,X195/T195)</f>
        <v>9.6740116655865194</v>
      </c>
    </row>
    <row r="196" spans="1:26" s="68" customFormat="1" ht="15" customHeight="1" outlineLevel="1" collapsed="1" x14ac:dyDescent="0.3">
      <c r="A196" s="25"/>
      <c r="B196" s="14" t="str">
        <f>CONCATENATE("     ","Donations                                         ")</f>
        <v xml:space="preserve">     Donations                                         </v>
      </c>
      <c r="C196" s="14"/>
      <c r="D196" s="2">
        <f>SUM(OSRRefD22_7x_0)</f>
        <v>11144.67</v>
      </c>
      <c r="E196" s="2"/>
      <c r="F196" s="6">
        <f t="shared" si="36"/>
        <v>3.3316049927616378E-3</v>
      </c>
      <c r="G196" s="2"/>
      <c r="H196" s="2">
        <f>SUM(OSRRefH22_7x_0)</f>
        <v>7686.78</v>
      </c>
      <c r="I196" s="2"/>
      <c r="J196" s="6">
        <f t="shared" si="37"/>
        <v>7.4005792488538854E-3</v>
      </c>
      <c r="K196" s="2"/>
      <c r="L196" s="2">
        <f t="shared" si="38"/>
        <v>3457.8900000000003</v>
      </c>
      <c r="M196" s="2"/>
      <c r="N196" s="6">
        <f t="shared" si="39"/>
        <v>0.4498489614637079</v>
      </c>
      <c r="O196" s="14"/>
      <c r="P196" s="2">
        <f>SUM(OSRRefP22_7x_0)</f>
        <v>73998.070000000007</v>
      </c>
      <c r="Q196" s="2"/>
      <c r="R196" s="6">
        <f t="shared" si="40"/>
        <v>3.3851245307581538E-3</v>
      </c>
      <c r="S196" s="2"/>
      <c r="T196" s="2">
        <f>SUM(OSRRefT22_7x_0)</f>
        <v>58666.54</v>
      </c>
      <c r="U196" s="2"/>
      <c r="V196" s="6">
        <f t="shared" si="41"/>
        <v>6.51573493131189E-3</v>
      </c>
      <c r="W196" s="2"/>
      <c r="X196" s="2">
        <f t="shared" si="42"/>
        <v>15331.530000000006</v>
      </c>
      <c r="Y196" s="2"/>
      <c r="Z196" s="6">
        <f t="shared" si="43"/>
        <v>0.26133346196997481</v>
      </c>
    </row>
    <row r="197" spans="1:26" s="69" customFormat="1" ht="15" hidden="1" customHeight="1" outlineLevel="2" x14ac:dyDescent="0.3">
      <c r="A197" s="26"/>
      <c r="B197" s="12" t="str">
        <f>CONCATENATE("          ","6399"," - ","DONATION-ON CAMPUS")</f>
        <v xml:space="preserve">          6399 - DONATION-ON CAMPUS</v>
      </c>
      <c r="C197" s="12"/>
      <c r="D197" s="8">
        <v>11144.67</v>
      </c>
      <c r="E197" s="3"/>
      <c r="F197" s="7">
        <f t="shared" si="36"/>
        <v>3.3316049927616378E-3</v>
      </c>
      <c r="G197" s="3"/>
      <c r="H197" s="8">
        <v>7686.78</v>
      </c>
      <c r="I197" s="3"/>
      <c r="J197" s="7">
        <f t="shared" si="37"/>
        <v>7.4005792488538854E-3</v>
      </c>
      <c r="K197" s="3"/>
      <c r="L197" s="8">
        <f t="shared" si="38"/>
        <v>3457.8900000000003</v>
      </c>
      <c r="M197" s="3"/>
      <c r="N197" s="7">
        <f t="shared" si="39"/>
        <v>0.4498489614637079</v>
      </c>
      <c r="O197" s="12"/>
      <c r="P197" s="8">
        <v>73998.070000000007</v>
      </c>
      <c r="Q197" s="3"/>
      <c r="R197" s="7">
        <f t="shared" si="40"/>
        <v>3.3851245307581538E-3</v>
      </c>
      <c r="S197" s="3"/>
      <c r="T197" s="8">
        <v>58666.54</v>
      </c>
      <c r="U197" s="3"/>
      <c r="V197" s="7">
        <f t="shared" si="41"/>
        <v>6.51573493131189E-3</v>
      </c>
      <c r="W197" s="3"/>
      <c r="X197" s="8">
        <f t="shared" si="42"/>
        <v>15331.530000000006</v>
      </c>
      <c r="Y197" s="3"/>
      <c r="Z197" s="7">
        <f t="shared" si="43"/>
        <v>0.26133346196997481</v>
      </c>
    </row>
    <row r="198" spans="1:26" s="68" customFormat="1" ht="15" customHeight="1" outlineLevel="1" collapsed="1" x14ac:dyDescent="0.3">
      <c r="A198" s="25"/>
      <c r="B198" s="14" t="str">
        <f>CONCATENATE("     ","Employees' Appreciation                           ")</f>
        <v xml:space="preserve">     Employees' Appreciation                           </v>
      </c>
      <c r="C198" s="14"/>
      <c r="D198" s="2">
        <f>SUM(OSRRefD22_8x_0)</f>
        <v>61.45</v>
      </c>
      <c r="E198" s="2"/>
      <c r="F198" s="6">
        <f t="shared" si="36"/>
        <v>1.8369958626428837E-5</v>
      </c>
      <c r="G198" s="2"/>
      <c r="H198" s="2">
        <f>SUM(OSRRefH22_8x_0)</f>
        <v>0</v>
      </c>
      <c r="I198" s="2"/>
      <c r="J198" s="6">
        <f t="shared" si="37"/>
        <v>0</v>
      </c>
      <c r="K198" s="2"/>
      <c r="L198" s="2">
        <f t="shared" si="38"/>
        <v>61.45</v>
      </c>
      <c r="M198" s="2"/>
      <c r="N198" s="6">
        <f t="shared" si="39"/>
        <v>0</v>
      </c>
      <c r="O198" s="14"/>
      <c r="P198" s="2">
        <f>SUM(OSRRefP22_8x_0)</f>
        <v>5021.91</v>
      </c>
      <c r="Q198" s="2"/>
      <c r="R198" s="6">
        <f t="shared" si="40"/>
        <v>2.2973289346951451E-4</v>
      </c>
      <c r="S198" s="2"/>
      <c r="T198" s="2">
        <f>SUM(OSRRefT22_8x_0)</f>
        <v>196.03</v>
      </c>
      <c r="U198" s="2"/>
      <c r="V198" s="6">
        <f t="shared" si="41"/>
        <v>2.1771856983300356E-5</v>
      </c>
      <c r="W198" s="2"/>
      <c r="X198" s="2">
        <f t="shared" si="42"/>
        <v>4825.88</v>
      </c>
      <c r="Y198" s="2"/>
      <c r="Z198" s="6">
        <f t="shared" si="43"/>
        <v>24.61806866295975</v>
      </c>
    </row>
    <row r="199" spans="1:26" s="69" customFormat="1" ht="15" hidden="1" customHeight="1" outlineLevel="2" x14ac:dyDescent="0.3">
      <c r="A199" s="26"/>
      <c r="B199" s="12" t="str">
        <f>CONCATENATE("          ","6277"," - ","EMPLOYEE APPRECIATION")</f>
        <v xml:space="preserve">          6277 - EMPLOYEE APPRECIATION</v>
      </c>
      <c r="C199" s="12"/>
      <c r="D199" s="8">
        <v>61.45</v>
      </c>
      <c r="E199" s="3"/>
      <c r="F199" s="7">
        <f t="shared" si="36"/>
        <v>1.8369958626428837E-5</v>
      </c>
      <c r="G199" s="3"/>
      <c r="H199" s="8"/>
      <c r="I199" s="3"/>
      <c r="J199" s="7">
        <f t="shared" si="37"/>
        <v>0</v>
      </c>
      <c r="K199" s="3"/>
      <c r="L199" s="8">
        <f t="shared" si="38"/>
        <v>61.45</v>
      </c>
      <c r="M199" s="3"/>
      <c r="N199" s="7">
        <f t="shared" si="39"/>
        <v>0</v>
      </c>
      <c r="O199" s="12"/>
      <c r="P199" s="8">
        <v>5021.91</v>
      </c>
      <c r="Q199" s="3"/>
      <c r="R199" s="7">
        <f t="shared" si="40"/>
        <v>2.2973289346951451E-4</v>
      </c>
      <c r="S199" s="3"/>
      <c r="T199" s="8">
        <v>196.03</v>
      </c>
      <c r="U199" s="3"/>
      <c r="V199" s="7">
        <f t="shared" si="41"/>
        <v>2.1771856983300356E-5</v>
      </c>
      <c r="W199" s="3"/>
      <c r="X199" s="8">
        <f t="shared" si="42"/>
        <v>4825.88</v>
      </c>
      <c r="Y199" s="3"/>
      <c r="Z199" s="7">
        <f t="shared" si="43"/>
        <v>24.61806866295975</v>
      </c>
    </row>
    <row r="200" spans="1:26" s="68" customFormat="1" ht="15" customHeight="1" outlineLevel="1" collapsed="1" x14ac:dyDescent="0.3">
      <c r="A200" s="25"/>
      <c r="B200" s="14" t="str">
        <f>CONCATENATE("     ","Equipment Rental                                  ")</f>
        <v xml:space="preserve">     Equipment Rental                                  </v>
      </c>
      <c r="C200" s="14"/>
      <c r="D200" s="2">
        <f>SUM(OSRRefD22_9x_0)</f>
        <v>4544.05</v>
      </c>
      <c r="E200" s="2"/>
      <c r="F200" s="6">
        <f t="shared" si="36"/>
        <v>1.3584053782981929E-3</v>
      </c>
      <c r="G200" s="2"/>
      <c r="H200" s="2">
        <f>SUM(OSRRefH22_9x_0)</f>
        <v>3055.41</v>
      </c>
      <c r="I200" s="2"/>
      <c r="J200" s="6">
        <f t="shared" si="37"/>
        <v>2.9416483680735823E-3</v>
      </c>
      <c r="K200" s="2"/>
      <c r="L200" s="2">
        <f t="shared" si="38"/>
        <v>1488.6400000000003</v>
      </c>
      <c r="M200" s="2"/>
      <c r="N200" s="6">
        <f t="shared" si="39"/>
        <v>0.48721448185349936</v>
      </c>
      <c r="O200" s="14"/>
      <c r="P200" s="2">
        <f>SUM(OSRRefP22_9x_0)</f>
        <v>36626.910000000003</v>
      </c>
      <c r="Q200" s="2"/>
      <c r="R200" s="6">
        <f t="shared" si="40"/>
        <v>1.6755389907719368E-3</v>
      </c>
      <c r="S200" s="2"/>
      <c r="T200" s="2">
        <f>SUM(OSRRefT22_9x_0)</f>
        <v>26380.52</v>
      </c>
      <c r="U200" s="2"/>
      <c r="V200" s="6">
        <f t="shared" si="41"/>
        <v>2.9299235248946322E-3</v>
      </c>
      <c r="W200" s="2"/>
      <c r="X200" s="2">
        <f t="shared" si="42"/>
        <v>10246.390000000003</v>
      </c>
      <c r="Y200" s="2"/>
      <c r="Z200" s="6">
        <f t="shared" si="43"/>
        <v>0.38840743093767682</v>
      </c>
    </row>
    <row r="201" spans="1:26" s="69" customFormat="1" ht="15" hidden="1" customHeight="1" outlineLevel="2" x14ac:dyDescent="0.3">
      <c r="A201" s="26"/>
      <c r="B201" s="12" t="str">
        <f>CONCATENATE("          ","6351"," - ","EQUIPMENT RENTAL")</f>
        <v xml:space="preserve">          6351 - EQUIPMENT RENTAL</v>
      </c>
      <c r="C201" s="12"/>
      <c r="D201" s="8">
        <v>4544.05</v>
      </c>
      <c r="E201" s="3"/>
      <c r="F201" s="7">
        <f t="shared" si="36"/>
        <v>1.3584053782981929E-3</v>
      </c>
      <c r="G201" s="3"/>
      <c r="H201" s="8">
        <v>3055.41</v>
      </c>
      <c r="I201" s="3"/>
      <c r="J201" s="7">
        <f t="shared" si="37"/>
        <v>2.9416483680735823E-3</v>
      </c>
      <c r="K201" s="3"/>
      <c r="L201" s="8">
        <f t="shared" si="38"/>
        <v>1488.6400000000003</v>
      </c>
      <c r="M201" s="3"/>
      <c r="N201" s="7">
        <f t="shared" si="39"/>
        <v>0.48721448185349936</v>
      </c>
      <c r="O201" s="12"/>
      <c r="P201" s="8">
        <v>36626.910000000003</v>
      </c>
      <c r="Q201" s="3"/>
      <c r="R201" s="7">
        <f t="shared" si="40"/>
        <v>1.6755389907719368E-3</v>
      </c>
      <c r="S201" s="3"/>
      <c r="T201" s="8">
        <v>26380.52</v>
      </c>
      <c r="U201" s="3"/>
      <c r="V201" s="7">
        <f t="shared" si="41"/>
        <v>2.9299235248946322E-3</v>
      </c>
      <c r="W201" s="3"/>
      <c r="X201" s="8">
        <f t="shared" si="42"/>
        <v>10246.390000000003</v>
      </c>
      <c r="Y201" s="3"/>
      <c r="Z201" s="7">
        <f t="shared" si="43"/>
        <v>0.38840743093767682</v>
      </c>
    </row>
    <row r="202" spans="1:26" s="68" customFormat="1" ht="15" customHeight="1" outlineLevel="1" collapsed="1" x14ac:dyDescent="0.3">
      <c r="A202" s="25"/>
      <c r="B202" s="14" t="str">
        <f>CONCATENATE("     ","Freight out/Postage                               ")</f>
        <v xml:space="preserve">     Freight out/Postage                               </v>
      </c>
      <c r="C202" s="14"/>
      <c r="D202" s="2">
        <f>SUM(OSRRefD22_10x_0)</f>
        <v>750.14999999999964</v>
      </c>
      <c r="E202" s="2"/>
      <c r="F202" s="6">
        <f t="shared" si="36"/>
        <v>2.2425100835826825E-4</v>
      </c>
      <c r="G202" s="2"/>
      <c r="H202" s="2">
        <f>SUM(OSRRefH22_10x_0)</f>
        <v>-12454.670000000002</v>
      </c>
      <c r="I202" s="2"/>
      <c r="J202" s="6">
        <f t="shared" si="37"/>
        <v>-1.1990947100518429E-2</v>
      </c>
      <c r="K202" s="2"/>
      <c r="L202" s="2">
        <f t="shared" si="38"/>
        <v>13204.820000000002</v>
      </c>
      <c r="M202" s="2"/>
      <c r="N202" s="6">
        <f t="shared" si="39"/>
        <v>-1.0602304195936143</v>
      </c>
      <c r="O202" s="14"/>
      <c r="P202" s="2">
        <f>SUM(OSRRefP22_10x_0)</f>
        <v>-43855.839999999997</v>
      </c>
      <c r="Q202" s="2"/>
      <c r="R202" s="6">
        <f t="shared" si="40"/>
        <v>-2.006234484237287E-3</v>
      </c>
      <c r="S202" s="2"/>
      <c r="T202" s="2">
        <f>SUM(OSRRefT22_10x_0)</f>
        <v>-45100.5</v>
      </c>
      <c r="U202" s="2"/>
      <c r="V202" s="6">
        <f t="shared" si="41"/>
        <v>-5.009037575245308E-3</v>
      </c>
      <c r="W202" s="2"/>
      <c r="X202" s="2">
        <f t="shared" si="42"/>
        <v>1244.6600000000035</v>
      </c>
      <c r="Y202" s="2"/>
      <c r="Z202" s="6">
        <f t="shared" si="43"/>
        <v>-2.7597476746377612E-2</v>
      </c>
    </row>
    <row r="203" spans="1:26" s="69" customFormat="1" ht="15" hidden="1" customHeight="1" outlineLevel="2" x14ac:dyDescent="0.3">
      <c r="A203" s="26"/>
      <c r="B203" s="12" t="str">
        <f>CONCATENATE("          ","6305"," - ","FREIGHT OUT")</f>
        <v xml:space="preserve">          6305 - FREIGHT OUT</v>
      </c>
      <c r="C203" s="12"/>
      <c r="D203" s="8">
        <v>14219.32</v>
      </c>
      <c r="E203" s="3"/>
      <c r="F203" s="7">
        <f t="shared" si="36"/>
        <v>4.2507456484288378E-3</v>
      </c>
      <c r="G203" s="3"/>
      <c r="H203" s="8">
        <v>22724.31</v>
      </c>
      <c r="I203" s="3"/>
      <c r="J203" s="7">
        <f t="shared" si="37"/>
        <v>2.1878219102214824E-2</v>
      </c>
      <c r="K203" s="3"/>
      <c r="L203" s="8">
        <f t="shared" si="38"/>
        <v>-8504.9900000000016</v>
      </c>
      <c r="M203" s="3"/>
      <c r="N203" s="7">
        <f t="shared" si="39"/>
        <v>-0.3742683496220568</v>
      </c>
      <c r="O203" s="12"/>
      <c r="P203" s="8">
        <v>126459.93</v>
      </c>
      <c r="Q203" s="3"/>
      <c r="R203" s="7">
        <f t="shared" si="40"/>
        <v>5.7850510317493265E-3</v>
      </c>
      <c r="S203" s="3"/>
      <c r="T203" s="8">
        <v>203811.23</v>
      </c>
      <c r="U203" s="3"/>
      <c r="V203" s="7">
        <f t="shared" si="41"/>
        <v>2.2636070760345534E-2</v>
      </c>
      <c r="W203" s="3"/>
      <c r="X203" s="8">
        <f t="shared" si="42"/>
        <v>-77351.300000000017</v>
      </c>
      <c r="Y203" s="3"/>
      <c r="Z203" s="7">
        <f t="shared" si="43"/>
        <v>-0.37952422935674357</v>
      </c>
    </row>
    <row r="204" spans="1:26" s="69" customFormat="1" ht="15" hidden="1" customHeight="1" outlineLevel="2" x14ac:dyDescent="0.3">
      <c r="A204" s="26"/>
      <c r="B204" s="12" t="str">
        <f>CONCATENATE("          ","6307"," - ","POSTAGE")</f>
        <v xml:space="preserve">          6307 - POSTAGE</v>
      </c>
      <c r="C204" s="12"/>
      <c r="D204" s="8">
        <v>-13469.17</v>
      </c>
      <c r="E204" s="3"/>
      <c r="F204" s="7">
        <f t="shared" si="36"/>
        <v>-4.0264946400705697E-3</v>
      </c>
      <c r="G204" s="3"/>
      <c r="H204" s="8">
        <v>-35178.980000000003</v>
      </c>
      <c r="I204" s="3"/>
      <c r="J204" s="7">
        <f t="shared" si="37"/>
        <v>-3.3869166202733253E-2</v>
      </c>
      <c r="K204" s="3"/>
      <c r="L204" s="8">
        <f t="shared" si="38"/>
        <v>21709.810000000005</v>
      </c>
      <c r="M204" s="3"/>
      <c r="N204" s="7">
        <f t="shared" si="39"/>
        <v>-0.61712448740696868</v>
      </c>
      <c r="O204" s="12"/>
      <c r="P204" s="8">
        <v>-170315.77</v>
      </c>
      <c r="Q204" s="3"/>
      <c r="R204" s="7">
        <f t="shared" si="40"/>
        <v>-7.7912855159866139E-3</v>
      </c>
      <c r="S204" s="3"/>
      <c r="T204" s="8">
        <v>-248911.73</v>
      </c>
      <c r="U204" s="3"/>
      <c r="V204" s="7">
        <f t="shared" si="41"/>
        <v>-2.7645108335590845E-2</v>
      </c>
      <c r="W204" s="3"/>
      <c r="X204" s="8">
        <f t="shared" si="42"/>
        <v>78595.960000000021</v>
      </c>
      <c r="Y204" s="3"/>
      <c r="Z204" s="7">
        <f t="shared" si="43"/>
        <v>-0.3157583614078775</v>
      </c>
    </row>
    <row r="205" spans="1:26" s="68" customFormat="1" ht="15" customHeight="1" outlineLevel="1" collapsed="1" x14ac:dyDescent="0.3">
      <c r="A205" s="25"/>
      <c r="B205" s="14" t="str">
        <f>CONCATENATE("     ","General                                           ")</f>
        <v xml:space="preserve">     General                                           </v>
      </c>
      <c r="C205" s="14"/>
      <c r="D205" s="2">
        <f>SUM(OSRRefD22_11x_0)</f>
        <v>5483.44</v>
      </c>
      <c r="E205" s="2"/>
      <c r="F205" s="6">
        <f t="shared" si="36"/>
        <v>1.6392280867454016E-3</v>
      </c>
      <c r="G205" s="2"/>
      <c r="H205" s="2">
        <f>SUM(OSRRefH22_11x_0)</f>
        <v>437.84</v>
      </c>
      <c r="I205" s="2"/>
      <c r="J205" s="6">
        <f t="shared" si="37"/>
        <v>4.2153796756485618E-4</v>
      </c>
      <c r="K205" s="2"/>
      <c r="L205" s="2">
        <f t="shared" si="38"/>
        <v>5045.5999999999995</v>
      </c>
      <c r="M205" s="2"/>
      <c r="N205" s="6">
        <f t="shared" si="39"/>
        <v>11.523844326694682</v>
      </c>
      <c r="O205" s="14"/>
      <c r="P205" s="2">
        <f>SUM(OSRRefP22_11x_0)</f>
        <v>49630.32</v>
      </c>
      <c r="Q205" s="2"/>
      <c r="R205" s="6">
        <f t="shared" si="40"/>
        <v>2.2703945346328222E-3</v>
      </c>
      <c r="S205" s="2"/>
      <c r="T205" s="2">
        <f>SUM(OSRRefT22_11x_0)</f>
        <v>21372.57</v>
      </c>
      <c r="U205" s="2"/>
      <c r="V205" s="6">
        <f t="shared" si="41"/>
        <v>2.3737210498677532E-3</v>
      </c>
      <c r="W205" s="2"/>
      <c r="X205" s="2">
        <f t="shared" si="42"/>
        <v>28257.75</v>
      </c>
      <c r="Y205" s="2"/>
      <c r="Z205" s="6">
        <f t="shared" si="43"/>
        <v>1.3221503076139183</v>
      </c>
    </row>
    <row r="206" spans="1:26" s="69" customFormat="1" ht="15" hidden="1" customHeight="1" outlineLevel="2" x14ac:dyDescent="0.3">
      <c r="A206" s="26"/>
      <c r="B206" s="12" t="str">
        <f>CONCATENATE("          ","6279"," - ","GENERAL EXPENSE")</f>
        <v xml:space="preserve">          6279 - GENERAL EXPENSE</v>
      </c>
      <c r="C206" s="12"/>
      <c r="D206" s="8">
        <v>5483.44</v>
      </c>
      <c r="E206" s="3"/>
      <c r="F206" s="7">
        <f t="shared" si="36"/>
        <v>1.6392280867454016E-3</v>
      </c>
      <c r="G206" s="3"/>
      <c r="H206" s="8">
        <v>437.84</v>
      </c>
      <c r="I206" s="3"/>
      <c r="J206" s="7">
        <f t="shared" si="37"/>
        <v>4.2153796756485618E-4</v>
      </c>
      <c r="K206" s="3"/>
      <c r="L206" s="8">
        <f t="shared" si="38"/>
        <v>5045.5999999999995</v>
      </c>
      <c r="M206" s="3"/>
      <c r="N206" s="7">
        <f t="shared" si="39"/>
        <v>11.523844326694682</v>
      </c>
      <c r="O206" s="12"/>
      <c r="P206" s="8">
        <v>49630.32</v>
      </c>
      <c r="Q206" s="3"/>
      <c r="R206" s="7">
        <f t="shared" si="40"/>
        <v>2.2703945346328222E-3</v>
      </c>
      <c r="S206" s="3"/>
      <c r="T206" s="8">
        <v>21372.57</v>
      </c>
      <c r="U206" s="3"/>
      <c r="V206" s="7">
        <f t="shared" si="41"/>
        <v>2.3737210498677532E-3</v>
      </c>
      <c r="W206" s="3"/>
      <c r="X206" s="8">
        <f t="shared" si="42"/>
        <v>28257.75</v>
      </c>
      <c r="Y206" s="3"/>
      <c r="Z206" s="7">
        <f t="shared" si="43"/>
        <v>1.3221503076139183</v>
      </c>
    </row>
    <row r="207" spans="1:26" s="68" customFormat="1" ht="15" customHeight="1" outlineLevel="1" collapsed="1" x14ac:dyDescent="0.3">
      <c r="A207" s="25"/>
      <c r="B207" s="14" t="str">
        <f>CONCATENATE("     ","Insurance                                         ")</f>
        <v xml:space="preserve">     Insurance                                         </v>
      </c>
      <c r="C207" s="14"/>
      <c r="D207" s="2">
        <f>SUM(OSRRefD22_12x_0)</f>
        <v>11626.43</v>
      </c>
      <c r="E207" s="2"/>
      <c r="F207" s="6">
        <f t="shared" si="36"/>
        <v>3.4756230768603906E-3</v>
      </c>
      <c r="G207" s="2"/>
      <c r="H207" s="2">
        <f>SUM(OSRRefH22_12x_0)</f>
        <v>8563.32</v>
      </c>
      <c r="I207" s="2"/>
      <c r="J207" s="6">
        <f t="shared" si="37"/>
        <v>8.2444831637298651E-3</v>
      </c>
      <c r="K207" s="2"/>
      <c r="L207" s="2">
        <f t="shared" si="38"/>
        <v>3063.1100000000006</v>
      </c>
      <c r="M207" s="2"/>
      <c r="N207" s="6">
        <f t="shared" si="39"/>
        <v>0.35770121868621058</v>
      </c>
      <c r="O207" s="14"/>
      <c r="P207" s="2">
        <f>SUM(OSRRefP22_12x_0)</f>
        <v>123147.31</v>
      </c>
      <c r="Q207" s="2"/>
      <c r="R207" s="6">
        <f t="shared" si="40"/>
        <v>5.633511522366446E-3</v>
      </c>
      <c r="S207" s="2"/>
      <c r="T207" s="2">
        <f>SUM(OSRRefT22_12x_0)</f>
        <v>91745.2</v>
      </c>
      <c r="U207" s="2"/>
      <c r="V207" s="6">
        <f t="shared" si="41"/>
        <v>1.0189580030119307E-2</v>
      </c>
      <c r="W207" s="2"/>
      <c r="X207" s="2">
        <f t="shared" si="42"/>
        <v>31402.11</v>
      </c>
      <c r="Y207" s="2"/>
      <c r="Z207" s="6">
        <f t="shared" si="43"/>
        <v>0.34227523619764305</v>
      </c>
    </row>
    <row r="208" spans="1:26" s="69" customFormat="1" ht="15" hidden="1" customHeight="1" outlineLevel="2" x14ac:dyDescent="0.3">
      <c r="A208" s="26"/>
      <c r="B208" s="12" t="str">
        <f>CONCATENATE("          ","6314"," - ","LIABILITY INSURANCE")</f>
        <v xml:space="preserve">          6314 - LIABILITY INSURANCE</v>
      </c>
      <c r="C208" s="12"/>
      <c r="D208" s="8">
        <v>11626.43</v>
      </c>
      <c r="E208" s="3"/>
      <c r="F208" s="7">
        <f t="shared" si="36"/>
        <v>3.4756230768603906E-3</v>
      </c>
      <c r="G208" s="3"/>
      <c r="H208" s="8">
        <v>8563.32</v>
      </c>
      <c r="I208" s="3"/>
      <c r="J208" s="7">
        <f t="shared" si="37"/>
        <v>8.2444831637298651E-3</v>
      </c>
      <c r="K208" s="3"/>
      <c r="L208" s="8">
        <f t="shared" si="38"/>
        <v>3063.1100000000006</v>
      </c>
      <c r="M208" s="3"/>
      <c r="N208" s="7">
        <f t="shared" si="39"/>
        <v>0.35770121868621058</v>
      </c>
      <c r="O208" s="12"/>
      <c r="P208" s="8">
        <v>123147.31</v>
      </c>
      <c r="Q208" s="3"/>
      <c r="R208" s="7">
        <f t="shared" si="40"/>
        <v>5.633511522366446E-3</v>
      </c>
      <c r="S208" s="3"/>
      <c r="T208" s="8">
        <v>91745.2</v>
      </c>
      <c r="U208" s="3"/>
      <c r="V208" s="7">
        <f t="shared" si="41"/>
        <v>1.0189580030119307E-2</v>
      </c>
      <c r="W208" s="3"/>
      <c r="X208" s="8">
        <f t="shared" si="42"/>
        <v>31402.11</v>
      </c>
      <c r="Y208" s="3"/>
      <c r="Z208" s="7">
        <f t="shared" si="43"/>
        <v>0.34227523619764305</v>
      </c>
    </row>
    <row r="209" spans="1:26" s="68" customFormat="1" ht="15" customHeight="1" outlineLevel="1" collapsed="1" x14ac:dyDescent="0.3">
      <c r="A209" s="25"/>
      <c r="B209" s="14" t="str">
        <f>CONCATENATE("     ","Interest                                          ")</f>
        <v xml:space="preserve">     Interest                                          </v>
      </c>
      <c r="C209" s="14"/>
      <c r="D209" s="2">
        <f>SUM(OSRRefD22_13x_0)</f>
        <v>8660</v>
      </c>
      <c r="E209" s="2"/>
      <c r="F209" s="6">
        <f t="shared" si="36"/>
        <v>2.5888338764015252E-3</v>
      </c>
      <c r="G209" s="2"/>
      <c r="H209" s="2">
        <f>SUM(OSRRefH22_13x_0)</f>
        <v>9180</v>
      </c>
      <c r="I209" s="2"/>
      <c r="J209" s="6">
        <f t="shared" si="37"/>
        <v>8.8382024078324951E-3</v>
      </c>
      <c r="K209" s="2"/>
      <c r="L209" s="2">
        <f t="shared" si="38"/>
        <v>-520</v>
      </c>
      <c r="M209" s="2"/>
      <c r="N209" s="6">
        <f t="shared" si="39"/>
        <v>-5.6644880174291937E-2</v>
      </c>
      <c r="O209" s="14"/>
      <c r="P209" s="2">
        <f>SUM(OSRRefP22_13x_0)</f>
        <v>108292</v>
      </c>
      <c r="Q209" s="2"/>
      <c r="R209" s="6">
        <f t="shared" si="40"/>
        <v>4.9539387403598764E-3</v>
      </c>
      <c r="S209" s="2"/>
      <c r="T209" s="2">
        <f>SUM(OSRRefT22_13x_0)</f>
        <v>112417</v>
      </c>
      <c r="U209" s="2"/>
      <c r="V209" s="6">
        <f t="shared" si="41"/>
        <v>1.2485470828402163E-2</v>
      </c>
      <c r="W209" s="2"/>
      <c r="X209" s="2">
        <f t="shared" si="42"/>
        <v>-4125</v>
      </c>
      <c r="Y209" s="2"/>
      <c r="Z209" s="6">
        <f t="shared" si="43"/>
        <v>-3.6693738491509288E-2</v>
      </c>
    </row>
    <row r="210" spans="1:26" s="69" customFormat="1" ht="15" hidden="1" customHeight="1" outlineLevel="2" x14ac:dyDescent="0.3">
      <c r="A210" s="26"/>
      <c r="B210" s="12" t="str">
        <f>CONCATENATE("          ","6401"," - ","INTEREST EXPENSE")</f>
        <v xml:space="preserve">          6401 - INTEREST EXPENSE</v>
      </c>
      <c r="C210" s="12"/>
      <c r="D210" s="8">
        <v>8660</v>
      </c>
      <c r="E210" s="3"/>
      <c r="F210" s="7">
        <f t="shared" si="36"/>
        <v>2.5888338764015252E-3</v>
      </c>
      <c r="G210" s="3"/>
      <c r="H210" s="8">
        <v>9180</v>
      </c>
      <c r="I210" s="3"/>
      <c r="J210" s="7">
        <f t="shared" si="37"/>
        <v>8.8382024078324951E-3</v>
      </c>
      <c r="K210" s="3"/>
      <c r="L210" s="8">
        <f t="shared" si="38"/>
        <v>-520</v>
      </c>
      <c r="M210" s="3"/>
      <c r="N210" s="7">
        <f t="shared" si="39"/>
        <v>-5.6644880174291937E-2</v>
      </c>
      <c r="O210" s="12"/>
      <c r="P210" s="8">
        <v>108292</v>
      </c>
      <c r="Q210" s="3"/>
      <c r="R210" s="7">
        <f t="shared" si="40"/>
        <v>4.9539387403598764E-3</v>
      </c>
      <c r="S210" s="3"/>
      <c r="T210" s="8">
        <v>112417</v>
      </c>
      <c r="U210" s="3"/>
      <c r="V210" s="7">
        <f t="shared" si="41"/>
        <v>1.2485470828402163E-2</v>
      </c>
      <c r="W210" s="3"/>
      <c r="X210" s="8">
        <f t="shared" si="42"/>
        <v>-4125</v>
      </c>
      <c r="Y210" s="3"/>
      <c r="Z210" s="7">
        <f t="shared" si="43"/>
        <v>-3.6693738491509288E-2</v>
      </c>
    </row>
    <row r="211" spans="1:26" s="68" customFormat="1" ht="15" customHeight="1" outlineLevel="1" collapsed="1" x14ac:dyDescent="0.3">
      <c r="A211" s="25"/>
      <c r="B211" s="14" t="str">
        <f>CONCATENATE("     ","Inventory Adjustment                              ")</f>
        <v xml:space="preserve">     Inventory Adjustment                              </v>
      </c>
      <c r="C211" s="14"/>
      <c r="D211" s="2">
        <f>SUM(OSRRefD22_14x_0)</f>
        <v>6200</v>
      </c>
      <c r="E211" s="2"/>
      <c r="F211" s="6">
        <f t="shared" si="36"/>
        <v>1.8534376482320387E-3</v>
      </c>
      <c r="G211" s="2"/>
      <c r="H211" s="2">
        <f>SUM(OSRRefH22_14x_0)</f>
        <v>3350</v>
      </c>
      <c r="I211" s="2"/>
      <c r="J211" s="6">
        <f t="shared" si="37"/>
        <v>3.2252699418560851E-3</v>
      </c>
      <c r="K211" s="2"/>
      <c r="L211" s="2">
        <f t="shared" si="38"/>
        <v>2850</v>
      </c>
      <c r="M211" s="2"/>
      <c r="N211" s="6">
        <f t="shared" si="39"/>
        <v>0.85074626865671643</v>
      </c>
      <c r="O211" s="14"/>
      <c r="P211" s="2">
        <f>SUM(OSRRefP22_14x_0)</f>
        <v>63640</v>
      </c>
      <c r="Q211" s="2"/>
      <c r="R211" s="6">
        <f t="shared" si="40"/>
        <v>2.9112830258606593E-3</v>
      </c>
      <c r="S211" s="2"/>
      <c r="T211" s="2">
        <f>SUM(OSRRefT22_14x_0)</f>
        <v>38500</v>
      </c>
      <c r="U211" s="2"/>
      <c r="V211" s="6">
        <f t="shared" si="41"/>
        <v>4.275960280860398E-3</v>
      </c>
      <c r="W211" s="2"/>
      <c r="X211" s="2">
        <f t="shared" si="42"/>
        <v>25140</v>
      </c>
      <c r="Y211" s="2"/>
      <c r="Z211" s="6">
        <f t="shared" si="43"/>
        <v>0.652987012987013</v>
      </c>
    </row>
    <row r="212" spans="1:26" s="69" customFormat="1" ht="15" hidden="1" customHeight="1" outlineLevel="2" x14ac:dyDescent="0.3">
      <c r="A212" s="26"/>
      <c r="B212" s="12" t="str">
        <f>CONCATENATE("          ","6408"," - ","INVENTORY ADJUSTMENT")</f>
        <v xml:space="preserve">          6408 - INVENTORY ADJUSTMENT</v>
      </c>
      <c r="C212" s="12"/>
      <c r="D212" s="8">
        <v>6200</v>
      </c>
      <c r="E212" s="3"/>
      <c r="F212" s="7">
        <f t="shared" si="36"/>
        <v>1.8534376482320387E-3</v>
      </c>
      <c r="G212" s="3"/>
      <c r="H212" s="8">
        <v>3350</v>
      </c>
      <c r="I212" s="3"/>
      <c r="J212" s="7">
        <f t="shared" si="37"/>
        <v>3.2252699418560851E-3</v>
      </c>
      <c r="K212" s="3"/>
      <c r="L212" s="8">
        <f t="shared" si="38"/>
        <v>2850</v>
      </c>
      <c r="M212" s="3"/>
      <c r="N212" s="7">
        <f t="shared" si="39"/>
        <v>0.85074626865671643</v>
      </c>
      <c r="O212" s="12"/>
      <c r="P212" s="8">
        <v>63640</v>
      </c>
      <c r="Q212" s="3"/>
      <c r="R212" s="7">
        <f t="shared" si="40"/>
        <v>2.9112830258606593E-3</v>
      </c>
      <c r="S212" s="3"/>
      <c r="T212" s="8">
        <v>38500</v>
      </c>
      <c r="U212" s="3"/>
      <c r="V212" s="7">
        <f t="shared" si="41"/>
        <v>4.275960280860398E-3</v>
      </c>
      <c r="W212" s="3"/>
      <c r="X212" s="8">
        <f t="shared" si="42"/>
        <v>25140</v>
      </c>
      <c r="Y212" s="3"/>
      <c r="Z212" s="7">
        <f t="shared" si="43"/>
        <v>0.652987012987013</v>
      </c>
    </row>
    <row r="213" spans="1:26" s="69" customFormat="1" ht="15" hidden="1" customHeight="1" outlineLevel="2" x14ac:dyDescent="0.3">
      <c r="A213" s="26"/>
      <c r="B213" s="12" t="str">
        <f>CONCATENATE("          ","7741"," - ","INV. SHRINKAGE-LOGO GIFTS")</f>
        <v xml:space="preserve">          7741 - INV. SHRINKAGE-LOGO GIFTS</v>
      </c>
      <c r="C213" s="12"/>
      <c r="D213" s="8"/>
      <c r="E213" s="3"/>
      <c r="F213" s="7">
        <f t="shared" si="36"/>
        <v>0</v>
      </c>
      <c r="G213" s="3"/>
      <c r="H213" s="8"/>
      <c r="I213" s="3"/>
      <c r="J213" s="7">
        <f t="shared" si="37"/>
        <v>0</v>
      </c>
      <c r="K213" s="3"/>
      <c r="L213" s="8">
        <f t="shared" si="38"/>
        <v>0</v>
      </c>
      <c r="M213" s="3"/>
      <c r="N213" s="7">
        <f t="shared" si="39"/>
        <v>0</v>
      </c>
      <c r="O213" s="12"/>
      <c r="P213" s="8"/>
      <c r="Q213" s="3"/>
      <c r="R213" s="7">
        <f t="shared" si="40"/>
        <v>0</v>
      </c>
      <c r="S213" s="3"/>
      <c r="T213" s="8">
        <v>0</v>
      </c>
      <c r="U213" s="3"/>
      <c r="V213" s="7">
        <f t="shared" si="41"/>
        <v>0</v>
      </c>
      <c r="W213" s="3"/>
      <c r="X213" s="8">
        <f t="shared" si="42"/>
        <v>0</v>
      </c>
      <c r="Y213" s="3"/>
      <c r="Z213" s="7">
        <f t="shared" si="43"/>
        <v>0</v>
      </c>
    </row>
    <row r="214" spans="1:26" s="68" customFormat="1" ht="15" customHeight="1" outlineLevel="1" collapsed="1" x14ac:dyDescent="0.3">
      <c r="A214" s="25"/>
      <c r="B214" s="14" t="str">
        <f>CONCATENATE("     ","Professional Services                             ")</f>
        <v xml:space="preserve">     Professional Services                             </v>
      </c>
      <c r="C214" s="14"/>
      <c r="D214" s="2">
        <f>SUM(OSRRefD22_15x_0)</f>
        <v>0</v>
      </c>
      <c r="E214" s="2"/>
      <c r="F214" s="6">
        <f t="shared" si="36"/>
        <v>0</v>
      </c>
      <c r="G214" s="2"/>
      <c r="H214" s="2">
        <f>SUM(OSRRefH22_15x_0)</f>
        <v>0</v>
      </c>
      <c r="I214" s="2"/>
      <c r="J214" s="6">
        <f t="shared" si="37"/>
        <v>0</v>
      </c>
      <c r="K214" s="2"/>
      <c r="L214" s="2">
        <f t="shared" si="38"/>
        <v>0</v>
      </c>
      <c r="M214" s="2"/>
      <c r="N214" s="6">
        <f t="shared" si="39"/>
        <v>0</v>
      </c>
      <c r="O214" s="14"/>
      <c r="P214" s="2">
        <f>SUM(OSRRefP22_15x_0)</f>
        <v>9626.5300000000007</v>
      </c>
      <c r="Q214" s="2"/>
      <c r="R214" s="6">
        <f t="shared" si="40"/>
        <v>4.4037638885824034E-4</v>
      </c>
      <c r="S214" s="2"/>
      <c r="T214" s="2">
        <f>SUM(OSRRefT22_15x_0)</f>
        <v>0</v>
      </c>
      <c r="U214" s="2"/>
      <c r="V214" s="6">
        <f t="shared" si="41"/>
        <v>0</v>
      </c>
      <c r="W214" s="2"/>
      <c r="X214" s="2">
        <f t="shared" si="42"/>
        <v>9626.5300000000007</v>
      </c>
      <c r="Y214" s="2"/>
      <c r="Z214" s="6">
        <f t="shared" si="43"/>
        <v>0</v>
      </c>
    </row>
    <row r="215" spans="1:26" s="69" customFormat="1" ht="15" hidden="1" customHeight="1" outlineLevel="2" x14ac:dyDescent="0.3">
      <c r="A215" s="26"/>
      <c r="B215" s="12" t="str">
        <f>CONCATENATE("          ","6336"," - ","PROFESSIONAL SERVICES")</f>
        <v xml:space="preserve">          6336 - PROFESSIONAL SERVICES</v>
      </c>
      <c r="C215" s="12"/>
      <c r="D215" s="8"/>
      <c r="E215" s="3"/>
      <c r="F215" s="7">
        <f t="shared" si="36"/>
        <v>0</v>
      </c>
      <c r="G215" s="3"/>
      <c r="H215" s="8"/>
      <c r="I215" s="3"/>
      <c r="J215" s="7">
        <f t="shared" si="37"/>
        <v>0</v>
      </c>
      <c r="K215" s="3"/>
      <c r="L215" s="8">
        <f t="shared" si="38"/>
        <v>0</v>
      </c>
      <c r="M215" s="3"/>
      <c r="N215" s="7">
        <f t="shared" si="39"/>
        <v>0</v>
      </c>
      <c r="O215" s="12"/>
      <c r="P215" s="8">
        <v>9626.5300000000007</v>
      </c>
      <c r="Q215" s="3"/>
      <c r="R215" s="7">
        <f t="shared" si="40"/>
        <v>4.4037638885824034E-4</v>
      </c>
      <c r="S215" s="3"/>
      <c r="T215" s="8"/>
      <c r="U215" s="3"/>
      <c r="V215" s="7">
        <f t="shared" si="41"/>
        <v>0</v>
      </c>
      <c r="W215" s="3"/>
      <c r="X215" s="8">
        <f t="shared" si="42"/>
        <v>9626.5300000000007</v>
      </c>
      <c r="Y215" s="3"/>
      <c r="Z215" s="7">
        <f t="shared" si="43"/>
        <v>0</v>
      </c>
    </row>
    <row r="216" spans="1:26" s="68" customFormat="1" ht="15" customHeight="1" outlineLevel="1" collapsed="1" x14ac:dyDescent="0.3">
      <c r="A216" s="25"/>
      <c r="B216" s="14" t="str">
        <f>CONCATENATE("     ","R/H Commissions                                   ")</f>
        <v xml:space="preserve">     R/H Commissions                                   </v>
      </c>
      <c r="C216" s="14"/>
      <c r="D216" s="2">
        <f>SUM(OSRRefD22_16x_0)</f>
        <v>135508.24</v>
      </c>
      <c r="E216" s="2"/>
      <c r="F216" s="6">
        <f t="shared" si="36"/>
        <v>4.0509044138977851E-2</v>
      </c>
      <c r="G216" s="2"/>
      <c r="H216" s="2">
        <f>SUM(OSRRefH22_16x_0)</f>
        <v>6627.19</v>
      </c>
      <c r="I216" s="2"/>
      <c r="J216" s="6">
        <f t="shared" si="37"/>
        <v>6.3804408077520079E-3</v>
      </c>
      <c r="K216" s="2"/>
      <c r="L216" s="2">
        <f t="shared" si="38"/>
        <v>128881.04999999999</v>
      </c>
      <c r="M216" s="2"/>
      <c r="N216" s="6">
        <f t="shared" si="39"/>
        <v>19.447314774436826</v>
      </c>
      <c r="O216" s="14"/>
      <c r="P216" s="2">
        <f>SUM(OSRRefP22_16x_0)</f>
        <v>856200.41</v>
      </c>
      <c r="Q216" s="2"/>
      <c r="R216" s="6">
        <f t="shared" si="40"/>
        <v>3.9167846014581037E-2</v>
      </c>
      <c r="S216" s="2"/>
      <c r="T216" s="2">
        <f>SUM(OSRRefT22_16x_0)</f>
        <v>65639.789999999994</v>
      </c>
      <c r="U216" s="2"/>
      <c r="V216" s="6">
        <f t="shared" si="41"/>
        <v>7.2902112956887656E-3</v>
      </c>
      <c r="W216" s="2"/>
      <c r="X216" s="2">
        <f t="shared" si="42"/>
        <v>790560.62</v>
      </c>
      <c r="Y216" s="2"/>
      <c r="Z216" s="6">
        <f t="shared" si="43"/>
        <v>12.043923662766137</v>
      </c>
    </row>
    <row r="217" spans="1:26" s="69" customFormat="1" ht="15" hidden="1" customHeight="1" outlineLevel="2" x14ac:dyDescent="0.3">
      <c r="A217" s="26"/>
      <c r="B217" s="12" t="str">
        <f>CONCATENATE("          ","6387"," - ","COMMISSION DUE HOUSING")</f>
        <v xml:space="preserve">          6387 - COMMISSION DUE HOUSING</v>
      </c>
      <c r="C217" s="12"/>
      <c r="D217" s="8">
        <v>135508.24</v>
      </c>
      <c r="E217" s="3"/>
      <c r="F217" s="7">
        <f t="shared" si="36"/>
        <v>4.0509044138977851E-2</v>
      </c>
      <c r="G217" s="3"/>
      <c r="H217" s="8">
        <v>6627.19</v>
      </c>
      <c r="I217" s="3"/>
      <c r="J217" s="7">
        <f t="shared" si="37"/>
        <v>6.3804408077520079E-3</v>
      </c>
      <c r="K217" s="3"/>
      <c r="L217" s="8">
        <f t="shared" si="38"/>
        <v>128881.04999999999</v>
      </c>
      <c r="M217" s="3"/>
      <c r="N217" s="7">
        <f t="shared" si="39"/>
        <v>19.447314774436826</v>
      </c>
      <c r="O217" s="12"/>
      <c r="P217" s="8">
        <v>856200.41</v>
      </c>
      <c r="Q217" s="3"/>
      <c r="R217" s="7">
        <f t="shared" si="40"/>
        <v>3.9167846014581037E-2</v>
      </c>
      <c r="S217" s="3"/>
      <c r="T217" s="8">
        <v>65639.789999999994</v>
      </c>
      <c r="U217" s="3"/>
      <c r="V217" s="7">
        <f t="shared" si="41"/>
        <v>7.2902112956887656E-3</v>
      </c>
      <c r="W217" s="3"/>
      <c r="X217" s="8">
        <f t="shared" si="42"/>
        <v>790560.62</v>
      </c>
      <c r="Y217" s="3"/>
      <c r="Z217" s="7">
        <f t="shared" si="43"/>
        <v>12.043923662766137</v>
      </c>
    </row>
    <row r="218" spans="1:26" s="68" customFormat="1" ht="15" customHeight="1" outlineLevel="1" collapsed="1" x14ac:dyDescent="0.3">
      <c r="A218" s="25"/>
      <c r="B218" s="14" t="str">
        <f>CONCATENATE("     ","Rent                                              ")</f>
        <v xml:space="preserve">     Rent                                              </v>
      </c>
      <c r="C218" s="14"/>
      <c r="D218" s="2">
        <f>SUM(OSRRefD22_17x_0)</f>
        <v>8750</v>
      </c>
      <c r="E218" s="2"/>
      <c r="F218" s="6">
        <f t="shared" si="36"/>
        <v>2.6157386164565063E-3</v>
      </c>
      <c r="G218" s="2"/>
      <c r="H218" s="2">
        <f>SUM(OSRRefH22_17x_0)</f>
        <v>8750</v>
      </c>
      <c r="I218" s="2"/>
      <c r="J218" s="6">
        <f t="shared" si="37"/>
        <v>8.4242125346987301E-3</v>
      </c>
      <c r="K218" s="2"/>
      <c r="L218" s="2">
        <f t="shared" si="38"/>
        <v>0</v>
      </c>
      <c r="M218" s="2"/>
      <c r="N218" s="6">
        <f t="shared" si="39"/>
        <v>0</v>
      </c>
      <c r="O218" s="14"/>
      <c r="P218" s="2">
        <f>SUM(OSRRefP22_17x_0)</f>
        <v>87500</v>
      </c>
      <c r="Q218" s="2"/>
      <c r="R218" s="6">
        <f t="shared" si="40"/>
        <v>4.0027854299624086E-3</v>
      </c>
      <c r="S218" s="2"/>
      <c r="T218" s="2">
        <f>SUM(OSRRefT22_17x_0)</f>
        <v>81950</v>
      </c>
      <c r="U218" s="2"/>
      <c r="V218" s="6">
        <f t="shared" si="41"/>
        <v>9.1016868835457031E-3</v>
      </c>
      <c r="W218" s="2"/>
      <c r="X218" s="2">
        <f t="shared" si="42"/>
        <v>5550</v>
      </c>
      <c r="Y218" s="2"/>
      <c r="Z218" s="6">
        <f t="shared" si="43"/>
        <v>6.7724222086638197E-2</v>
      </c>
    </row>
    <row r="219" spans="1:26" s="69" customFormat="1" ht="15" hidden="1" customHeight="1" outlineLevel="2" x14ac:dyDescent="0.3">
      <c r="A219" s="26"/>
      <c r="B219" s="12" t="str">
        <f>CONCATENATE("          ","6273"," - ","RENT")</f>
        <v xml:space="preserve">          6273 - RENT</v>
      </c>
      <c r="C219" s="12"/>
      <c r="D219" s="8">
        <v>8750</v>
      </c>
      <c r="E219" s="3"/>
      <c r="F219" s="7">
        <f t="shared" si="36"/>
        <v>2.6157386164565063E-3</v>
      </c>
      <c r="G219" s="3"/>
      <c r="H219" s="8">
        <v>8750</v>
      </c>
      <c r="I219" s="3"/>
      <c r="J219" s="7">
        <f t="shared" si="37"/>
        <v>8.4242125346987301E-3</v>
      </c>
      <c r="K219" s="3"/>
      <c r="L219" s="8">
        <f t="shared" si="38"/>
        <v>0</v>
      </c>
      <c r="M219" s="3"/>
      <c r="N219" s="7">
        <f t="shared" si="39"/>
        <v>0</v>
      </c>
      <c r="O219" s="12"/>
      <c r="P219" s="8">
        <v>87500</v>
      </c>
      <c r="Q219" s="3"/>
      <c r="R219" s="7">
        <f t="shared" si="40"/>
        <v>4.0027854299624086E-3</v>
      </c>
      <c r="S219" s="3"/>
      <c r="T219" s="8">
        <v>81950</v>
      </c>
      <c r="U219" s="3"/>
      <c r="V219" s="7">
        <f t="shared" si="41"/>
        <v>9.1016868835457031E-3</v>
      </c>
      <c r="W219" s="3"/>
      <c r="X219" s="8">
        <f t="shared" si="42"/>
        <v>5550</v>
      </c>
      <c r="Y219" s="3"/>
      <c r="Z219" s="7">
        <f t="shared" si="43"/>
        <v>6.7724222086638197E-2</v>
      </c>
    </row>
    <row r="220" spans="1:26" s="68" customFormat="1" ht="15" customHeight="1" outlineLevel="1" collapsed="1" x14ac:dyDescent="0.3">
      <c r="A220" s="25"/>
      <c r="B220" s="14" t="str">
        <f>CONCATENATE("     ","Repair and Maintenance                            ")</f>
        <v xml:space="preserve">     Repair and Maintenance                            </v>
      </c>
      <c r="C220" s="14"/>
      <c r="D220" s="2">
        <f>SUM(OSRRefD22_18x_0)</f>
        <v>28585.67</v>
      </c>
      <c r="E220" s="2"/>
      <c r="F220" s="6">
        <f t="shared" si="36"/>
        <v>8.5454446738608292E-3</v>
      </c>
      <c r="G220" s="2"/>
      <c r="H220" s="2">
        <f>SUM(OSRRefH22_18x_0)</f>
        <v>8099.35</v>
      </c>
      <c r="I220" s="2"/>
      <c r="J220" s="6">
        <f t="shared" si="37"/>
        <v>7.7977880906185326E-3</v>
      </c>
      <c r="K220" s="2"/>
      <c r="L220" s="2">
        <f t="shared" si="38"/>
        <v>20486.32</v>
      </c>
      <c r="M220" s="2"/>
      <c r="N220" s="6">
        <f t="shared" si="39"/>
        <v>2.5293782834424983</v>
      </c>
      <c r="O220" s="14"/>
      <c r="P220" s="2">
        <f>SUM(OSRRefP22_18x_0)</f>
        <v>407006.18</v>
      </c>
      <c r="Q220" s="2"/>
      <c r="R220" s="6">
        <f t="shared" si="40"/>
        <v>1.8618953225241801E-2</v>
      </c>
      <c r="S220" s="2"/>
      <c r="T220" s="2">
        <f>SUM(OSRRefT22_18x_0)</f>
        <v>353256.76</v>
      </c>
      <c r="U220" s="2"/>
      <c r="V220" s="6">
        <f t="shared" si="41"/>
        <v>3.9234074667673612E-2</v>
      </c>
      <c r="W220" s="2"/>
      <c r="X220" s="2">
        <f t="shared" si="42"/>
        <v>53749.419999999984</v>
      </c>
      <c r="Y220" s="2"/>
      <c r="Z220" s="6">
        <f t="shared" si="43"/>
        <v>0.15215397434998831</v>
      </c>
    </row>
    <row r="221" spans="1:26" s="69" customFormat="1" ht="15" hidden="1" customHeight="1" outlineLevel="2" x14ac:dyDescent="0.3">
      <c r="A221" s="26"/>
      <c r="B221" s="12" t="str">
        <f>CONCATENATE("          ","6371"," - ","COMPUTER SOFTWARE MAINTENANCE")</f>
        <v xml:space="preserve">          6371 - COMPUTER SOFTWARE MAINTENANCE</v>
      </c>
      <c r="C221" s="12"/>
      <c r="D221" s="8">
        <v>12466.19</v>
      </c>
      <c r="E221" s="3"/>
      <c r="F221" s="7">
        <f t="shared" si="36"/>
        <v>3.7266622380667355E-3</v>
      </c>
      <c r="G221" s="3"/>
      <c r="H221" s="8">
        <v>3500</v>
      </c>
      <c r="I221" s="3"/>
      <c r="J221" s="7">
        <f t="shared" si="37"/>
        <v>3.369685013879492E-3</v>
      </c>
      <c r="K221" s="3"/>
      <c r="L221" s="8">
        <f t="shared" si="38"/>
        <v>8966.19</v>
      </c>
      <c r="M221" s="3"/>
      <c r="N221" s="7">
        <f t="shared" si="39"/>
        <v>2.5617685714285714</v>
      </c>
      <c r="O221" s="12"/>
      <c r="P221" s="8">
        <v>123211.76</v>
      </c>
      <c r="Q221" s="3"/>
      <c r="R221" s="7">
        <f t="shared" si="40"/>
        <v>5.636459859748858E-3</v>
      </c>
      <c r="S221" s="3"/>
      <c r="T221" s="8">
        <v>79519.990000000005</v>
      </c>
      <c r="U221" s="3"/>
      <c r="V221" s="7">
        <f t="shared" si="41"/>
        <v>8.8318004876471699E-3</v>
      </c>
      <c r="W221" s="3"/>
      <c r="X221" s="8">
        <f t="shared" si="42"/>
        <v>43691.76999999999</v>
      </c>
      <c r="Y221" s="3"/>
      <c r="Z221" s="7">
        <f t="shared" si="43"/>
        <v>0.54944385682141039</v>
      </c>
    </row>
    <row r="222" spans="1:26" s="69" customFormat="1" ht="15" hidden="1" customHeight="1" outlineLevel="2" x14ac:dyDescent="0.3">
      <c r="A222" s="26"/>
      <c r="B222" s="12" t="str">
        <f>CONCATENATE("          ","6372"," - ","COMPUTER HARDWARE MAINTENANCE")</f>
        <v xml:space="preserve">          6372 - COMPUTER HARDWARE MAINTENANCE</v>
      </c>
      <c r="C222" s="12"/>
      <c r="D222" s="8"/>
      <c r="E222" s="3"/>
      <c r="F222" s="7">
        <f t="shared" si="36"/>
        <v>0</v>
      </c>
      <c r="G222" s="3"/>
      <c r="H222" s="8"/>
      <c r="I222" s="3"/>
      <c r="J222" s="7">
        <f t="shared" si="37"/>
        <v>0</v>
      </c>
      <c r="K222" s="3"/>
      <c r="L222" s="8">
        <f t="shared" si="38"/>
        <v>0</v>
      </c>
      <c r="M222" s="3"/>
      <c r="N222" s="7">
        <f t="shared" si="39"/>
        <v>0</v>
      </c>
      <c r="O222" s="12"/>
      <c r="P222" s="8">
        <v>1555.65</v>
      </c>
      <c r="Q222" s="3"/>
      <c r="R222" s="7">
        <f t="shared" si="40"/>
        <v>7.116495033281167E-5</v>
      </c>
      <c r="S222" s="3"/>
      <c r="T222" s="8">
        <v>98.85</v>
      </c>
      <c r="U222" s="3"/>
      <c r="V222" s="7">
        <f t="shared" si="41"/>
        <v>1.0978666850988319E-5</v>
      </c>
      <c r="W222" s="3"/>
      <c r="X222" s="8">
        <f t="shared" si="42"/>
        <v>1456.8000000000002</v>
      </c>
      <c r="Y222" s="3"/>
      <c r="Z222" s="7">
        <f t="shared" si="43"/>
        <v>14.737481031866468</v>
      </c>
    </row>
    <row r="223" spans="1:26" s="69" customFormat="1" ht="15" hidden="1" customHeight="1" outlineLevel="2" x14ac:dyDescent="0.3">
      <c r="A223" s="26"/>
      <c r="B223" s="12" t="str">
        <f>CONCATENATE("          ","6373"," - ","MAINTENANCE CONTRACTS")</f>
        <v xml:space="preserve">          6373 - MAINTENANCE CONTRACTS</v>
      </c>
      <c r="C223" s="12"/>
      <c r="D223" s="8">
        <v>800.5</v>
      </c>
      <c r="E223" s="3"/>
      <c r="F223" s="7">
        <f t="shared" si="36"/>
        <v>2.3930271571124951E-4</v>
      </c>
      <c r="G223" s="3"/>
      <c r="H223" s="8">
        <v>1441.34</v>
      </c>
      <c r="I223" s="3"/>
      <c r="J223" s="7">
        <f t="shared" si="37"/>
        <v>1.3876747994014476E-3</v>
      </c>
      <c r="K223" s="3"/>
      <c r="L223" s="8">
        <f t="shared" si="38"/>
        <v>-640.83999999999992</v>
      </c>
      <c r="M223" s="3"/>
      <c r="N223" s="7">
        <f t="shared" si="39"/>
        <v>-0.44461403971304475</v>
      </c>
      <c r="O223" s="12"/>
      <c r="P223" s="8">
        <v>166417.19</v>
      </c>
      <c r="Q223" s="3"/>
      <c r="R223" s="7">
        <f t="shared" si="40"/>
        <v>7.6129406105975529E-3</v>
      </c>
      <c r="S223" s="3"/>
      <c r="T223" s="8">
        <v>211773.97</v>
      </c>
      <c r="U223" s="3"/>
      <c r="V223" s="7">
        <f t="shared" si="41"/>
        <v>2.3520443746496662E-2</v>
      </c>
      <c r="W223" s="3"/>
      <c r="X223" s="8">
        <f t="shared" si="42"/>
        <v>-45356.78</v>
      </c>
      <c r="Y223" s="3"/>
      <c r="Z223" s="7">
        <f t="shared" si="43"/>
        <v>-0.21417542486453836</v>
      </c>
    </row>
    <row r="224" spans="1:26" s="69" customFormat="1" ht="15" hidden="1" customHeight="1" outlineLevel="2" x14ac:dyDescent="0.3">
      <c r="A224" s="26"/>
      <c r="B224" s="12" t="str">
        <f>CONCATENATE("          ","6375"," - ","OUTSIDE REPAIRS &amp; MAINTENANCE")</f>
        <v xml:space="preserve">          6375 - OUTSIDE REPAIRS &amp; MAINTENANCE</v>
      </c>
      <c r="C224" s="12"/>
      <c r="D224" s="8">
        <v>15318.98</v>
      </c>
      <c r="E224" s="3"/>
      <c r="F224" s="7">
        <f t="shared" si="36"/>
        <v>4.5794797200828449E-3</v>
      </c>
      <c r="G224" s="3"/>
      <c r="H224" s="8">
        <v>3158.01</v>
      </c>
      <c r="I224" s="3"/>
      <c r="J224" s="7">
        <f t="shared" si="37"/>
        <v>3.040428277337593E-3</v>
      </c>
      <c r="K224" s="3"/>
      <c r="L224" s="8">
        <f t="shared" si="38"/>
        <v>12160.97</v>
      </c>
      <c r="M224" s="3"/>
      <c r="N224" s="7">
        <f t="shared" si="39"/>
        <v>3.8508332779186887</v>
      </c>
      <c r="O224" s="12"/>
      <c r="P224" s="8">
        <v>115821.58</v>
      </c>
      <c r="Q224" s="3"/>
      <c r="R224" s="7">
        <f t="shared" si="40"/>
        <v>5.2983878045625779E-3</v>
      </c>
      <c r="S224" s="3"/>
      <c r="T224" s="8">
        <v>61863.95</v>
      </c>
      <c r="U224" s="3"/>
      <c r="V224" s="7">
        <f t="shared" si="41"/>
        <v>6.8708517666787941E-3</v>
      </c>
      <c r="W224" s="3"/>
      <c r="X224" s="8">
        <f t="shared" si="42"/>
        <v>53957.630000000005</v>
      </c>
      <c r="Y224" s="3"/>
      <c r="Z224" s="7">
        <f t="shared" si="43"/>
        <v>0.87219826732693284</v>
      </c>
    </row>
    <row r="225" spans="1:26" s="68" customFormat="1" ht="15" customHeight="1" outlineLevel="1" collapsed="1" x14ac:dyDescent="0.3">
      <c r="A225" s="25"/>
      <c r="B225" s="14" t="str">
        <f>CONCATENATE("     ","Royalty &amp; Commissions                             ")</f>
        <v xml:space="preserve">     Royalty &amp; Commissions                             </v>
      </c>
      <c r="C225" s="14"/>
      <c r="D225" s="2">
        <f>SUM(OSRRefD22_19x_0)</f>
        <v>35099.46</v>
      </c>
      <c r="E225" s="2"/>
      <c r="F225" s="6">
        <f t="shared" si="36"/>
        <v>1.049268719300234E-2</v>
      </c>
      <c r="G225" s="2"/>
      <c r="H225" s="2">
        <f>SUM(OSRRefH22_19x_0)</f>
        <v>11531.75</v>
      </c>
      <c r="I225" s="2"/>
      <c r="J225" s="6">
        <f t="shared" si="37"/>
        <v>1.1102390045372808E-2</v>
      </c>
      <c r="K225" s="2"/>
      <c r="L225" s="2">
        <f t="shared" si="38"/>
        <v>23567.71</v>
      </c>
      <c r="M225" s="2"/>
      <c r="N225" s="6">
        <f t="shared" si="39"/>
        <v>2.0437236325796171</v>
      </c>
      <c r="O225" s="14"/>
      <c r="P225" s="2">
        <f>SUM(OSRRefP22_19x_0)</f>
        <v>92053.099999999991</v>
      </c>
      <c r="Q225" s="2"/>
      <c r="R225" s="6">
        <f t="shared" si="40"/>
        <v>4.2110720852899727E-3</v>
      </c>
      <c r="S225" s="2"/>
      <c r="T225" s="2">
        <f>SUM(OSRRefT22_19x_0)</f>
        <v>48578.649999999994</v>
      </c>
      <c r="U225" s="2"/>
      <c r="V225" s="6">
        <f t="shared" si="41"/>
        <v>5.3953344908524393E-3</v>
      </c>
      <c r="W225" s="2"/>
      <c r="X225" s="2">
        <f t="shared" si="42"/>
        <v>43474.45</v>
      </c>
      <c r="Y225" s="2"/>
      <c r="Z225" s="6">
        <f t="shared" si="43"/>
        <v>0.89492915097475956</v>
      </c>
    </row>
    <row r="226" spans="1:26" s="69" customFormat="1" ht="15" hidden="1" customHeight="1" outlineLevel="2" x14ac:dyDescent="0.3">
      <c r="A226" s="26"/>
      <c r="B226" s="12" t="str">
        <f>CONCATENATE("          ","6253"," - ","ROYALTY DUE ATHLETICS-LRG")</f>
        <v xml:space="preserve">          6253 - ROYALTY DUE ATHLETICS-LRG</v>
      </c>
      <c r="C226" s="12"/>
      <c r="D226" s="8">
        <v>15944.33</v>
      </c>
      <c r="E226" s="3"/>
      <c r="F226" s="7">
        <f t="shared" si="36"/>
        <v>4.7664228222315391E-3</v>
      </c>
      <c r="G226" s="3"/>
      <c r="H226" s="8">
        <v>8961.48</v>
      </c>
      <c r="I226" s="3"/>
      <c r="J226" s="7">
        <f t="shared" si="37"/>
        <v>8.6278185309087967E-3</v>
      </c>
      <c r="K226" s="3"/>
      <c r="L226" s="8">
        <f t="shared" si="38"/>
        <v>6982.85</v>
      </c>
      <c r="M226" s="3"/>
      <c r="N226" s="7">
        <f t="shared" si="39"/>
        <v>0.77920722916304008</v>
      </c>
      <c r="O226" s="12"/>
      <c r="P226" s="8">
        <v>55165.49</v>
      </c>
      <c r="Q226" s="3"/>
      <c r="R226" s="7">
        <f t="shared" si="40"/>
        <v>2.5236070812427081E-3</v>
      </c>
      <c r="S226" s="3"/>
      <c r="T226" s="8">
        <v>35159.06</v>
      </c>
      <c r="U226" s="3"/>
      <c r="V226" s="7">
        <f t="shared" si="41"/>
        <v>3.9049024434386378E-3</v>
      </c>
      <c r="W226" s="3"/>
      <c r="X226" s="8">
        <f t="shared" si="42"/>
        <v>20006.43</v>
      </c>
      <c r="Y226" s="3"/>
      <c r="Z226" s="7">
        <f t="shared" si="43"/>
        <v>0.56902630502635743</v>
      </c>
    </row>
    <row r="227" spans="1:26" s="69" customFormat="1" ht="15" hidden="1" customHeight="1" outlineLevel="2" x14ac:dyDescent="0.3">
      <c r="A227" s="26"/>
      <c r="B227" s="12" t="str">
        <f>CONCATENATE("          ","6254"," - ","ROYALTY &amp; COMMISSIONS")</f>
        <v xml:space="preserve">          6254 - ROYALTY &amp; COMMISSIONS</v>
      </c>
      <c r="C227" s="12"/>
      <c r="D227" s="8">
        <v>17110.099999999999</v>
      </c>
      <c r="E227" s="3"/>
      <c r="F227" s="7">
        <f t="shared" ref="F227:F258" si="44">IF(D$12=0,0,D227/D$12)</f>
        <v>5.1149199201637099E-3</v>
      </c>
      <c r="G227" s="3"/>
      <c r="H227" s="8"/>
      <c r="I227" s="3"/>
      <c r="J227" s="7">
        <f t="shared" ref="J227:J258" si="45">IF(H$12=0,0,H227/H$12)</f>
        <v>0</v>
      </c>
      <c r="K227" s="3"/>
      <c r="L227" s="8">
        <f t="shared" ref="L227:L258" si="46">+D227-H227</f>
        <v>17110.099999999999</v>
      </c>
      <c r="M227" s="3"/>
      <c r="N227" s="7">
        <f t="shared" ref="N227:N258" si="47">IF(H227=0,0,L227/H227)</f>
        <v>0</v>
      </c>
      <c r="O227" s="12"/>
      <c r="P227" s="8">
        <v>24836.959999999999</v>
      </c>
      <c r="Q227" s="3"/>
      <c r="R227" s="7">
        <f t="shared" ref="R227:R258" si="48">IF(P$12=0,0,P227/P$12)</f>
        <v>1.1361945327149616E-3</v>
      </c>
      <c r="S227" s="3"/>
      <c r="T227" s="8">
        <v>185.7</v>
      </c>
      <c r="U227" s="3"/>
      <c r="V227" s="7">
        <f t="shared" ref="V227:V258" si="49">IF(T$12=0,0,T227/T$12)</f>
        <v>2.0624566861188981E-5</v>
      </c>
      <c r="W227" s="3"/>
      <c r="X227" s="8">
        <f t="shared" ref="X227:X258" si="50">+P227-T227</f>
        <v>24651.26</v>
      </c>
      <c r="Y227" s="3"/>
      <c r="Z227" s="7">
        <f t="shared" ref="Z227:Z258" si="51">IF(T227=0,0,X227/T227)</f>
        <v>132.74776521270866</v>
      </c>
    </row>
    <row r="228" spans="1:26" s="69" customFormat="1" ht="15" hidden="1" customHeight="1" outlineLevel="2" x14ac:dyDescent="0.3">
      <c r="A228" s="26"/>
      <c r="B228" s="12" t="str">
        <f>CONCATENATE("          ","6259"," - ","ROYALTY &amp; COMMISSIONS")</f>
        <v xml:space="preserve">          6259 - ROYALTY &amp; COMMISSIONS</v>
      </c>
      <c r="C228" s="12"/>
      <c r="D228" s="8">
        <v>2045.03</v>
      </c>
      <c r="E228" s="3"/>
      <c r="F228" s="7">
        <f t="shared" si="44"/>
        <v>6.1134445060709135E-4</v>
      </c>
      <c r="G228" s="3"/>
      <c r="H228" s="8">
        <v>2570.27</v>
      </c>
      <c r="I228" s="3"/>
      <c r="J228" s="7">
        <f t="shared" si="45"/>
        <v>2.4745715144640118E-3</v>
      </c>
      <c r="K228" s="3"/>
      <c r="L228" s="8">
        <f t="shared" si="46"/>
        <v>-525.24</v>
      </c>
      <c r="M228" s="3"/>
      <c r="N228" s="7">
        <f t="shared" si="47"/>
        <v>-0.20435207196131147</v>
      </c>
      <c r="O228" s="12"/>
      <c r="P228" s="8">
        <v>12050.65</v>
      </c>
      <c r="Q228" s="3"/>
      <c r="R228" s="7">
        <f t="shared" si="48"/>
        <v>5.5127047133230291E-4</v>
      </c>
      <c r="S228" s="3"/>
      <c r="T228" s="8">
        <v>13233.89</v>
      </c>
      <c r="U228" s="3"/>
      <c r="V228" s="7">
        <f t="shared" si="49"/>
        <v>1.4698074805526132E-3</v>
      </c>
      <c r="W228" s="3"/>
      <c r="X228" s="8">
        <f t="shared" si="50"/>
        <v>-1183.2399999999998</v>
      </c>
      <c r="Y228" s="3"/>
      <c r="Z228" s="7">
        <f t="shared" si="51"/>
        <v>-8.940984094623726E-2</v>
      </c>
    </row>
    <row r="229" spans="1:26" s="68" customFormat="1" ht="15" customHeight="1" outlineLevel="1" collapsed="1" x14ac:dyDescent="0.3">
      <c r="A229" s="25"/>
      <c r="B229" s="14" t="str">
        <f>CONCATENATE("     ","Services                                          ")</f>
        <v xml:space="preserve">     Services                                          </v>
      </c>
      <c r="C229" s="14"/>
      <c r="D229" s="2">
        <f>SUM(OSRRefD22_20x_0)</f>
        <v>33001.03</v>
      </c>
      <c r="E229" s="2"/>
      <c r="F229" s="6">
        <f t="shared" si="44"/>
        <v>9.8653792632959602E-3</v>
      </c>
      <c r="G229" s="2"/>
      <c r="H229" s="2">
        <f>SUM(OSRRefH22_20x_0)</f>
        <v>28061.86</v>
      </c>
      <c r="I229" s="2"/>
      <c r="J229" s="6">
        <f t="shared" si="45"/>
        <v>2.7017036886738389E-2</v>
      </c>
      <c r="K229" s="2"/>
      <c r="L229" s="2">
        <f t="shared" si="46"/>
        <v>4939.1699999999983</v>
      </c>
      <c r="M229" s="2"/>
      <c r="N229" s="6">
        <f t="shared" si="47"/>
        <v>0.17601007203371402</v>
      </c>
      <c r="O229" s="14"/>
      <c r="P229" s="2">
        <f>SUM(OSRRefP22_20x_0)</f>
        <v>312697.53000000003</v>
      </c>
      <c r="Q229" s="2"/>
      <c r="R229" s="6">
        <f t="shared" si="48"/>
        <v>1.4304698480791238E-2</v>
      </c>
      <c r="S229" s="2"/>
      <c r="T229" s="2">
        <f>SUM(OSRRefT22_20x_0)</f>
        <v>214856.74000000002</v>
      </c>
      <c r="U229" s="2"/>
      <c r="V229" s="6">
        <f t="shared" si="49"/>
        <v>2.3862828215977908E-2</v>
      </c>
      <c r="W229" s="2"/>
      <c r="X229" s="2">
        <f t="shared" si="50"/>
        <v>97840.790000000008</v>
      </c>
      <c r="Y229" s="2"/>
      <c r="Z229" s="6">
        <f t="shared" si="51"/>
        <v>0.45537687111886738</v>
      </c>
    </row>
    <row r="230" spans="1:26" s="69" customFormat="1" ht="15" hidden="1" customHeight="1" outlineLevel="2" x14ac:dyDescent="0.3">
      <c r="A230" s="26"/>
      <c r="B230" s="12" t="str">
        <f>CONCATENATE("          ","6282"," - ","JANITORIAL/EXTERMINATOR EXPENS")</f>
        <v xml:space="preserve">          6282 - JANITORIAL/EXTERMINATOR EXPENS</v>
      </c>
      <c r="C230" s="12"/>
      <c r="D230" s="8">
        <v>3313.8</v>
      </c>
      <c r="E230" s="3"/>
      <c r="F230" s="7">
        <f t="shared" si="44"/>
        <v>9.9063252882440806E-4</v>
      </c>
      <c r="G230" s="3"/>
      <c r="H230" s="8">
        <v>4208.8100000000004</v>
      </c>
      <c r="I230" s="3"/>
      <c r="J230" s="7">
        <f t="shared" si="45"/>
        <v>4.0521039952188991E-3</v>
      </c>
      <c r="K230" s="3"/>
      <c r="L230" s="8">
        <f t="shared" si="46"/>
        <v>-895.01000000000022</v>
      </c>
      <c r="M230" s="3"/>
      <c r="N230" s="7">
        <f t="shared" si="47"/>
        <v>-0.21265155709095923</v>
      </c>
      <c r="O230" s="12"/>
      <c r="P230" s="8">
        <v>34588.410000000003</v>
      </c>
      <c r="Q230" s="3"/>
      <c r="R230" s="7">
        <f t="shared" si="48"/>
        <v>1.5822855267836125E-3</v>
      </c>
      <c r="S230" s="3"/>
      <c r="T230" s="8">
        <v>34049.910000000003</v>
      </c>
      <c r="U230" s="3"/>
      <c r="V230" s="7">
        <f t="shared" si="49"/>
        <v>3.7817159149836693E-3</v>
      </c>
      <c r="W230" s="3"/>
      <c r="X230" s="8">
        <f t="shared" si="50"/>
        <v>538.5</v>
      </c>
      <c r="Y230" s="3"/>
      <c r="Z230" s="7">
        <f t="shared" si="51"/>
        <v>1.5815019775382664E-2</v>
      </c>
    </row>
    <row r="231" spans="1:26" s="69" customFormat="1" ht="15" hidden="1" customHeight="1" outlineLevel="2" x14ac:dyDescent="0.3">
      <c r="A231" s="26"/>
      <c r="B231" s="12" t="str">
        <f>CONCATENATE("          ","6283"," - ","PLANT SERVICE")</f>
        <v xml:space="preserve">          6283 - PLANT SERVICE</v>
      </c>
      <c r="C231" s="12"/>
      <c r="D231" s="8"/>
      <c r="E231" s="3"/>
      <c r="F231" s="7">
        <f t="shared" si="44"/>
        <v>0</v>
      </c>
      <c r="G231" s="3"/>
      <c r="H231" s="8"/>
      <c r="I231" s="3"/>
      <c r="J231" s="7">
        <f t="shared" si="45"/>
        <v>0</v>
      </c>
      <c r="K231" s="3"/>
      <c r="L231" s="8">
        <f t="shared" si="46"/>
        <v>0</v>
      </c>
      <c r="M231" s="3"/>
      <c r="N231" s="7">
        <f t="shared" si="47"/>
        <v>0</v>
      </c>
      <c r="O231" s="12"/>
      <c r="P231" s="8"/>
      <c r="Q231" s="3"/>
      <c r="R231" s="7">
        <f t="shared" si="48"/>
        <v>0</v>
      </c>
      <c r="S231" s="3"/>
      <c r="T231" s="8">
        <v>171.31</v>
      </c>
      <c r="U231" s="3"/>
      <c r="V231" s="7">
        <f t="shared" si="49"/>
        <v>1.9026357291277785E-5</v>
      </c>
      <c r="W231" s="3"/>
      <c r="X231" s="8">
        <f t="shared" si="50"/>
        <v>-171.31</v>
      </c>
      <c r="Y231" s="3"/>
      <c r="Z231" s="7">
        <f t="shared" si="51"/>
        <v>-1</v>
      </c>
    </row>
    <row r="232" spans="1:26" s="69" customFormat="1" ht="15" hidden="1" customHeight="1" outlineLevel="2" x14ac:dyDescent="0.3">
      <c r="A232" s="26"/>
      <c r="B232" s="12" t="str">
        <f>CONCATENATE("          ","6284"," - ","TRASH REMOVAL EXPENSE")</f>
        <v xml:space="preserve">          6284 - TRASH REMOVAL EXPENSE</v>
      </c>
      <c r="C232" s="12"/>
      <c r="D232" s="8"/>
      <c r="E232" s="3"/>
      <c r="F232" s="7">
        <f t="shared" si="44"/>
        <v>0</v>
      </c>
      <c r="G232" s="3"/>
      <c r="H232" s="8">
        <v>5800.57</v>
      </c>
      <c r="I232" s="3"/>
      <c r="J232" s="7">
        <f t="shared" si="45"/>
        <v>5.584598228845418E-3</v>
      </c>
      <c r="K232" s="3"/>
      <c r="L232" s="8">
        <f t="shared" si="46"/>
        <v>-5800.57</v>
      </c>
      <c r="M232" s="3"/>
      <c r="N232" s="7">
        <f t="shared" si="47"/>
        <v>-1</v>
      </c>
      <c r="O232" s="12"/>
      <c r="P232" s="8">
        <v>1340.17</v>
      </c>
      <c r="Q232" s="3"/>
      <c r="R232" s="7">
        <f t="shared" si="48"/>
        <v>6.1307576567688247E-5</v>
      </c>
      <c r="S232" s="3"/>
      <c r="T232" s="8">
        <v>28899.47</v>
      </c>
      <c r="U232" s="3"/>
      <c r="V232" s="7">
        <f t="shared" si="49"/>
        <v>3.2096879443614711E-3</v>
      </c>
      <c r="W232" s="3"/>
      <c r="X232" s="8">
        <f t="shared" si="50"/>
        <v>-27559.300000000003</v>
      </c>
      <c r="Y232" s="3"/>
      <c r="Z232" s="7">
        <f t="shared" si="51"/>
        <v>-0.95362648519159698</v>
      </c>
    </row>
    <row r="233" spans="1:26" s="69" customFormat="1" ht="15" hidden="1" customHeight="1" outlineLevel="2" x14ac:dyDescent="0.3">
      <c r="A233" s="26"/>
      <c r="B233" s="12" t="str">
        <f>CONCATENATE("          ","6285"," - ","JANITORIAL SERVICES")</f>
        <v xml:space="preserve">          6285 - JANITORIAL SERVICES</v>
      </c>
      <c r="C233" s="12"/>
      <c r="D233" s="8">
        <v>22954</v>
      </c>
      <c r="E233" s="3"/>
      <c r="F233" s="7">
        <f t="shared" si="44"/>
        <v>6.8619044802448736E-3</v>
      </c>
      <c r="G233" s="3"/>
      <c r="H233" s="8">
        <v>16146.46</v>
      </c>
      <c r="I233" s="3"/>
      <c r="J233" s="7">
        <f t="shared" si="45"/>
        <v>1.5545281225487045E-2</v>
      </c>
      <c r="K233" s="3"/>
      <c r="L233" s="8">
        <f t="shared" si="46"/>
        <v>6807.5400000000009</v>
      </c>
      <c r="M233" s="3"/>
      <c r="N233" s="7">
        <f t="shared" si="47"/>
        <v>0.42161191988832236</v>
      </c>
      <c r="O233" s="12"/>
      <c r="P233" s="8">
        <v>241341.24</v>
      </c>
      <c r="Q233" s="3"/>
      <c r="R233" s="7">
        <f t="shared" si="48"/>
        <v>1.1040425132812124E-2</v>
      </c>
      <c r="S233" s="3"/>
      <c r="T233" s="8">
        <v>136243.67000000001</v>
      </c>
      <c r="U233" s="3"/>
      <c r="V233" s="7">
        <f t="shared" si="49"/>
        <v>1.5131753803601334E-2</v>
      </c>
      <c r="W233" s="3"/>
      <c r="X233" s="8">
        <f t="shared" si="50"/>
        <v>105097.56999999998</v>
      </c>
      <c r="Y233" s="3"/>
      <c r="Z233" s="7">
        <f t="shared" si="51"/>
        <v>0.77139414990802857</v>
      </c>
    </row>
    <row r="234" spans="1:26" s="69" customFormat="1" ht="15" hidden="1" customHeight="1" outlineLevel="2" x14ac:dyDescent="0.3">
      <c r="A234" s="26"/>
      <c r="B234" s="12" t="str">
        <f>CONCATENATE("          ","6286"," - ","LAUNDRY EXPENSE")</f>
        <v xml:space="preserve">          6286 - LAUNDRY EXPENSE</v>
      </c>
      <c r="C234" s="12"/>
      <c r="D234" s="8">
        <v>6733.23</v>
      </c>
      <c r="E234" s="3"/>
      <c r="F234" s="7">
        <f t="shared" si="44"/>
        <v>2.0128422542266791E-3</v>
      </c>
      <c r="G234" s="3"/>
      <c r="H234" s="8">
        <v>1906.02</v>
      </c>
      <c r="I234" s="3"/>
      <c r="J234" s="7">
        <f t="shared" si="45"/>
        <v>1.8350534371870254E-3</v>
      </c>
      <c r="K234" s="3"/>
      <c r="L234" s="8">
        <f t="shared" si="46"/>
        <v>4827.2099999999991</v>
      </c>
      <c r="M234" s="3"/>
      <c r="N234" s="7">
        <f t="shared" si="47"/>
        <v>2.5326124594705193</v>
      </c>
      <c r="O234" s="12"/>
      <c r="P234" s="8">
        <v>35427.71</v>
      </c>
      <c r="Q234" s="3"/>
      <c r="R234" s="7">
        <f t="shared" si="48"/>
        <v>1.6206802446278117E-3</v>
      </c>
      <c r="S234" s="3"/>
      <c r="T234" s="8">
        <v>15492.38</v>
      </c>
      <c r="U234" s="3"/>
      <c r="V234" s="7">
        <f t="shared" si="49"/>
        <v>1.720644195740156E-3</v>
      </c>
      <c r="W234" s="3"/>
      <c r="X234" s="8">
        <f t="shared" si="50"/>
        <v>19935.330000000002</v>
      </c>
      <c r="Y234" s="3"/>
      <c r="Z234" s="7">
        <f t="shared" si="51"/>
        <v>1.2867829216685882</v>
      </c>
    </row>
    <row r="235" spans="1:26" s="68" customFormat="1" ht="15" customHeight="1" outlineLevel="1" collapsed="1" x14ac:dyDescent="0.3">
      <c r="A235" s="25"/>
      <c r="B235" s="14" t="str">
        <f>CONCATENATE("     ","Subscriptions &amp; Dues                              ")</f>
        <v xml:space="preserve">     Subscriptions &amp; Dues                              </v>
      </c>
      <c r="C235" s="14"/>
      <c r="D235" s="2">
        <f>SUM(OSRRefD22_21x_0)</f>
        <v>2978.79</v>
      </c>
      <c r="E235" s="2"/>
      <c r="F235" s="6">
        <f t="shared" si="44"/>
        <v>8.9048411809308304E-4</v>
      </c>
      <c r="G235" s="2"/>
      <c r="H235" s="2">
        <f>SUM(OSRRefH22_21x_0)</f>
        <v>2485.8000000000002</v>
      </c>
      <c r="I235" s="2"/>
      <c r="J235" s="6">
        <f t="shared" si="45"/>
        <v>2.3932465735718978E-3</v>
      </c>
      <c r="K235" s="2"/>
      <c r="L235" s="2">
        <f t="shared" si="46"/>
        <v>492.98999999999978</v>
      </c>
      <c r="M235" s="2"/>
      <c r="N235" s="6">
        <f t="shared" si="47"/>
        <v>0.1983224716389089</v>
      </c>
      <c r="O235" s="14"/>
      <c r="P235" s="2">
        <f>SUM(OSRRefP22_21x_0)</f>
        <v>11303.34</v>
      </c>
      <c r="Q235" s="2"/>
      <c r="R235" s="6">
        <f t="shared" si="48"/>
        <v>5.1708393899327191E-4</v>
      </c>
      <c r="S235" s="2"/>
      <c r="T235" s="2">
        <f>SUM(OSRRefT22_21x_0)</f>
        <v>8531.2099999999991</v>
      </c>
      <c r="U235" s="2"/>
      <c r="V235" s="6">
        <f t="shared" si="49"/>
        <v>9.4750948331633836E-4</v>
      </c>
      <c r="W235" s="2"/>
      <c r="X235" s="2">
        <f t="shared" si="50"/>
        <v>2772.130000000001</v>
      </c>
      <c r="Y235" s="2"/>
      <c r="Z235" s="6">
        <f t="shared" si="51"/>
        <v>0.3249398385457633</v>
      </c>
    </row>
    <row r="236" spans="1:26" s="69" customFormat="1" ht="15" hidden="1" customHeight="1" outlineLevel="2" x14ac:dyDescent="0.3">
      <c r="A236" s="26"/>
      <c r="B236" s="12" t="str">
        <f>CONCATENATE("          ","6258"," - ","MEMBERSHIP DUES")</f>
        <v xml:space="preserve">          6258 - MEMBERSHIP DUES</v>
      </c>
      <c r="C236" s="12"/>
      <c r="D236" s="8">
        <v>510.65</v>
      </c>
      <c r="E236" s="3"/>
      <c r="F236" s="7">
        <f t="shared" si="44"/>
        <v>1.5265450565640171E-4</v>
      </c>
      <c r="G236" s="3"/>
      <c r="H236" s="8">
        <v>328.71</v>
      </c>
      <c r="I236" s="3"/>
      <c r="J236" s="7">
        <f t="shared" si="45"/>
        <v>3.1647118883209365E-4</v>
      </c>
      <c r="K236" s="3"/>
      <c r="L236" s="8">
        <f t="shared" si="46"/>
        <v>181.94</v>
      </c>
      <c r="M236" s="3"/>
      <c r="N236" s="7">
        <f t="shared" si="47"/>
        <v>0.55349700343768071</v>
      </c>
      <c r="O236" s="12"/>
      <c r="P236" s="8">
        <v>2988.3</v>
      </c>
      <c r="Q236" s="3"/>
      <c r="R236" s="7">
        <f t="shared" si="48"/>
        <v>1.3670312800407621E-4</v>
      </c>
      <c r="S236" s="3"/>
      <c r="T236" s="8">
        <v>3230.23</v>
      </c>
      <c r="U236" s="3"/>
      <c r="V236" s="7">
        <f t="shared" si="49"/>
        <v>3.5876195267645929E-4</v>
      </c>
      <c r="W236" s="3"/>
      <c r="X236" s="8">
        <f t="shared" si="50"/>
        <v>-241.92999999999984</v>
      </c>
      <c r="Y236" s="3"/>
      <c r="Z236" s="7">
        <f t="shared" si="51"/>
        <v>-7.4895595669658144E-2</v>
      </c>
    </row>
    <row r="237" spans="1:26" s="69" customFormat="1" ht="15" hidden="1" customHeight="1" outlineLevel="2" x14ac:dyDescent="0.3">
      <c r="A237" s="26"/>
      <c r="B237" s="12" t="str">
        <f>CONCATENATE("          ","6275"," - ","SUBSCRIPTIONS")</f>
        <v xml:space="preserve">          6275 - SUBSCRIPTIONS</v>
      </c>
      <c r="C237" s="12"/>
      <c r="D237" s="8">
        <v>2468.14</v>
      </c>
      <c r="E237" s="3"/>
      <c r="F237" s="7">
        <f t="shared" si="44"/>
        <v>7.378296124366813E-4</v>
      </c>
      <c r="G237" s="3"/>
      <c r="H237" s="8">
        <v>2157.09</v>
      </c>
      <c r="I237" s="3"/>
      <c r="J237" s="7">
        <f t="shared" si="45"/>
        <v>2.0767753847398037E-3</v>
      </c>
      <c r="K237" s="3"/>
      <c r="L237" s="8">
        <f t="shared" si="46"/>
        <v>311.04999999999973</v>
      </c>
      <c r="M237" s="3"/>
      <c r="N237" s="7">
        <f t="shared" si="47"/>
        <v>0.14419889758888119</v>
      </c>
      <c r="O237" s="12"/>
      <c r="P237" s="8">
        <v>8315.0400000000009</v>
      </c>
      <c r="Q237" s="3"/>
      <c r="R237" s="7">
        <f t="shared" si="48"/>
        <v>3.8038081098919576E-4</v>
      </c>
      <c r="S237" s="3"/>
      <c r="T237" s="8">
        <v>5300.98</v>
      </c>
      <c r="U237" s="3"/>
      <c r="V237" s="7">
        <f t="shared" si="49"/>
        <v>5.8874753063987918E-4</v>
      </c>
      <c r="W237" s="3"/>
      <c r="X237" s="8">
        <f t="shared" si="50"/>
        <v>3014.0600000000013</v>
      </c>
      <c r="Y237" s="3"/>
      <c r="Z237" s="7">
        <f t="shared" si="51"/>
        <v>0.56858543137306716</v>
      </c>
    </row>
    <row r="238" spans="1:26" s="68" customFormat="1" ht="15" customHeight="1" outlineLevel="1" collapsed="1" x14ac:dyDescent="0.3">
      <c r="A238" s="25"/>
      <c r="B238" s="14" t="str">
        <f>CONCATENATE("     ","Supplies                                          ")</f>
        <v xml:space="preserve">     Supplies                                          </v>
      </c>
      <c r="C238" s="14"/>
      <c r="D238" s="2">
        <f>SUM(OSRRefD22_22x_0)</f>
        <v>58390.84</v>
      </c>
      <c r="E238" s="2"/>
      <c r="F238" s="6">
        <f t="shared" si="44"/>
        <v>1.7455448575466652E-2</v>
      </c>
      <c r="G238" s="2"/>
      <c r="H238" s="2">
        <f>SUM(OSRRefH22_22x_0)</f>
        <v>25115.9</v>
      </c>
      <c r="I238" s="2"/>
      <c r="J238" s="6">
        <f t="shared" si="45"/>
        <v>2.4180763382884551E-2</v>
      </c>
      <c r="K238" s="2"/>
      <c r="L238" s="2">
        <f t="shared" si="46"/>
        <v>33274.939999999995</v>
      </c>
      <c r="M238" s="2"/>
      <c r="N238" s="6">
        <f t="shared" si="47"/>
        <v>1.3248555695794295</v>
      </c>
      <c r="O238" s="14"/>
      <c r="P238" s="2">
        <f>SUM(OSRRefP22_22x_0)</f>
        <v>480807.3</v>
      </c>
      <c r="Q238" s="2"/>
      <c r="R238" s="6">
        <f t="shared" si="48"/>
        <v>2.19950680578236E-2</v>
      </c>
      <c r="S238" s="2"/>
      <c r="T238" s="2">
        <f>SUM(OSRRefT22_22x_0)</f>
        <v>273896.88</v>
      </c>
      <c r="U238" s="2"/>
      <c r="V238" s="6">
        <f t="shared" si="49"/>
        <v>3.0420056621599651E-2</v>
      </c>
      <c r="W238" s="2"/>
      <c r="X238" s="2">
        <f t="shared" si="50"/>
        <v>206910.41999999998</v>
      </c>
      <c r="Y238" s="2"/>
      <c r="Z238" s="6">
        <f t="shared" si="51"/>
        <v>0.75543182529132857</v>
      </c>
    </row>
    <row r="239" spans="1:26" s="69" customFormat="1" ht="15" hidden="1" customHeight="1" outlineLevel="2" x14ac:dyDescent="0.3">
      <c r="A239" s="26"/>
      <c r="B239" s="12" t="str">
        <f>CONCATENATE("          ","6234"," - ","EXPENDABLE SUPPLIES &amp; EQUIPMEN")</f>
        <v xml:space="preserve">          6234 - EXPENDABLE SUPPLIES &amp; EQUIPMEN</v>
      </c>
      <c r="C239" s="12"/>
      <c r="D239" s="8">
        <v>5168.6499999999996</v>
      </c>
      <c r="E239" s="3"/>
      <c r="F239" s="7">
        <f t="shared" si="44"/>
        <v>1.5451242742797622E-3</v>
      </c>
      <c r="G239" s="3"/>
      <c r="H239" s="8">
        <v>79.25</v>
      </c>
      <c r="I239" s="3"/>
      <c r="J239" s="7">
        <f t="shared" si="45"/>
        <v>7.6299296385699928E-5</v>
      </c>
      <c r="K239" s="3"/>
      <c r="L239" s="8">
        <f t="shared" si="46"/>
        <v>5089.3999999999996</v>
      </c>
      <c r="M239" s="3"/>
      <c r="N239" s="7">
        <f t="shared" si="47"/>
        <v>64.219558359621445</v>
      </c>
      <c r="O239" s="12"/>
      <c r="P239" s="8">
        <v>12156.59</v>
      </c>
      <c r="Q239" s="3"/>
      <c r="R239" s="7">
        <f t="shared" si="48"/>
        <v>5.5611681520030532E-4</v>
      </c>
      <c r="S239" s="3"/>
      <c r="T239" s="8">
        <v>2387.48</v>
      </c>
      <c r="U239" s="3"/>
      <c r="V239" s="7">
        <f t="shared" si="49"/>
        <v>2.6516284808697618E-4</v>
      </c>
      <c r="W239" s="3"/>
      <c r="X239" s="8">
        <f t="shared" si="50"/>
        <v>9769.11</v>
      </c>
      <c r="Y239" s="3"/>
      <c r="Z239" s="7">
        <f t="shared" si="51"/>
        <v>4.0918080989160117</v>
      </c>
    </row>
    <row r="240" spans="1:26" s="69" customFormat="1" ht="15" hidden="1" customHeight="1" outlineLevel="2" x14ac:dyDescent="0.3">
      <c r="A240" s="26"/>
      <c r="B240" s="12" t="str">
        <f>CONCATENATE("          ","6235"," - ","COVID-19 EXPENSES")</f>
        <v xml:space="preserve">          6235 - COVID-19 EXPENSES</v>
      </c>
      <c r="C240" s="12"/>
      <c r="D240" s="8"/>
      <c r="E240" s="3"/>
      <c r="F240" s="7">
        <f t="shared" si="44"/>
        <v>0</v>
      </c>
      <c r="G240" s="3"/>
      <c r="H240" s="8">
        <v>6394.44</v>
      </c>
      <c r="I240" s="3"/>
      <c r="J240" s="7">
        <f t="shared" si="45"/>
        <v>6.156356754329022E-3</v>
      </c>
      <c r="K240" s="3"/>
      <c r="L240" s="8">
        <f t="shared" si="46"/>
        <v>-6394.44</v>
      </c>
      <c r="M240" s="3"/>
      <c r="N240" s="7">
        <f t="shared" si="47"/>
        <v>-1</v>
      </c>
      <c r="O240" s="12"/>
      <c r="P240" s="8">
        <v>4279.6099999999997</v>
      </c>
      <c r="Q240" s="3"/>
      <c r="R240" s="7">
        <f t="shared" si="48"/>
        <v>1.9577554918767339E-4</v>
      </c>
      <c r="S240" s="3"/>
      <c r="T240" s="8">
        <v>105383.24</v>
      </c>
      <c r="U240" s="3"/>
      <c r="V240" s="7">
        <f t="shared" si="49"/>
        <v>1.1704273987230616E-2</v>
      </c>
      <c r="W240" s="3"/>
      <c r="X240" s="8">
        <f t="shared" si="50"/>
        <v>-101103.63</v>
      </c>
      <c r="Y240" s="3"/>
      <c r="Z240" s="7">
        <f t="shared" si="51"/>
        <v>-0.95939003203925022</v>
      </c>
    </row>
    <row r="241" spans="1:26" s="69" customFormat="1" ht="15" hidden="1" customHeight="1" outlineLevel="2" x14ac:dyDescent="0.3">
      <c r="A241" s="26"/>
      <c r="B241" s="12" t="str">
        <f>CONCATENATE("          ","6237"," - ","JANITORIAL SUPPLIES")</f>
        <v xml:space="preserve">          6237 - JANITORIAL SUPPLIES</v>
      </c>
      <c r="C241" s="12"/>
      <c r="D241" s="8">
        <v>25364.52</v>
      </c>
      <c r="E241" s="3"/>
      <c r="F241" s="7">
        <f t="shared" si="44"/>
        <v>7.5825090802152436E-3</v>
      </c>
      <c r="G241" s="3"/>
      <c r="H241" s="8">
        <v>2490.7399999999998</v>
      </c>
      <c r="I241" s="3"/>
      <c r="J241" s="7">
        <f t="shared" si="45"/>
        <v>2.3980026432772012E-3</v>
      </c>
      <c r="K241" s="3"/>
      <c r="L241" s="8">
        <f t="shared" si="46"/>
        <v>22873.78</v>
      </c>
      <c r="M241" s="3"/>
      <c r="N241" s="7">
        <f t="shared" si="47"/>
        <v>9.1835277869227614</v>
      </c>
      <c r="O241" s="12"/>
      <c r="P241" s="8">
        <v>86862.79</v>
      </c>
      <c r="Q241" s="3"/>
      <c r="R241" s="7">
        <f t="shared" si="48"/>
        <v>3.9736355453472505E-3</v>
      </c>
      <c r="S241" s="3"/>
      <c r="T241" s="8">
        <v>25907.75</v>
      </c>
      <c r="U241" s="3"/>
      <c r="V241" s="7">
        <f t="shared" si="49"/>
        <v>2.8774158432847002E-3</v>
      </c>
      <c r="W241" s="3"/>
      <c r="X241" s="8">
        <f t="shared" si="50"/>
        <v>60955.039999999994</v>
      </c>
      <c r="Y241" s="3"/>
      <c r="Z241" s="7">
        <f t="shared" si="51"/>
        <v>2.3527724329592492</v>
      </c>
    </row>
    <row r="242" spans="1:26" s="69" customFormat="1" ht="15" hidden="1" customHeight="1" outlineLevel="2" x14ac:dyDescent="0.3">
      <c r="A242" s="26"/>
      <c r="B242" s="12" t="str">
        <f>CONCATENATE("          ","6239"," - ","KITCHEN SUPPLIES")</f>
        <v xml:space="preserve">          6239 - KITCHEN SUPPLIES</v>
      </c>
      <c r="C242" s="12"/>
      <c r="D242" s="8">
        <v>8107.13</v>
      </c>
      <c r="E242" s="3"/>
      <c r="F242" s="7">
        <f t="shared" si="44"/>
        <v>2.4235580582437754E-3</v>
      </c>
      <c r="G242" s="3"/>
      <c r="H242" s="8">
        <v>160.30000000000001</v>
      </c>
      <c r="I242" s="3"/>
      <c r="J242" s="7">
        <f t="shared" si="45"/>
        <v>1.5433157363568074E-4</v>
      </c>
      <c r="K242" s="3"/>
      <c r="L242" s="8">
        <f t="shared" si="46"/>
        <v>7946.83</v>
      </c>
      <c r="M242" s="3"/>
      <c r="N242" s="7">
        <f t="shared" si="47"/>
        <v>49.574734872114782</v>
      </c>
      <c r="O242" s="12"/>
      <c r="P242" s="8">
        <v>44626</v>
      </c>
      <c r="Q242" s="3"/>
      <c r="R242" s="7">
        <f t="shared" si="48"/>
        <v>2.0414663154000282E-3</v>
      </c>
      <c r="S242" s="3"/>
      <c r="T242" s="8">
        <v>7267.21</v>
      </c>
      <c r="U242" s="3"/>
      <c r="V242" s="7">
        <f t="shared" si="49"/>
        <v>8.0712470942003866E-4</v>
      </c>
      <c r="W242" s="3"/>
      <c r="X242" s="8">
        <f t="shared" si="50"/>
        <v>37358.79</v>
      </c>
      <c r="Y242" s="3"/>
      <c r="Z242" s="7">
        <f t="shared" si="51"/>
        <v>5.1407335139620294</v>
      </c>
    </row>
    <row r="243" spans="1:26" s="69" customFormat="1" ht="15" hidden="1" customHeight="1" outlineLevel="2" x14ac:dyDescent="0.3">
      <c r="A243" s="26"/>
      <c r="B243" s="12" t="str">
        <f>CONCATENATE("          ","6241"," - ","OFFICE EXPENSE")</f>
        <v xml:space="preserve">          6241 - OFFICE EXPENSE</v>
      </c>
      <c r="C243" s="12"/>
      <c r="D243" s="8">
        <v>3964.42</v>
      </c>
      <c r="E243" s="3"/>
      <c r="F243" s="7">
        <f t="shared" si="44"/>
        <v>1.185129884097429E-3</v>
      </c>
      <c r="G243" s="3"/>
      <c r="H243" s="8">
        <v>4733.1099999999997</v>
      </c>
      <c r="I243" s="3"/>
      <c r="J243" s="7">
        <f t="shared" si="45"/>
        <v>4.5568828102980456E-3</v>
      </c>
      <c r="K243" s="3"/>
      <c r="L243" s="8">
        <f t="shared" si="46"/>
        <v>-768.6899999999996</v>
      </c>
      <c r="M243" s="3"/>
      <c r="N243" s="7">
        <f t="shared" si="47"/>
        <v>-0.16240695863818919</v>
      </c>
      <c r="O243" s="12"/>
      <c r="P243" s="8">
        <v>73668.27</v>
      </c>
      <c r="Q243" s="3"/>
      <c r="R243" s="7">
        <f t="shared" si="48"/>
        <v>3.3700374606461352E-3</v>
      </c>
      <c r="S243" s="3"/>
      <c r="T243" s="8">
        <v>36428.6</v>
      </c>
      <c r="U243" s="3"/>
      <c r="V243" s="7">
        <f t="shared" si="49"/>
        <v>4.0459025113597684E-3</v>
      </c>
      <c r="W243" s="3"/>
      <c r="X243" s="8">
        <f t="shared" si="50"/>
        <v>37239.670000000006</v>
      </c>
      <c r="Y243" s="3"/>
      <c r="Z243" s="7">
        <f t="shared" si="51"/>
        <v>1.0222646492041969</v>
      </c>
    </row>
    <row r="244" spans="1:26" s="69" customFormat="1" ht="15" hidden="1" customHeight="1" outlineLevel="2" x14ac:dyDescent="0.3">
      <c r="A244" s="26"/>
      <c r="B244" s="12" t="str">
        <f>CONCATENATE("          ","6243"," - ","PAPER SUPPLIES")</f>
        <v xml:space="preserve">          6243 - PAPER SUPPLIES</v>
      </c>
      <c r="C244" s="12"/>
      <c r="D244" s="8">
        <v>14135.35</v>
      </c>
      <c r="E244" s="3"/>
      <c r="F244" s="7">
        <f t="shared" si="44"/>
        <v>4.22564352595754E-3</v>
      </c>
      <c r="G244" s="3"/>
      <c r="H244" s="8">
        <v>7329.22</v>
      </c>
      <c r="I244" s="3"/>
      <c r="J244" s="7">
        <f t="shared" si="45"/>
        <v>7.0563322278359569E-3</v>
      </c>
      <c r="K244" s="3"/>
      <c r="L244" s="8">
        <f t="shared" si="46"/>
        <v>6806.13</v>
      </c>
      <c r="M244" s="3"/>
      <c r="N244" s="7">
        <f t="shared" si="47"/>
        <v>0.92862951309962039</v>
      </c>
      <c r="O244" s="12"/>
      <c r="P244" s="8">
        <v>186444.68</v>
      </c>
      <c r="Q244" s="3"/>
      <c r="R244" s="7">
        <f t="shared" si="48"/>
        <v>8.5291205554057573E-3</v>
      </c>
      <c r="S244" s="3"/>
      <c r="T244" s="8">
        <v>42313.83</v>
      </c>
      <c r="U244" s="3"/>
      <c r="V244" s="7">
        <f t="shared" si="49"/>
        <v>4.6995391275604969E-3</v>
      </c>
      <c r="W244" s="3"/>
      <c r="X244" s="8">
        <f t="shared" si="50"/>
        <v>144130.84999999998</v>
      </c>
      <c r="Y244" s="3"/>
      <c r="Z244" s="7">
        <f t="shared" si="51"/>
        <v>3.4062350300126454</v>
      </c>
    </row>
    <row r="245" spans="1:26" s="69" customFormat="1" ht="15" hidden="1" customHeight="1" outlineLevel="2" x14ac:dyDescent="0.3">
      <c r="A245" s="26"/>
      <c r="B245" s="12" t="str">
        <f>CONCATENATE("          ","6245"," - ","PRINTING")</f>
        <v xml:space="preserve">          6245 - PRINTING</v>
      </c>
      <c r="C245" s="12"/>
      <c r="D245" s="8">
        <v>-45.84</v>
      </c>
      <c r="E245" s="3"/>
      <c r="F245" s="7">
        <f t="shared" si="44"/>
        <v>-1.3703480934670429E-5</v>
      </c>
      <c r="G245" s="3"/>
      <c r="H245" s="8">
        <v>1766.38</v>
      </c>
      <c r="I245" s="3"/>
      <c r="J245" s="7">
        <f t="shared" si="45"/>
        <v>1.7006126328047021E-3</v>
      </c>
      <c r="K245" s="3"/>
      <c r="L245" s="8">
        <f t="shared" si="46"/>
        <v>-1812.22</v>
      </c>
      <c r="M245" s="3"/>
      <c r="N245" s="7">
        <f t="shared" si="47"/>
        <v>-1.0259513807900904</v>
      </c>
      <c r="O245" s="12"/>
      <c r="P245" s="8">
        <v>8011.68</v>
      </c>
      <c r="Q245" s="3"/>
      <c r="R245" s="7">
        <f t="shared" si="48"/>
        <v>3.6650326826881408E-4</v>
      </c>
      <c r="S245" s="3"/>
      <c r="T245" s="8">
        <v>3120.59</v>
      </c>
      <c r="U245" s="3"/>
      <c r="V245" s="7">
        <f t="shared" si="49"/>
        <v>3.4658490630779605E-4</v>
      </c>
      <c r="W245" s="3"/>
      <c r="X245" s="8">
        <f t="shared" si="50"/>
        <v>4891.09</v>
      </c>
      <c r="Y245" s="3"/>
      <c r="Z245" s="7">
        <f t="shared" si="51"/>
        <v>1.5673606593624922</v>
      </c>
    </row>
    <row r="246" spans="1:26" s="69" customFormat="1" ht="15" hidden="1" customHeight="1" outlineLevel="2" x14ac:dyDescent="0.3">
      <c r="A246" s="26"/>
      <c r="B246" s="12" t="str">
        <f>CONCATENATE("          ","6247"," - ","STORE SUPPLIES")</f>
        <v xml:space="preserve">          6247 - STORE SUPPLIES</v>
      </c>
      <c r="C246" s="12"/>
      <c r="D246" s="8">
        <v>1498.16</v>
      </c>
      <c r="E246" s="3"/>
      <c r="F246" s="7">
        <f t="shared" si="44"/>
        <v>4.4786228178634056E-4</v>
      </c>
      <c r="G246" s="3"/>
      <c r="H246" s="8">
        <v>2162.46</v>
      </c>
      <c r="I246" s="3"/>
      <c r="J246" s="7">
        <f t="shared" si="45"/>
        <v>2.0819454443182419E-3</v>
      </c>
      <c r="K246" s="3"/>
      <c r="L246" s="8">
        <f t="shared" si="46"/>
        <v>-664.3</v>
      </c>
      <c r="M246" s="3"/>
      <c r="N246" s="7">
        <f t="shared" si="47"/>
        <v>-0.30719643369125899</v>
      </c>
      <c r="O246" s="12"/>
      <c r="P246" s="8">
        <v>55225.84</v>
      </c>
      <c r="Q246" s="3"/>
      <c r="R246" s="7">
        <f t="shared" si="48"/>
        <v>2.526367859536402E-3</v>
      </c>
      <c r="S246" s="3"/>
      <c r="T246" s="8">
        <v>46587.59</v>
      </c>
      <c r="U246" s="3"/>
      <c r="V246" s="7">
        <f t="shared" si="49"/>
        <v>5.174199595350884E-3</v>
      </c>
      <c r="W246" s="3"/>
      <c r="X246" s="8">
        <f t="shared" si="50"/>
        <v>8638.25</v>
      </c>
      <c r="Y246" s="3"/>
      <c r="Z246" s="7">
        <f t="shared" si="51"/>
        <v>0.18541955057130022</v>
      </c>
    </row>
    <row r="247" spans="1:26" s="69" customFormat="1" ht="15" hidden="1" customHeight="1" outlineLevel="2" x14ac:dyDescent="0.3">
      <c r="A247" s="26"/>
      <c r="B247" s="12" t="str">
        <f>CONCATENATE("          ","6248"," - ","UNIFORMS")</f>
        <v xml:space="preserve">          6248 - UNIFORMS</v>
      </c>
      <c r="C247" s="12"/>
      <c r="D247" s="8">
        <v>198.45</v>
      </c>
      <c r="E247" s="3"/>
      <c r="F247" s="7">
        <f t="shared" si="44"/>
        <v>5.9324951821233562E-5</v>
      </c>
      <c r="G247" s="3"/>
      <c r="H247" s="8"/>
      <c r="I247" s="3"/>
      <c r="J247" s="7">
        <f t="shared" si="45"/>
        <v>0</v>
      </c>
      <c r="K247" s="3"/>
      <c r="L247" s="8">
        <f t="shared" si="46"/>
        <v>198.45</v>
      </c>
      <c r="M247" s="3"/>
      <c r="N247" s="7">
        <f t="shared" si="47"/>
        <v>0</v>
      </c>
      <c r="O247" s="12"/>
      <c r="P247" s="8">
        <v>9531.84</v>
      </c>
      <c r="Q247" s="3"/>
      <c r="R247" s="7">
        <f t="shared" si="48"/>
        <v>4.3604468883123301E-4</v>
      </c>
      <c r="S247" s="3"/>
      <c r="T247" s="8">
        <v>4500.59</v>
      </c>
      <c r="U247" s="3"/>
      <c r="V247" s="7">
        <f t="shared" si="49"/>
        <v>4.9985309299837655E-4</v>
      </c>
      <c r="W247" s="3"/>
      <c r="X247" s="8">
        <f t="shared" si="50"/>
        <v>5031.25</v>
      </c>
      <c r="Y247" s="3"/>
      <c r="Z247" s="7">
        <f t="shared" si="51"/>
        <v>1.1179089852663762</v>
      </c>
    </row>
    <row r="248" spans="1:26" s="68" customFormat="1" ht="15" customHeight="1" outlineLevel="1" collapsed="1" x14ac:dyDescent="0.3">
      <c r="A248" s="25"/>
      <c r="B248" s="14" t="str">
        <f>CONCATENATE("     ","Telephone/Data Lines                              ")</f>
        <v xml:space="preserve">     Telephone/Data Lines                              </v>
      </c>
      <c r="C248" s="14"/>
      <c r="D248" s="2">
        <f>SUM(OSRRefD22_23x_0)</f>
        <v>4995.8500000000004</v>
      </c>
      <c r="E248" s="2"/>
      <c r="F248" s="6">
        <f t="shared" si="44"/>
        <v>1.4934671733741987E-3</v>
      </c>
      <c r="G248" s="2"/>
      <c r="H248" s="2">
        <f>SUM(OSRRefH22_23x_0)</f>
        <v>3143.26</v>
      </c>
      <c r="I248" s="2"/>
      <c r="J248" s="6">
        <f t="shared" si="45"/>
        <v>3.026227461921958E-3</v>
      </c>
      <c r="K248" s="2"/>
      <c r="L248" s="2">
        <f t="shared" si="46"/>
        <v>1852.5900000000001</v>
      </c>
      <c r="M248" s="2"/>
      <c r="N248" s="6">
        <f t="shared" si="47"/>
        <v>0.58938490611657957</v>
      </c>
      <c r="O248" s="14"/>
      <c r="P248" s="2">
        <f>SUM(OSRRefP22_23x_0)</f>
        <v>37081.65</v>
      </c>
      <c r="Q248" s="2"/>
      <c r="R248" s="6">
        <f t="shared" si="48"/>
        <v>1.6963415810167493E-3</v>
      </c>
      <c r="S248" s="2"/>
      <c r="T248" s="2">
        <f>SUM(OSRRefT22_23x_0)</f>
        <v>40647.629999999997</v>
      </c>
      <c r="U248" s="2"/>
      <c r="V248" s="6">
        <f t="shared" si="49"/>
        <v>4.5144844517171299E-3</v>
      </c>
      <c r="W248" s="2"/>
      <c r="X248" s="2">
        <f t="shared" si="50"/>
        <v>-3565.9799999999959</v>
      </c>
      <c r="Y248" s="2"/>
      <c r="Z248" s="6">
        <f t="shared" si="51"/>
        <v>-8.7729100072993088E-2</v>
      </c>
    </row>
    <row r="249" spans="1:26" s="69" customFormat="1" ht="15" hidden="1" customHeight="1" outlineLevel="2" x14ac:dyDescent="0.3">
      <c r="A249" s="26"/>
      <c r="B249" s="12" t="str">
        <f>CONCATENATE("          ","6303"," - ","DATA PHONE LINES")</f>
        <v xml:space="preserve">          6303 - DATA PHONE LINES</v>
      </c>
      <c r="C249" s="12"/>
      <c r="D249" s="8"/>
      <c r="E249" s="3"/>
      <c r="F249" s="7">
        <f t="shared" si="44"/>
        <v>0</v>
      </c>
      <c r="G249" s="3"/>
      <c r="H249" s="8">
        <v>590</v>
      </c>
      <c r="I249" s="3"/>
      <c r="J249" s="7">
        <f t="shared" si="45"/>
        <v>5.6803261662540004E-4</v>
      </c>
      <c r="K249" s="3"/>
      <c r="L249" s="8">
        <f t="shared" si="46"/>
        <v>-590</v>
      </c>
      <c r="M249" s="3"/>
      <c r="N249" s="7">
        <f t="shared" si="47"/>
        <v>-1</v>
      </c>
      <c r="O249" s="12"/>
      <c r="P249" s="8">
        <v>295</v>
      </c>
      <c r="Q249" s="3"/>
      <c r="R249" s="7">
        <f t="shared" si="48"/>
        <v>1.3495105163873265E-5</v>
      </c>
      <c r="S249" s="3"/>
      <c r="T249" s="8">
        <v>3540</v>
      </c>
      <c r="U249" s="3"/>
      <c r="V249" s="7">
        <f t="shared" si="49"/>
        <v>3.9316621803235863E-4</v>
      </c>
      <c r="W249" s="3"/>
      <c r="X249" s="8">
        <f t="shared" si="50"/>
        <v>-3245</v>
      </c>
      <c r="Y249" s="3"/>
      <c r="Z249" s="7">
        <f t="shared" si="51"/>
        <v>-0.91666666666666663</v>
      </c>
    </row>
    <row r="250" spans="1:26" s="69" customFormat="1" ht="15" hidden="1" customHeight="1" outlineLevel="2" x14ac:dyDescent="0.3">
      <c r="A250" s="26"/>
      <c r="B250" s="12" t="str">
        <f>CONCATENATE("          ","6309"," - ","TELEPHONE")</f>
        <v xml:space="preserve">          6309 - TELEPHONE</v>
      </c>
      <c r="C250" s="12"/>
      <c r="D250" s="8">
        <v>4995.8500000000004</v>
      </c>
      <c r="E250" s="3"/>
      <c r="F250" s="7">
        <f t="shared" si="44"/>
        <v>1.4934671733741987E-3</v>
      </c>
      <c r="G250" s="3"/>
      <c r="H250" s="8">
        <v>2553.2600000000002</v>
      </c>
      <c r="I250" s="3"/>
      <c r="J250" s="7">
        <f t="shared" si="45"/>
        <v>2.4581948452965579E-3</v>
      </c>
      <c r="K250" s="3"/>
      <c r="L250" s="8">
        <f t="shared" si="46"/>
        <v>2442.59</v>
      </c>
      <c r="M250" s="3"/>
      <c r="N250" s="7">
        <f t="shared" si="47"/>
        <v>0.956655413079749</v>
      </c>
      <c r="O250" s="12"/>
      <c r="P250" s="8">
        <v>36786.65</v>
      </c>
      <c r="Q250" s="3"/>
      <c r="R250" s="7">
        <f t="shared" si="48"/>
        <v>1.682846475852876E-3</v>
      </c>
      <c r="S250" s="3"/>
      <c r="T250" s="8">
        <v>37107.629999999997</v>
      </c>
      <c r="U250" s="3"/>
      <c r="V250" s="7">
        <f t="shared" si="49"/>
        <v>4.1213182336847717E-3</v>
      </c>
      <c r="W250" s="3"/>
      <c r="X250" s="8">
        <f t="shared" si="50"/>
        <v>-320.97999999999593</v>
      </c>
      <c r="Y250" s="3"/>
      <c r="Z250" s="7">
        <f t="shared" si="51"/>
        <v>-8.6499730648385773E-3</v>
      </c>
    </row>
    <row r="251" spans="1:26" s="68" customFormat="1" ht="15" customHeight="1" outlineLevel="1" collapsed="1" x14ac:dyDescent="0.3">
      <c r="A251" s="25"/>
      <c r="B251" s="14" t="str">
        <f>CONCATENATE("     ","Training                                          ")</f>
        <v xml:space="preserve">     Training                                          </v>
      </c>
      <c r="C251" s="14"/>
      <c r="D251" s="2">
        <f>SUM(OSRRefD22_24x_0)</f>
        <v>1076.95</v>
      </c>
      <c r="E251" s="2"/>
      <c r="F251" s="6">
        <f t="shared" si="44"/>
        <v>3.2194510891346681E-4</v>
      </c>
      <c r="G251" s="2"/>
      <c r="H251" s="2">
        <f>SUM(OSRRefH22_24x_0)</f>
        <v>0</v>
      </c>
      <c r="I251" s="2"/>
      <c r="J251" s="6">
        <f t="shared" si="45"/>
        <v>0</v>
      </c>
      <c r="K251" s="2"/>
      <c r="L251" s="2">
        <f t="shared" si="46"/>
        <v>1076.95</v>
      </c>
      <c r="M251" s="2"/>
      <c r="N251" s="6">
        <f t="shared" si="47"/>
        <v>0</v>
      </c>
      <c r="O251" s="14"/>
      <c r="P251" s="2">
        <f>SUM(OSRRefP22_24x_0)</f>
        <v>12829.92</v>
      </c>
      <c r="Q251" s="2"/>
      <c r="R251" s="6">
        <f t="shared" si="48"/>
        <v>5.8691904964095214E-4</v>
      </c>
      <c r="S251" s="2"/>
      <c r="T251" s="2">
        <f>SUM(OSRRefT22_24x_0)</f>
        <v>2181.86</v>
      </c>
      <c r="U251" s="2"/>
      <c r="V251" s="6">
        <f t="shared" si="49"/>
        <v>2.4232588827007966E-4</v>
      </c>
      <c r="W251" s="2"/>
      <c r="X251" s="2">
        <f t="shared" si="50"/>
        <v>10648.06</v>
      </c>
      <c r="Y251" s="2"/>
      <c r="Z251" s="6">
        <f t="shared" si="51"/>
        <v>4.8802672948768473</v>
      </c>
    </row>
    <row r="252" spans="1:26" s="69" customFormat="1" ht="15" hidden="1" customHeight="1" outlineLevel="2" x14ac:dyDescent="0.3">
      <c r="A252" s="26"/>
      <c r="B252" s="12" t="str">
        <f>CONCATENATE("          ","6376"," - ","TRAINING")</f>
        <v xml:space="preserve">          6376 - TRAINING</v>
      </c>
      <c r="C252" s="12"/>
      <c r="D252" s="8">
        <v>1076.95</v>
      </c>
      <c r="E252" s="3"/>
      <c r="F252" s="7">
        <f t="shared" si="44"/>
        <v>3.2194510891346681E-4</v>
      </c>
      <c r="G252" s="3"/>
      <c r="H252" s="8"/>
      <c r="I252" s="3"/>
      <c r="J252" s="7">
        <f t="shared" si="45"/>
        <v>0</v>
      </c>
      <c r="K252" s="3"/>
      <c r="L252" s="8">
        <f t="shared" si="46"/>
        <v>1076.95</v>
      </c>
      <c r="M252" s="3"/>
      <c r="N252" s="7">
        <f t="shared" si="47"/>
        <v>0</v>
      </c>
      <c r="O252" s="12"/>
      <c r="P252" s="8">
        <v>12829.92</v>
      </c>
      <c r="Q252" s="3"/>
      <c r="R252" s="7">
        <f t="shared" si="48"/>
        <v>5.8691904964095214E-4</v>
      </c>
      <c r="S252" s="3"/>
      <c r="T252" s="8">
        <v>2181.86</v>
      </c>
      <c r="U252" s="3"/>
      <c r="V252" s="7">
        <f t="shared" si="49"/>
        <v>2.4232588827007966E-4</v>
      </c>
      <c r="W252" s="3"/>
      <c r="X252" s="8">
        <f t="shared" si="50"/>
        <v>10648.06</v>
      </c>
      <c r="Y252" s="3"/>
      <c r="Z252" s="7">
        <f t="shared" si="51"/>
        <v>4.8802672948768473</v>
      </c>
    </row>
    <row r="253" spans="1:26" s="68" customFormat="1" ht="15" customHeight="1" outlineLevel="1" collapsed="1" x14ac:dyDescent="0.3">
      <c r="A253" s="25"/>
      <c r="B253" s="14" t="str">
        <f>CONCATENATE("     ","Travel                                            ")</f>
        <v xml:space="preserve">     Travel                                            </v>
      </c>
      <c r="C253" s="14"/>
      <c r="D253" s="2">
        <f>SUM(OSRRefD22_25x_0)</f>
        <v>149.41</v>
      </c>
      <c r="E253" s="2"/>
      <c r="F253" s="6">
        <f t="shared" si="44"/>
        <v>4.4664857906830467E-5</v>
      </c>
      <c r="G253" s="2"/>
      <c r="H253" s="2">
        <f>SUM(OSRRefH22_25x_0)</f>
        <v>229.37</v>
      </c>
      <c r="I253" s="2"/>
      <c r="J253" s="6">
        <f t="shared" si="45"/>
        <v>2.2082990046672546E-4</v>
      </c>
      <c r="K253" s="2"/>
      <c r="L253" s="2">
        <f t="shared" si="46"/>
        <v>-79.960000000000008</v>
      </c>
      <c r="M253" s="2"/>
      <c r="N253" s="6">
        <f t="shared" si="47"/>
        <v>-0.34860705410472165</v>
      </c>
      <c r="O253" s="14"/>
      <c r="P253" s="2">
        <f>SUM(OSRRefP22_25x_0)</f>
        <v>2260.2600000000002</v>
      </c>
      <c r="Q253" s="2"/>
      <c r="R253" s="6">
        <f t="shared" si="48"/>
        <v>1.0339812338202096E-4</v>
      </c>
      <c r="S253" s="2"/>
      <c r="T253" s="2">
        <f>SUM(OSRRefT22_25x_0)</f>
        <v>1464.9099999999999</v>
      </c>
      <c r="U253" s="2"/>
      <c r="V253" s="6">
        <f t="shared" si="49"/>
        <v>1.6269862272818712E-4</v>
      </c>
      <c r="W253" s="2"/>
      <c r="X253" s="2">
        <f t="shared" si="50"/>
        <v>795.35000000000036</v>
      </c>
      <c r="Y253" s="2"/>
      <c r="Z253" s="6">
        <f t="shared" si="51"/>
        <v>0.54293437822118795</v>
      </c>
    </row>
    <row r="254" spans="1:26" s="69" customFormat="1" ht="15" hidden="1" customHeight="1" outlineLevel="2" x14ac:dyDescent="0.3">
      <c r="A254" s="26"/>
      <c r="B254" s="12" t="str">
        <f>CONCATENATE("          ","6292"," - ","TRAVEL/CONFERENCE")</f>
        <v xml:space="preserve">          6292 - TRAVEL/CONFERENCE</v>
      </c>
      <c r="C254" s="12"/>
      <c r="D254" s="8"/>
      <c r="E254" s="3"/>
      <c r="F254" s="7">
        <f t="shared" si="44"/>
        <v>0</v>
      </c>
      <c r="G254" s="3"/>
      <c r="H254" s="8"/>
      <c r="I254" s="3"/>
      <c r="J254" s="7">
        <f t="shared" si="45"/>
        <v>0</v>
      </c>
      <c r="K254" s="3"/>
      <c r="L254" s="8">
        <f t="shared" si="46"/>
        <v>0</v>
      </c>
      <c r="M254" s="3"/>
      <c r="N254" s="7">
        <f t="shared" si="47"/>
        <v>0</v>
      </c>
      <c r="O254" s="12"/>
      <c r="P254" s="8">
        <v>1108.5899999999999</v>
      </c>
      <c r="Q254" s="3"/>
      <c r="R254" s="7">
        <f t="shared" si="48"/>
        <v>5.071369028345173E-5</v>
      </c>
      <c r="S254" s="3"/>
      <c r="T254" s="8">
        <v>299.16000000000003</v>
      </c>
      <c r="U254" s="3"/>
      <c r="V254" s="7">
        <f t="shared" si="49"/>
        <v>3.3225877340836273E-5</v>
      </c>
      <c r="W254" s="3"/>
      <c r="X254" s="8">
        <f t="shared" si="50"/>
        <v>809.42999999999984</v>
      </c>
      <c r="Y254" s="3"/>
      <c r="Z254" s="7">
        <f t="shared" si="51"/>
        <v>2.7056758924989963</v>
      </c>
    </row>
    <row r="255" spans="1:26" s="69" customFormat="1" ht="15" hidden="1" customHeight="1" outlineLevel="2" x14ac:dyDescent="0.3">
      <c r="A255" s="26"/>
      <c r="B255" s="12" t="str">
        <f>CONCATENATE("          ","6294"," - ","TRAVEL OPERATIONAL")</f>
        <v xml:space="preserve">          6294 - TRAVEL OPERATIONAL</v>
      </c>
      <c r="C255" s="12"/>
      <c r="D255" s="8"/>
      <c r="E255" s="3"/>
      <c r="F255" s="7">
        <f t="shared" si="44"/>
        <v>0</v>
      </c>
      <c r="G255" s="3"/>
      <c r="H255" s="8">
        <v>229.37</v>
      </c>
      <c r="I255" s="3"/>
      <c r="J255" s="7">
        <f t="shared" si="45"/>
        <v>2.2082990046672546E-4</v>
      </c>
      <c r="K255" s="3"/>
      <c r="L255" s="8">
        <f t="shared" si="46"/>
        <v>-229.37</v>
      </c>
      <c r="M255" s="3"/>
      <c r="N255" s="7">
        <f t="shared" si="47"/>
        <v>-1</v>
      </c>
      <c r="O255" s="12"/>
      <c r="P255" s="8">
        <v>403.48</v>
      </c>
      <c r="Q255" s="3"/>
      <c r="R255" s="7">
        <f t="shared" si="48"/>
        <v>1.845764417464266E-5</v>
      </c>
      <c r="S255" s="3"/>
      <c r="T255" s="8">
        <v>773.65</v>
      </c>
      <c r="U255" s="3"/>
      <c r="V255" s="7">
        <f t="shared" si="49"/>
        <v>8.5924588864614188E-5</v>
      </c>
      <c r="W255" s="3"/>
      <c r="X255" s="8">
        <f t="shared" si="50"/>
        <v>-370.16999999999996</v>
      </c>
      <c r="Y255" s="3"/>
      <c r="Z255" s="7">
        <f t="shared" si="51"/>
        <v>-0.47847217734117492</v>
      </c>
    </row>
    <row r="256" spans="1:26" s="69" customFormat="1" ht="15" hidden="1" customHeight="1" outlineLevel="2" x14ac:dyDescent="0.3">
      <c r="A256" s="26"/>
      <c r="B256" s="12" t="str">
        <f>CONCATENATE("          ","6298"," - ","VEHICLE MILEAGE")</f>
        <v xml:space="preserve">          6298 - VEHICLE MILEAGE</v>
      </c>
      <c r="C256" s="12"/>
      <c r="D256" s="8">
        <v>149.41</v>
      </c>
      <c r="E256" s="3"/>
      <c r="F256" s="7">
        <f t="shared" si="44"/>
        <v>4.4664857906830467E-5</v>
      </c>
      <c r="G256" s="3"/>
      <c r="H256" s="8"/>
      <c r="I256" s="3"/>
      <c r="J256" s="7">
        <f t="shared" si="45"/>
        <v>0</v>
      </c>
      <c r="K256" s="3"/>
      <c r="L256" s="8">
        <f t="shared" si="46"/>
        <v>149.41</v>
      </c>
      <c r="M256" s="3"/>
      <c r="N256" s="7">
        <f t="shared" si="47"/>
        <v>0</v>
      </c>
      <c r="O256" s="12"/>
      <c r="P256" s="8">
        <v>748.19</v>
      </c>
      <c r="Q256" s="3"/>
      <c r="R256" s="7">
        <f t="shared" si="48"/>
        <v>3.4226788923926567E-5</v>
      </c>
      <c r="S256" s="3"/>
      <c r="T256" s="8">
        <v>392.1</v>
      </c>
      <c r="U256" s="3"/>
      <c r="V256" s="7">
        <f t="shared" si="49"/>
        <v>4.3548156522736677E-5</v>
      </c>
      <c r="W256" s="3"/>
      <c r="X256" s="8">
        <f t="shared" si="50"/>
        <v>356.09000000000003</v>
      </c>
      <c r="Y256" s="3"/>
      <c r="Z256" s="7">
        <f t="shared" si="51"/>
        <v>0.90816118337158891</v>
      </c>
    </row>
    <row r="257" spans="1:26" s="68" customFormat="1" ht="15" customHeight="1" outlineLevel="1" collapsed="1" x14ac:dyDescent="0.3">
      <c r="A257" s="25"/>
      <c r="B257" s="14" t="str">
        <f>CONCATENATE("     ","Utilities                                         ")</f>
        <v xml:space="preserve">     Utilities                                         </v>
      </c>
      <c r="C257" s="14"/>
      <c r="D257" s="2">
        <f>SUM(OSRRefD22_26x_0)</f>
        <v>14504.32</v>
      </c>
      <c r="E257" s="2"/>
      <c r="F257" s="6">
        <f t="shared" si="44"/>
        <v>4.335943991936278E-3</v>
      </c>
      <c r="G257" s="2"/>
      <c r="H257" s="2">
        <f>SUM(OSRRefH22_26x_0)</f>
        <v>10945.93</v>
      </c>
      <c r="I257" s="2"/>
      <c r="J257" s="6">
        <f t="shared" si="45"/>
        <v>1.0538381795421128E-2</v>
      </c>
      <c r="K257" s="2"/>
      <c r="L257" s="2">
        <f t="shared" si="46"/>
        <v>3558.3899999999994</v>
      </c>
      <c r="M257" s="2"/>
      <c r="N257" s="6">
        <f t="shared" si="47"/>
        <v>0.32508795506640359</v>
      </c>
      <c r="O257" s="14"/>
      <c r="P257" s="2">
        <f>SUM(OSRRefP22_26x_0)</f>
        <v>135387.22</v>
      </c>
      <c r="Q257" s="2"/>
      <c r="R257" s="6">
        <f t="shared" si="48"/>
        <v>6.1934399042184599E-3</v>
      </c>
      <c r="S257" s="2"/>
      <c r="T257" s="2">
        <f>SUM(OSRRefT22_26x_0)</f>
        <v>66651.55</v>
      </c>
      <c r="U257" s="2"/>
      <c r="V257" s="6">
        <f t="shared" si="49"/>
        <v>7.4025813105917104E-3</v>
      </c>
      <c r="W257" s="2"/>
      <c r="X257" s="2">
        <f t="shared" si="50"/>
        <v>68735.67</v>
      </c>
      <c r="Y257" s="2"/>
      <c r="Z257" s="6">
        <f t="shared" si="51"/>
        <v>1.0312688902208575</v>
      </c>
    </row>
    <row r="258" spans="1:26" s="69" customFormat="1" ht="15" hidden="1" customHeight="1" outlineLevel="2" x14ac:dyDescent="0.3">
      <c r="A258" s="26"/>
      <c r="B258" s="12" t="str">
        <f>CONCATENATE("          ","6274"," - ","UTILITIES")</f>
        <v xml:space="preserve">          6274 - UTILITIES</v>
      </c>
      <c r="C258" s="12"/>
      <c r="D258" s="8">
        <v>14504.32</v>
      </c>
      <c r="E258" s="3"/>
      <c r="F258" s="7">
        <f t="shared" si="44"/>
        <v>4.335943991936278E-3</v>
      </c>
      <c r="G258" s="3"/>
      <c r="H258" s="8">
        <v>10945.93</v>
      </c>
      <c r="I258" s="3"/>
      <c r="J258" s="7">
        <f t="shared" si="45"/>
        <v>1.0538381795421128E-2</v>
      </c>
      <c r="K258" s="3"/>
      <c r="L258" s="8">
        <f t="shared" si="46"/>
        <v>3558.3899999999994</v>
      </c>
      <c r="M258" s="3"/>
      <c r="N258" s="7">
        <f t="shared" si="47"/>
        <v>0.32508795506640359</v>
      </c>
      <c r="O258" s="12"/>
      <c r="P258" s="8">
        <v>135387.22</v>
      </c>
      <c r="Q258" s="3"/>
      <c r="R258" s="7">
        <f t="shared" si="48"/>
        <v>6.1934399042184599E-3</v>
      </c>
      <c r="S258" s="3"/>
      <c r="T258" s="8">
        <v>66651.55</v>
      </c>
      <c r="U258" s="3"/>
      <c r="V258" s="7">
        <f t="shared" si="49"/>
        <v>7.4025813105917104E-3</v>
      </c>
      <c r="W258" s="3"/>
      <c r="X258" s="8">
        <f t="shared" si="50"/>
        <v>68735.67</v>
      </c>
      <c r="Y258" s="3"/>
      <c r="Z258" s="7">
        <f t="shared" si="51"/>
        <v>1.0312688902208575</v>
      </c>
    </row>
    <row r="259" spans="1:26" s="64" customFormat="1" ht="15" customHeight="1" x14ac:dyDescent="0.3">
      <c r="A259" s="36"/>
      <c r="B259" s="36"/>
      <c r="C259" s="36"/>
      <c r="D259" s="2"/>
      <c r="E259" s="2"/>
      <c r="F259" s="6"/>
      <c r="G259" s="2"/>
      <c r="H259" s="2"/>
      <c r="I259" s="2"/>
      <c r="J259" s="6"/>
      <c r="K259" s="2"/>
      <c r="L259" s="2"/>
      <c r="M259" s="2"/>
      <c r="N259" s="6"/>
      <c r="O259" s="36"/>
      <c r="P259" s="2"/>
      <c r="Q259" s="2"/>
      <c r="R259" s="6"/>
      <c r="S259" s="2"/>
      <c r="T259" s="2"/>
      <c r="U259" s="2"/>
      <c r="V259" s="6"/>
      <c r="W259" s="2"/>
      <c r="X259" s="2"/>
      <c r="Y259" s="2"/>
      <c r="Z259" s="6"/>
    </row>
    <row r="260" spans="1:26" s="62" customFormat="1" ht="15" customHeight="1" collapsed="1" x14ac:dyDescent="0.3">
      <c r="A260" s="11"/>
      <c r="B260" s="27" t="s">
        <v>290</v>
      </c>
      <c r="C260" s="11"/>
      <c r="D260" s="5">
        <f>SUM(OSRRefD25x_0)</f>
        <v>64794.100000000006</v>
      </c>
      <c r="E260" s="5"/>
      <c r="F260" s="13">
        <f t="shared" ref="F260:F269" si="52">IF(D$12=0,0,D260/D$12)</f>
        <v>1.936964908440509E-2</v>
      </c>
      <c r="G260" s="5"/>
      <c r="H260" s="5">
        <f>SUM(OSRRefH25x_0)</f>
        <v>9388.5000000000018</v>
      </c>
      <c r="I260" s="5"/>
      <c r="J260" s="13">
        <f t="shared" ref="J260:J269" si="53">IF(H$12=0,0,H260/H$12)</f>
        <v>9.0389393579450323E-3</v>
      </c>
      <c r="K260" s="5"/>
      <c r="L260" s="5">
        <f t="shared" ref="L260:L269" si="54">+D260-H260</f>
        <v>55405.600000000006</v>
      </c>
      <c r="M260" s="5"/>
      <c r="N260" s="13">
        <f t="shared" ref="N260:N269" si="55">IF(H260=0,0,L260/H260)</f>
        <v>5.9014326037173133</v>
      </c>
      <c r="O260" s="11"/>
      <c r="P260" s="5">
        <f>SUM(OSRRefP25x_0)</f>
        <v>1157152.1100000001</v>
      </c>
      <c r="Q260" s="5"/>
      <c r="R260" s="13">
        <f t="shared" ref="R260:R269" si="56">IF(P$12=0,0,P260/P$12)</f>
        <v>5.2935218356094389E-2</v>
      </c>
      <c r="S260" s="5"/>
      <c r="T260" s="5">
        <f>SUM(OSRRefT25x_0)</f>
        <v>1021334.9500000001</v>
      </c>
      <c r="U260" s="5"/>
      <c r="V260" s="13">
        <f t="shared" ref="V260:V269" si="57">IF(T$12=0,0,T260/T$12)</f>
        <v>0.11343344622479326</v>
      </c>
      <c r="W260" s="5"/>
      <c r="X260" s="5">
        <f t="shared" ref="X260:X269" si="58">+P260-T260</f>
        <v>135817.16000000003</v>
      </c>
      <c r="Y260" s="5"/>
      <c r="Z260" s="13">
        <f t="shared" ref="Z260:Z269" si="59">IF(T260=0,0,X260/T260)</f>
        <v>0.1329800375479171</v>
      </c>
    </row>
    <row r="261" spans="1:26" s="69" customFormat="1" ht="15" hidden="1" customHeight="1" outlineLevel="1" x14ac:dyDescent="0.3">
      <c r="A261" s="42"/>
      <c r="B261" s="12" t="str">
        <f>CONCATENATE("          ","4098"," - ","TAXABLE SALES-GRAD RENTALS")</f>
        <v xml:space="preserve">          4098 - TAXABLE SALES-GRAD RENTALS</v>
      </c>
      <c r="C261" s="12"/>
      <c r="D261" s="3">
        <f>0</f>
        <v>0</v>
      </c>
      <c r="E261" s="3"/>
      <c r="F261" s="20">
        <f t="shared" si="52"/>
        <v>0</v>
      </c>
      <c r="G261" s="3"/>
      <c r="H261" s="3">
        <f>--49.95</f>
        <v>49.95</v>
      </c>
      <c r="I261" s="3"/>
      <c r="J261" s="20">
        <f t="shared" si="53"/>
        <v>4.8090218983794465E-5</v>
      </c>
      <c r="K261" s="3"/>
      <c r="L261" s="3">
        <f t="shared" si="54"/>
        <v>-49.95</v>
      </c>
      <c r="M261" s="3"/>
      <c r="N261" s="20">
        <f t="shared" si="55"/>
        <v>-1</v>
      </c>
      <c r="O261" s="12"/>
      <c r="P261" s="3">
        <f>0</f>
        <v>0</v>
      </c>
      <c r="Q261" s="3"/>
      <c r="R261" s="20">
        <f t="shared" si="56"/>
        <v>0</v>
      </c>
      <c r="S261" s="3"/>
      <c r="T261" s="3">
        <f>--49.95</f>
        <v>49.95</v>
      </c>
      <c r="U261" s="3"/>
      <c r="V261" s="20">
        <f t="shared" si="57"/>
        <v>5.5476419747786198E-6</v>
      </c>
      <c r="W261" s="3"/>
      <c r="X261" s="3">
        <f t="shared" si="58"/>
        <v>-49.95</v>
      </c>
      <c r="Y261" s="3"/>
      <c r="Z261" s="20">
        <f t="shared" si="59"/>
        <v>-1</v>
      </c>
    </row>
    <row r="262" spans="1:26" s="69" customFormat="1" ht="15" hidden="1" customHeight="1" outlineLevel="1" x14ac:dyDescent="0.3">
      <c r="A262" s="42"/>
      <c r="B262" s="12" t="str">
        <f>CONCATENATE("          ","4187"," - ","NON-TAXABLE SALES-COMPUTER REP")</f>
        <v xml:space="preserve">          4187 - NON-TAXABLE SALES-COMPUTER REP</v>
      </c>
      <c r="C262" s="12"/>
      <c r="D262" s="3">
        <f>0</f>
        <v>0</v>
      </c>
      <c r="E262" s="3"/>
      <c r="F262" s="20">
        <f t="shared" si="52"/>
        <v>0</v>
      </c>
      <c r="G262" s="3"/>
      <c r="H262" s="3">
        <f>--1700.99</f>
        <v>1700.99</v>
      </c>
      <c r="I262" s="3"/>
      <c r="J262" s="20">
        <f t="shared" si="53"/>
        <v>1.6376572890739649E-3</v>
      </c>
      <c r="K262" s="3"/>
      <c r="L262" s="3">
        <f t="shared" si="54"/>
        <v>-1700.99</v>
      </c>
      <c r="M262" s="3"/>
      <c r="N262" s="20">
        <f t="shared" si="55"/>
        <v>-1</v>
      </c>
      <c r="O262" s="12"/>
      <c r="P262" s="3">
        <f>0</f>
        <v>0</v>
      </c>
      <c r="Q262" s="3"/>
      <c r="R262" s="20">
        <f t="shared" si="56"/>
        <v>0</v>
      </c>
      <c r="S262" s="3"/>
      <c r="T262" s="3">
        <f>--3315.96</f>
        <v>3315.96</v>
      </c>
      <c r="U262" s="3"/>
      <c r="V262" s="20">
        <f t="shared" si="57"/>
        <v>3.6828346111485307E-4</v>
      </c>
      <c r="W262" s="3"/>
      <c r="X262" s="3">
        <f t="shared" si="58"/>
        <v>-3315.96</v>
      </c>
      <c r="Y262" s="3"/>
      <c r="Z262" s="20">
        <f t="shared" si="59"/>
        <v>-1</v>
      </c>
    </row>
    <row r="263" spans="1:26" s="69" customFormat="1" ht="15" hidden="1" customHeight="1" outlineLevel="1" x14ac:dyDescent="0.3">
      <c r="A263" s="42"/>
      <c r="B263" s="12" t="str">
        <f>CONCATENATE("          ","9087"," - ","")</f>
        <v xml:space="preserve">          9087 - </v>
      </c>
      <c r="C263" s="12"/>
      <c r="D263" s="3">
        <f>--1264.22</f>
        <v>1264.22</v>
      </c>
      <c r="E263" s="3"/>
      <c r="F263" s="20">
        <f t="shared" si="52"/>
        <v>3.7792789413675939E-4</v>
      </c>
      <c r="G263" s="3"/>
      <c r="H263" s="3">
        <f>0</f>
        <v>0</v>
      </c>
      <c r="I263" s="3"/>
      <c r="J263" s="20">
        <f t="shared" si="53"/>
        <v>0</v>
      </c>
      <c r="K263" s="3"/>
      <c r="L263" s="3">
        <f t="shared" si="54"/>
        <v>1264.22</v>
      </c>
      <c r="M263" s="3"/>
      <c r="N263" s="20">
        <f t="shared" si="55"/>
        <v>0</v>
      </c>
      <c r="O263" s="12"/>
      <c r="P263" s="3">
        <f>--1996</f>
        <v>1996</v>
      </c>
      <c r="Q263" s="3"/>
      <c r="R263" s="20">
        <f t="shared" si="56"/>
        <v>9.1309253922342492E-5</v>
      </c>
      <c r="S263" s="3"/>
      <c r="T263" s="3">
        <f>0</f>
        <v>0</v>
      </c>
      <c r="U263" s="3"/>
      <c r="V263" s="20">
        <f t="shared" si="57"/>
        <v>0</v>
      </c>
      <c r="W263" s="3"/>
      <c r="X263" s="3">
        <f t="shared" si="58"/>
        <v>1996</v>
      </c>
      <c r="Y263" s="3"/>
      <c r="Z263" s="20">
        <f t="shared" si="59"/>
        <v>0</v>
      </c>
    </row>
    <row r="264" spans="1:26" s="69" customFormat="1" ht="15" hidden="1" customHeight="1" outlineLevel="1" x14ac:dyDescent="0.3">
      <c r="A264" s="42"/>
      <c r="B264" s="12" t="str">
        <f>CONCATENATE("          ","9150"," - ","MISC. INCOME")</f>
        <v xml:space="preserve">          9150 - MISC. INCOME</v>
      </c>
      <c r="C264" s="12"/>
      <c r="D264" s="3">
        <f>--62036.97</f>
        <v>62036.97</v>
      </c>
      <c r="E264" s="3"/>
      <c r="F264" s="20">
        <f t="shared" si="52"/>
        <v>1.8545428351651863E-2</v>
      </c>
      <c r="G264" s="3"/>
      <c r="H264" s="3">
        <f>--6004.77</f>
        <v>6004.77</v>
      </c>
      <c r="I264" s="3"/>
      <c r="J264" s="20">
        <f t="shared" si="53"/>
        <v>5.7811952802266165E-3</v>
      </c>
      <c r="K264" s="3"/>
      <c r="L264" s="3">
        <f t="shared" si="54"/>
        <v>56032.2</v>
      </c>
      <c r="M264" s="3"/>
      <c r="N264" s="20">
        <f t="shared" si="55"/>
        <v>9.3312816311032716</v>
      </c>
      <c r="O264" s="12"/>
      <c r="P264" s="3">
        <f>--570686.28</f>
        <v>570686.28</v>
      </c>
      <c r="Q264" s="3"/>
      <c r="R264" s="20">
        <f t="shared" si="56"/>
        <v>2.6106682590439401E-2</v>
      </c>
      <c r="S264" s="3"/>
      <c r="T264" s="3">
        <f>--354541.6</f>
        <v>354541.6</v>
      </c>
      <c r="U264" s="3"/>
      <c r="V264" s="20">
        <f t="shared" si="57"/>
        <v>3.9376774013316747E-2</v>
      </c>
      <c r="W264" s="3"/>
      <c r="X264" s="3">
        <f t="shared" si="58"/>
        <v>216144.68000000005</v>
      </c>
      <c r="Y264" s="3"/>
      <c r="Z264" s="20">
        <f t="shared" si="59"/>
        <v>0.60964546896612437</v>
      </c>
    </row>
    <row r="265" spans="1:26" s="69" customFormat="1" ht="15" hidden="1" customHeight="1" outlineLevel="1" x14ac:dyDescent="0.3">
      <c r="A265" s="42"/>
      <c r="B265" s="12" t="str">
        <f>CONCATENATE("          ","9151"," - ","MISC. INCOME")</f>
        <v xml:space="preserve">          9151 - MISC. INCOME</v>
      </c>
      <c r="C265" s="12"/>
      <c r="D265" s="3">
        <f>0</f>
        <v>0</v>
      </c>
      <c r="E265" s="3"/>
      <c r="F265" s="20">
        <f t="shared" si="52"/>
        <v>0</v>
      </c>
      <c r="G265" s="3"/>
      <c r="H265" s="3">
        <f>0</f>
        <v>0</v>
      </c>
      <c r="I265" s="3"/>
      <c r="J265" s="20">
        <f t="shared" si="53"/>
        <v>0</v>
      </c>
      <c r="K265" s="3"/>
      <c r="L265" s="3">
        <f t="shared" si="54"/>
        <v>0</v>
      </c>
      <c r="M265" s="3"/>
      <c r="N265" s="20">
        <f t="shared" si="55"/>
        <v>0</v>
      </c>
      <c r="O265" s="12"/>
      <c r="P265" s="3">
        <f>--323761.7</f>
        <v>323761.7</v>
      </c>
      <c r="Q265" s="3"/>
      <c r="R265" s="20">
        <f t="shared" si="56"/>
        <v>1.4810841320455547E-2</v>
      </c>
      <c r="S265" s="3"/>
      <c r="T265" s="3">
        <f>--295628.46</f>
        <v>295628.46000000002</v>
      </c>
      <c r="U265" s="3"/>
      <c r="V265" s="20">
        <f t="shared" si="57"/>
        <v>3.2833650723426672E-2</v>
      </c>
      <c r="W265" s="3"/>
      <c r="X265" s="3">
        <f t="shared" si="58"/>
        <v>28133.239999999991</v>
      </c>
      <c r="Y265" s="3"/>
      <c r="Z265" s="20">
        <f t="shared" si="59"/>
        <v>9.5164180065748699E-2</v>
      </c>
    </row>
    <row r="266" spans="1:26" s="69" customFormat="1" ht="15" hidden="1" customHeight="1" outlineLevel="1" x14ac:dyDescent="0.3">
      <c r="A266" s="42"/>
      <c r="B266" s="12" t="str">
        <f>CONCATENATE("          ","9152"," - ","MISC. INCOME")</f>
        <v xml:space="preserve">          9152 - MISC. INCOME</v>
      </c>
      <c r="C266" s="12"/>
      <c r="D266" s="3">
        <f>-496.09</f>
        <v>-496.09</v>
      </c>
      <c r="E266" s="3"/>
      <c r="F266" s="20">
        <f t="shared" si="52"/>
        <v>-1.4830191659861807E-4</v>
      </c>
      <c r="G266" s="3"/>
      <c r="H266" s="3">
        <f>--505.94</f>
        <v>505.94</v>
      </c>
      <c r="I266" s="3"/>
      <c r="J266" s="20">
        <f t="shared" si="53"/>
        <v>4.8710241026348291E-4</v>
      </c>
      <c r="K266" s="3"/>
      <c r="L266" s="3">
        <f t="shared" si="54"/>
        <v>-1002.03</v>
      </c>
      <c r="M266" s="3"/>
      <c r="N266" s="20">
        <f t="shared" si="55"/>
        <v>-1.9805312882950548</v>
      </c>
      <c r="O266" s="12"/>
      <c r="P266" s="3">
        <f>--3888.43</f>
        <v>3888.43</v>
      </c>
      <c r="Q266" s="3"/>
      <c r="R266" s="20">
        <f t="shared" si="56"/>
        <v>1.7788058227918548E-4</v>
      </c>
      <c r="S266" s="3"/>
      <c r="T266" s="3">
        <f>--4216.5</f>
        <v>4216.5</v>
      </c>
      <c r="U266" s="3"/>
      <c r="V266" s="20">
        <f t="shared" si="57"/>
        <v>4.6830094868176276E-4</v>
      </c>
      <c r="W266" s="3"/>
      <c r="X266" s="3">
        <f t="shared" si="58"/>
        <v>-328.07000000000016</v>
      </c>
      <c r="Y266" s="3"/>
      <c r="Z266" s="20">
        <f t="shared" si="59"/>
        <v>-7.7806237400687817E-2</v>
      </c>
    </row>
    <row r="267" spans="1:26" s="69" customFormat="1" ht="15" hidden="1" customHeight="1" outlineLevel="1" x14ac:dyDescent="0.3">
      <c r="A267" s="42"/>
      <c r="B267" s="12" t="str">
        <f>CONCATENATE("          ","9160"," - ","MISC. INCOME")</f>
        <v xml:space="preserve">          9160 - MISC. INCOME</v>
      </c>
      <c r="C267" s="12"/>
      <c r="D267" s="3">
        <f>0</f>
        <v>0</v>
      </c>
      <c r="E267" s="3"/>
      <c r="F267" s="20">
        <f t="shared" si="52"/>
        <v>0</v>
      </c>
      <c r="G267" s="3"/>
      <c r="H267" s="3">
        <f>--732.1</f>
        <v>732.1</v>
      </c>
      <c r="I267" s="3"/>
      <c r="J267" s="20">
        <f t="shared" si="53"/>
        <v>7.0484182818890742E-4</v>
      </c>
      <c r="K267" s="3"/>
      <c r="L267" s="3">
        <f t="shared" si="54"/>
        <v>-732.1</v>
      </c>
      <c r="M267" s="3"/>
      <c r="N267" s="20">
        <f t="shared" si="55"/>
        <v>-1</v>
      </c>
      <c r="O267" s="12"/>
      <c r="P267" s="3">
        <f>0</f>
        <v>0</v>
      </c>
      <c r="Q267" s="3"/>
      <c r="R267" s="20">
        <f t="shared" si="56"/>
        <v>0</v>
      </c>
      <c r="S267" s="3"/>
      <c r="T267" s="3">
        <f>--13615.06</f>
        <v>13615.06</v>
      </c>
      <c r="U267" s="3"/>
      <c r="V267" s="20">
        <f t="shared" si="57"/>
        <v>1.5121417086111991E-3</v>
      </c>
      <c r="W267" s="3"/>
      <c r="X267" s="3">
        <f t="shared" si="58"/>
        <v>-13615.06</v>
      </c>
      <c r="Y267" s="3"/>
      <c r="Z267" s="20">
        <f t="shared" si="59"/>
        <v>-1</v>
      </c>
    </row>
    <row r="268" spans="1:26" s="69" customFormat="1" ht="15" hidden="1" customHeight="1" outlineLevel="1" x14ac:dyDescent="0.3">
      <c r="A268" s="42"/>
      <c r="B268" s="12" t="str">
        <f>CONCATENATE("          ","9163"," - ","MISC. INCOME")</f>
        <v xml:space="preserve">          9163 - MISC. INCOME</v>
      </c>
      <c r="C268" s="12"/>
      <c r="D268" s="3">
        <f>--1989</f>
        <v>1989</v>
      </c>
      <c r="E268" s="3"/>
      <c r="F268" s="20">
        <f t="shared" si="52"/>
        <v>5.9459475521508474E-4</v>
      </c>
      <c r="G268" s="3"/>
      <c r="H268" s="3">
        <f>--44.1</f>
        <v>44.1</v>
      </c>
      <c r="I268" s="3"/>
      <c r="J268" s="20">
        <f t="shared" si="53"/>
        <v>4.2458031174881598E-5</v>
      </c>
      <c r="K268" s="3"/>
      <c r="L268" s="3">
        <f t="shared" si="54"/>
        <v>1944.9</v>
      </c>
      <c r="M268" s="3"/>
      <c r="N268" s="20">
        <f t="shared" si="55"/>
        <v>44.102040816326529</v>
      </c>
      <c r="O268" s="12"/>
      <c r="P268" s="3">
        <f>--256819.7</f>
        <v>256819.7</v>
      </c>
      <c r="Q268" s="3"/>
      <c r="R268" s="20">
        <f t="shared" si="56"/>
        <v>1.1748504608997908E-2</v>
      </c>
      <c r="S268" s="3"/>
      <c r="T268" s="3">
        <f>--346478.56</f>
        <v>346478.56</v>
      </c>
      <c r="U268" s="3"/>
      <c r="V268" s="20">
        <f t="shared" si="57"/>
        <v>3.8481261317654704E-2</v>
      </c>
      <c r="W268" s="3"/>
      <c r="X268" s="3">
        <f t="shared" si="58"/>
        <v>-89658.859999999986</v>
      </c>
      <c r="Y268" s="3"/>
      <c r="Z268" s="20">
        <f t="shared" si="59"/>
        <v>-0.25877174045054907</v>
      </c>
    </row>
    <row r="269" spans="1:26" s="69" customFormat="1" ht="15" hidden="1" customHeight="1" outlineLevel="1" x14ac:dyDescent="0.3">
      <c r="A269" s="42"/>
      <c r="B269" s="12" t="str">
        <f>CONCATENATE("          ","9165"," - ","OTHER INCOME")</f>
        <v xml:space="preserve">          9165 - OTHER INCOME</v>
      </c>
      <c r="C269" s="12"/>
      <c r="D269" s="3">
        <f>0</f>
        <v>0</v>
      </c>
      <c r="E269" s="3"/>
      <c r="F269" s="20">
        <f t="shared" si="52"/>
        <v>0</v>
      </c>
      <c r="G269" s="3"/>
      <c r="H269" s="3">
        <f>--350.65</f>
        <v>350.65</v>
      </c>
      <c r="I269" s="3"/>
      <c r="J269" s="20">
        <f t="shared" si="53"/>
        <v>3.3759430003338391E-4</v>
      </c>
      <c r="K269" s="3"/>
      <c r="L269" s="3">
        <f t="shared" si="54"/>
        <v>-350.65</v>
      </c>
      <c r="M269" s="3"/>
      <c r="N269" s="20">
        <f t="shared" si="55"/>
        <v>-1</v>
      </c>
      <c r="O269" s="12"/>
      <c r="P269" s="3">
        <f>0</f>
        <v>0</v>
      </c>
      <c r="Q269" s="3"/>
      <c r="R269" s="20">
        <f t="shared" si="56"/>
        <v>0</v>
      </c>
      <c r="S269" s="3"/>
      <c r="T269" s="3">
        <f>--3488.86</f>
        <v>3488.86</v>
      </c>
      <c r="U269" s="3"/>
      <c r="V269" s="20">
        <f t="shared" si="57"/>
        <v>3.8748641001253525E-4</v>
      </c>
      <c r="W269" s="3"/>
      <c r="X269" s="3">
        <f t="shared" si="58"/>
        <v>-3488.86</v>
      </c>
      <c r="Y269" s="3"/>
      <c r="Z269" s="20">
        <f t="shared" si="59"/>
        <v>-1</v>
      </c>
    </row>
    <row r="270" spans="1:26" ht="15" customHeight="1" x14ac:dyDescent="0.3">
      <c r="A270" s="10"/>
      <c r="B270" s="11"/>
      <c r="C270" s="11"/>
      <c r="D270" s="4"/>
      <c r="E270" s="4"/>
      <c r="F270" s="9"/>
      <c r="G270" s="4"/>
      <c r="H270" s="4"/>
      <c r="I270" s="4"/>
      <c r="J270" s="9"/>
      <c r="K270" s="4"/>
      <c r="L270" s="4"/>
      <c r="M270" s="4"/>
      <c r="N270" s="9"/>
      <c r="O270" s="11"/>
      <c r="P270" s="4"/>
      <c r="Q270" s="4"/>
      <c r="R270" s="9"/>
      <c r="S270" s="4"/>
      <c r="T270" s="4"/>
      <c r="U270" s="4"/>
      <c r="V270" s="9"/>
      <c r="W270" s="4"/>
      <c r="X270" s="4"/>
      <c r="Y270" s="4"/>
      <c r="Z270" s="9"/>
    </row>
    <row r="271" spans="1:26" s="62" customFormat="1" ht="15" customHeight="1" x14ac:dyDescent="0.3">
      <c r="A271" s="11"/>
      <c r="B271" s="28" t="s">
        <v>291</v>
      </c>
      <c r="C271" s="28"/>
      <c r="D271" s="21">
        <f>+D161-D163+D260</f>
        <v>915513.41000000073</v>
      </c>
      <c r="E271" s="15"/>
      <c r="F271" s="23">
        <f>IF(D$12=0,0,D271/D$12)</f>
        <v>0.27368500347666058</v>
      </c>
      <c r="G271" s="15"/>
      <c r="H271" s="21">
        <f>+H161-H163+H260</f>
        <v>-268039.45999999996</v>
      </c>
      <c r="I271" s="15"/>
      <c r="J271" s="23">
        <f>IF(H$12=0,0,H271/H$12)</f>
        <v>-0.25805958614010038</v>
      </c>
      <c r="K271" s="16"/>
      <c r="L271" s="21">
        <f>+D271-H271</f>
        <v>1183552.8700000006</v>
      </c>
      <c r="M271" s="16"/>
      <c r="N271" s="23">
        <f>IF(H271=0,0,L271/H271)</f>
        <v>-4.4155919057589532</v>
      </c>
      <c r="O271" s="27"/>
      <c r="P271" s="21">
        <f>+P161-P163+P260</f>
        <v>3542691.419999999</v>
      </c>
      <c r="Q271" s="15"/>
      <c r="R271" s="23">
        <f>IF(P$12=0,0,P271/P$12)</f>
        <v>0.16206438398661524</v>
      </c>
      <c r="S271" s="15"/>
      <c r="T271" s="21">
        <f>+T161-T163+T260</f>
        <v>-2389516.9399999985</v>
      </c>
      <c r="U271" s="15"/>
      <c r="V271" s="23">
        <f>IF(T$12=0,0,T271/T$12)</f>
        <v>-0.2653890785943655</v>
      </c>
      <c r="W271" s="16"/>
      <c r="X271" s="21">
        <f>+P271-T271</f>
        <v>5932208.3599999975</v>
      </c>
      <c r="Y271" s="16"/>
      <c r="Z271" s="23">
        <f>IF(T271=0,0,X271/T271)</f>
        <v>-2.4825973236247494</v>
      </c>
    </row>
    <row r="272" spans="1:26" ht="15" customHeight="1" x14ac:dyDescent="0.3">
      <c r="A272" s="10"/>
      <c r="B272" s="11"/>
      <c r="C272" s="10"/>
      <c r="D272" s="4"/>
      <c r="E272" s="4"/>
      <c r="F272" s="9"/>
      <c r="G272" s="4"/>
      <c r="H272" s="4"/>
      <c r="I272" s="4"/>
      <c r="J272" s="9"/>
      <c r="K272" s="4"/>
      <c r="L272" s="4"/>
      <c r="M272" s="4"/>
      <c r="N272" s="9"/>
      <c r="P272" s="4"/>
      <c r="Q272" s="4"/>
      <c r="R272" s="9"/>
      <c r="S272" s="4"/>
      <c r="T272" s="4"/>
      <c r="U272" s="4"/>
      <c r="V272" s="9"/>
      <c r="W272" s="4"/>
      <c r="X272" s="4"/>
      <c r="Y272" s="4"/>
      <c r="Z272" s="9"/>
    </row>
    <row r="273" spans="1:26" s="62" customFormat="1" ht="15" customHeight="1" x14ac:dyDescent="0.3">
      <c r="A273" s="48"/>
      <c r="B273" s="11" t="s">
        <v>292</v>
      </c>
      <c r="C273" s="11"/>
      <c r="D273" s="5">
        <v>266683.28999999998</v>
      </c>
      <c r="E273" s="5"/>
      <c r="F273" s="13">
        <f>IF(D$12=0,0,D273/D$12)</f>
        <v>7.9722717716190772E-2</v>
      </c>
      <c r="G273" s="5"/>
      <c r="H273" s="5">
        <v>242086.48</v>
      </c>
      <c r="I273" s="5"/>
      <c r="J273" s="13">
        <f>IF(H$12=0,0,H273/H$12)</f>
        <v>0.23307290963395352</v>
      </c>
      <c r="K273" s="5"/>
      <c r="L273" s="5">
        <f>+D273-H273</f>
        <v>24596.809999999969</v>
      </c>
      <c r="M273" s="5"/>
      <c r="N273" s="13">
        <f>IF(H273=0,0,L273/H273)</f>
        <v>0.10160340222221401</v>
      </c>
      <c r="O273" s="11"/>
      <c r="P273" s="5">
        <v>2476360.4300000002</v>
      </c>
      <c r="Q273" s="5"/>
      <c r="R273" s="13">
        <f>IF(P$12=0,0,P273/P$12)</f>
        <v>0.11328387941187938</v>
      </c>
      <c r="S273" s="5"/>
      <c r="T273" s="5">
        <v>1883636.83</v>
      </c>
      <c r="U273" s="5"/>
      <c r="V273" s="13">
        <f>IF(T$12=0,0,T273/T$12)</f>
        <v>0.20920405892586466</v>
      </c>
      <c r="W273" s="5"/>
      <c r="X273" s="5">
        <f>+P273-T273</f>
        <v>592723.60000000009</v>
      </c>
      <c r="Y273" s="5"/>
      <c r="Z273" s="13">
        <f>IF(T273=0,0,X273/T273)</f>
        <v>0.31466978695675646</v>
      </c>
    </row>
    <row r="274" spans="1:26" ht="15" customHeight="1" x14ac:dyDescent="0.3">
      <c r="A274" s="10"/>
      <c r="B274" s="11"/>
      <c r="C274" s="11"/>
      <c r="D274" s="4"/>
      <c r="E274" s="4"/>
      <c r="F274" s="9"/>
      <c r="G274" s="4"/>
      <c r="H274" s="4"/>
      <c r="I274" s="4"/>
      <c r="J274" s="9"/>
      <c r="K274" s="4"/>
      <c r="L274" s="4"/>
      <c r="M274" s="4"/>
      <c r="N274" s="9"/>
      <c r="O274" s="11"/>
      <c r="P274" s="4"/>
      <c r="Q274" s="4"/>
      <c r="R274" s="9"/>
      <c r="S274" s="4"/>
      <c r="T274" s="4"/>
      <c r="U274" s="4"/>
      <c r="V274" s="9"/>
      <c r="W274" s="4"/>
      <c r="X274" s="4"/>
      <c r="Y274" s="4"/>
      <c r="Z274" s="9"/>
    </row>
    <row r="275" spans="1:26" s="62" customFormat="1" ht="15" customHeight="1" x14ac:dyDescent="0.3">
      <c r="A275" s="11"/>
      <c r="B275" s="28" t="s">
        <v>293</v>
      </c>
      <c r="C275" s="28"/>
      <c r="D275" s="34">
        <f>+D271-D273</f>
        <v>648830.12000000081</v>
      </c>
      <c r="E275" s="15"/>
      <c r="F275" s="30">
        <f>IF(D$12=0,0,D275/D$12)</f>
        <v>0.19396228576046984</v>
      </c>
      <c r="G275" s="15"/>
      <c r="H275" s="34">
        <f>+H271-H273</f>
        <v>-510125.93999999994</v>
      </c>
      <c r="I275" s="15"/>
      <c r="J275" s="30">
        <f>IF(H$12=0,0,H275/H$12)</f>
        <v>-0.49113249577405388</v>
      </c>
      <c r="K275" s="16"/>
      <c r="L275" s="34">
        <f>D275-H275</f>
        <v>1158956.0600000008</v>
      </c>
      <c r="M275" s="16"/>
      <c r="N275" s="30">
        <f>IF(H275=0,0,L275/H275)</f>
        <v>-2.2719018366327361</v>
      </c>
      <c r="O275" s="27"/>
      <c r="P275" s="34">
        <f>+P271-P273</f>
        <v>1066330.9899999988</v>
      </c>
      <c r="Q275" s="15"/>
      <c r="R275" s="30">
        <f>IF(P$12=0,0,P275/P$12)</f>
        <v>4.8780504574735845E-2</v>
      </c>
      <c r="S275" s="15"/>
      <c r="T275" s="34">
        <f>+T271-T273</f>
        <v>-4273153.7699999986</v>
      </c>
      <c r="U275" s="15"/>
      <c r="V275" s="30">
        <f>IF(T$12=0,0,T275/T$12)</f>
        <v>-0.47459313752023013</v>
      </c>
      <c r="W275" s="16"/>
      <c r="X275" s="34">
        <f>P275-T275</f>
        <v>5339484.7599999979</v>
      </c>
      <c r="Y275" s="16"/>
      <c r="Z275" s="30">
        <f>IF(T275=0,0,X275/T275)</f>
        <v>-1.2495419185441574</v>
      </c>
    </row>
    <row r="276" spans="1:26" ht="15" customHeight="1" x14ac:dyDescent="0.3">
      <c r="A276" s="10"/>
      <c r="B276" s="10"/>
      <c r="C276" s="10"/>
      <c r="D276" s="4"/>
      <c r="E276" s="4"/>
      <c r="F276" s="9"/>
      <c r="G276" s="4"/>
      <c r="H276" s="4"/>
      <c r="I276" s="4"/>
      <c r="J276" s="9"/>
      <c r="K276" s="4"/>
      <c r="L276" s="4"/>
      <c r="M276" s="4"/>
      <c r="N276" s="9"/>
      <c r="P276" s="4"/>
      <c r="Q276" s="4"/>
      <c r="R276" s="9"/>
      <c r="S276" s="4"/>
      <c r="T276" s="4"/>
      <c r="U276" s="4"/>
      <c r="V276" s="9"/>
      <c r="W276" s="4"/>
      <c r="X276" s="4"/>
      <c r="Y276" s="4"/>
      <c r="Z276" s="9"/>
    </row>
    <row r="277" spans="1:26" s="62" customFormat="1" ht="15" customHeight="1" x14ac:dyDescent="0.3">
      <c r="A277" s="48"/>
      <c r="B277" s="11" t="s">
        <v>294</v>
      </c>
      <c r="C277" s="11"/>
      <c r="D277" s="5">
        <f>-631914.9</f>
        <v>-631914.9</v>
      </c>
      <c r="E277" s="5"/>
      <c r="F277" s="13">
        <f>IF(D$12=0,0,D277/D$12)</f>
        <v>-0.18890562357077162</v>
      </c>
      <c r="G277" s="5"/>
      <c r="H277" s="5">
        <f>--334683.71</f>
        <v>334683.71000000002</v>
      </c>
      <c r="I277" s="5"/>
      <c r="J277" s="13">
        <f>IF(H$12=0,0,H277/H$12)</f>
        <v>0.32222248056473995</v>
      </c>
      <c r="K277" s="5"/>
      <c r="L277" s="5">
        <f>+D277-H277</f>
        <v>-966598.6100000001</v>
      </c>
      <c r="M277" s="5"/>
      <c r="N277" s="13">
        <f>IF(H277=0,0,L277/H277)</f>
        <v>-2.8880957785486485</v>
      </c>
      <c r="O277" s="11"/>
      <c r="P277" s="5">
        <f>-1586831.27</f>
        <v>-1586831.27</v>
      </c>
      <c r="Q277" s="5"/>
      <c r="R277" s="13">
        <f>IF(P$12=0,0,P277/P$12)</f>
        <v>-7.2591372427025666E-2</v>
      </c>
      <c r="S277" s="5"/>
      <c r="T277" s="5">
        <f>--2631496.9</f>
        <v>2631496.9</v>
      </c>
      <c r="U277" s="5"/>
      <c r="V277" s="13">
        <f>IF(T$12=0,0,T277/T$12)</f>
        <v>0.29226431749629261</v>
      </c>
      <c r="W277" s="5"/>
      <c r="X277" s="5">
        <f>+P277-T277</f>
        <v>-4218328.17</v>
      </c>
      <c r="Y277" s="5"/>
      <c r="Z277" s="13">
        <f>IF(T277=0,0,X277/T277)</f>
        <v>-1.6030146833917989</v>
      </c>
    </row>
    <row r="278" spans="1:26" s="62" customFormat="1" ht="15" customHeight="1" x14ac:dyDescent="0.3">
      <c r="A278" s="48"/>
      <c r="B278" s="11" t="s">
        <v>295</v>
      </c>
      <c r="C278" s="11"/>
      <c r="D278" s="5">
        <f>--9521.98</f>
        <v>9521.98</v>
      </c>
      <c r="E278" s="5"/>
      <c r="F278" s="13">
        <f>IF(D$12=0,0,D278/D$12)</f>
        <v>2.8465155189858885E-3</v>
      </c>
      <c r="G278" s="5"/>
      <c r="H278" s="5">
        <f>--10223.34</f>
        <v>10223.34</v>
      </c>
      <c r="I278" s="5"/>
      <c r="J278" s="13">
        <f>IF(H$12=0,0,H278/H$12)</f>
        <v>9.8426958827985047E-3</v>
      </c>
      <c r="K278" s="5"/>
      <c r="L278" s="5">
        <f>+D278-H278</f>
        <v>-701.36000000000058</v>
      </c>
      <c r="M278" s="5"/>
      <c r="N278" s="13">
        <f>IF(H278=0,0,L278/H278)</f>
        <v>-6.8603802671142758E-2</v>
      </c>
      <c r="O278" s="11"/>
      <c r="P278" s="5">
        <f>--2342787.45</f>
        <v>2342787.4500000002</v>
      </c>
      <c r="Q278" s="5"/>
      <c r="R278" s="13">
        <f>IF(P$12=0,0,P278/P$12)</f>
        <v>0.10717343394695755</v>
      </c>
      <c r="S278" s="5"/>
      <c r="T278" s="5">
        <f>--92759.53</f>
        <v>92759.53</v>
      </c>
      <c r="U278" s="5"/>
      <c r="V278" s="13">
        <f>IF(T$12=0,0,T278/T$12)</f>
        <v>1.0302235479253985E-2</v>
      </c>
      <c r="W278" s="5"/>
      <c r="X278" s="5">
        <f>+P278-T278</f>
        <v>2250027.9200000004</v>
      </c>
      <c r="Y278" s="5"/>
      <c r="Z278" s="13">
        <f>IF(T278=0,0,X278/T278)</f>
        <v>24.256568785978114</v>
      </c>
    </row>
    <row r="279" spans="1:26" ht="15" customHeight="1" x14ac:dyDescent="0.3">
      <c r="A279" s="10"/>
      <c r="B279" s="10"/>
      <c r="C279" s="10"/>
      <c r="D279" s="4"/>
      <c r="E279" s="4"/>
      <c r="F279" s="9"/>
      <c r="G279" s="4"/>
      <c r="H279" s="4"/>
      <c r="I279" s="4"/>
      <c r="J279" s="9"/>
      <c r="K279" s="4"/>
      <c r="L279" s="4"/>
      <c r="M279" s="4"/>
      <c r="N279" s="9"/>
      <c r="P279" s="4"/>
      <c r="Q279" s="4"/>
      <c r="R279" s="9"/>
      <c r="S279" s="4"/>
      <c r="T279" s="4"/>
      <c r="U279" s="4"/>
      <c r="V279" s="9"/>
      <c r="W279" s="4"/>
      <c r="X279" s="4"/>
      <c r="Y279" s="4"/>
      <c r="Z279" s="9"/>
    </row>
    <row r="280" spans="1:26" s="62" customFormat="1" ht="15" customHeight="1" x14ac:dyDescent="0.3">
      <c r="A280" s="11"/>
      <c r="B280" s="28" t="s">
        <v>296</v>
      </c>
      <c r="C280" s="28"/>
      <c r="D280" s="29">
        <f>SUM(D275:D279)</f>
        <v>26437.200000000787</v>
      </c>
      <c r="E280" s="15"/>
      <c r="F280" s="35">
        <f>IF(D$12=0,0,D280/D$12)</f>
        <v>7.9031777086841157E-3</v>
      </c>
      <c r="G280" s="15"/>
      <c r="H280" s="29">
        <f>SUM(H275:H279)</f>
        <v>-165218.88999999993</v>
      </c>
      <c r="I280" s="15"/>
      <c r="J280" s="35">
        <f>IF(H$12=0,0,H280/H$12)</f>
        <v>-0.15906731932651544</v>
      </c>
      <c r="K280" s="16"/>
      <c r="L280" s="29">
        <f>+D280-H280</f>
        <v>191656.09000000072</v>
      </c>
      <c r="M280" s="16"/>
      <c r="N280" s="35">
        <f>IF(H280=0,0,L280/H280)</f>
        <v>-1.1600131800909739</v>
      </c>
      <c r="O280" s="27"/>
      <c r="P280" s="29">
        <f>SUM(P275:P279)</f>
        <v>1822287.169999999</v>
      </c>
      <c r="Q280" s="15"/>
      <c r="R280" s="35">
        <f>IF(P$12=0,0,P280/P$12)</f>
        <v>8.3362566094667745E-2</v>
      </c>
      <c r="S280" s="15"/>
      <c r="T280" s="29">
        <f>SUM(T275:T279)</f>
        <v>-1548897.3399999987</v>
      </c>
      <c r="U280" s="15"/>
      <c r="V280" s="35">
        <f>IF(T$12=0,0,T280/T$12)</f>
        <v>-0.17202658454468356</v>
      </c>
      <c r="W280" s="16"/>
      <c r="X280" s="29">
        <f>+P280-T280</f>
        <v>3371184.5099999979</v>
      </c>
      <c r="Y280" s="16"/>
      <c r="Z280" s="35">
        <f>IF(T280=0,0,X280/T280)</f>
        <v>-2.1765061007852209</v>
      </c>
    </row>
    <row r="281" spans="1:26" ht="15" customHeight="1" x14ac:dyDescent="0.3">
      <c r="A281" s="10"/>
      <c r="C281" s="10"/>
      <c r="D281" s="18"/>
      <c r="E281" s="18"/>
      <c r="G281" s="18"/>
      <c r="H281" s="18"/>
      <c r="I281" s="18"/>
      <c r="J281" s="40"/>
      <c r="K281" s="18"/>
      <c r="L281" s="18"/>
      <c r="M281" s="18"/>
      <c r="P281" s="18"/>
      <c r="Q281" s="18"/>
      <c r="R281" s="40"/>
      <c r="S281" s="18"/>
      <c r="T281" s="18"/>
      <c r="U281" s="18"/>
      <c r="V281" s="40"/>
      <c r="W281" s="18"/>
      <c r="X281" s="18"/>
    </row>
    <row r="282" spans="1:26" ht="15" customHeight="1" x14ac:dyDescent="0.3">
      <c r="A282" s="10"/>
      <c r="B282" s="56">
        <v>44694.890780289352</v>
      </c>
      <c r="D282" s="18"/>
      <c r="E282" s="18"/>
      <c r="G282" s="18"/>
      <c r="H282" s="18"/>
      <c r="I282" s="18"/>
      <c r="J282" s="40"/>
      <c r="K282" s="18"/>
      <c r="L282" s="18"/>
      <c r="M282" s="18"/>
      <c r="P282" s="18"/>
      <c r="Q282" s="18"/>
      <c r="R282" s="40"/>
      <c r="S282" s="18"/>
      <c r="T282" s="18"/>
      <c r="U282" s="18"/>
      <c r="V282" s="40"/>
      <c r="W282" s="18"/>
      <c r="X282" s="18"/>
    </row>
    <row r="283" spans="1:26" ht="15" customHeight="1" x14ac:dyDescent="0.3">
      <c r="A283" s="10"/>
      <c r="B283" s="52" t="s">
        <v>297</v>
      </c>
      <c r="D283" s="18"/>
      <c r="E283" s="18"/>
      <c r="G283" s="18"/>
      <c r="H283" s="18"/>
      <c r="I283" s="18"/>
      <c r="J283" s="40"/>
      <c r="K283" s="18"/>
      <c r="L283" s="18"/>
      <c r="M283" s="18"/>
      <c r="P283" s="18"/>
      <c r="Q283" s="18"/>
      <c r="R283" s="40"/>
      <c r="S283" s="18"/>
      <c r="T283" s="18"/>
      <c r="U283" s="18"/>
      <c r="V283" s="40"/>
      <c r="W283" s="18"/>
      <c r="X283" s="18"/>
    </row>
    <row r="284" spans="1:26" ht="15" customHeight="1" x14ac:dyDescent="0.3">
      <c r="A284" s="10"/>
      <c r="B284" s="58"/>
      <c r="D284" s="18"/>
      <c r="E284" s="18"/>
      <c r="G284" s="18"/>
      <c r="H284" s="18"/>
      <c r="I284" s="18"/>
      <c r="J284" s="40"/>
      <c r="K284" s="18"/>
      <c r="L284" s="18"/>
      <c r="M284" s="18"/>
      <c r="P284" s="18"/>
      <c r="Q284" s="18"/>
      <c r="R284" s="40"/>
      <c r="S284" s="18"/>
      <c r="T284" s="18"/>
      <c r="U284" s="18"/>
      <c r="V284" s="40"/>
      <c r="W284" s="18"/>
      <c r="X284" s="18"/>
    </row>
    <row r="285" spans="1:26" ht="15" customHeight="1" x14ac:dyDescent="0.3">
      <c r="D285" s="18"/>
      <c r="E285" s="18"/>
      <c r="G285" s="18"/>
      <c r="H285" s="18"/>
      <c r="I285" s="18"/>
      <c r="J285" s="40"/>
      <c r="K285" s="18"/>
      <c r="L285" s="18"/>
      <c r="M285" s="18"/>
      <c r="P285" s="18"/>
      <c r="Q285" s="18"/>
      <c r="R285" s="40"/>
      <c r="S285" s="18"/>
      <c r="T285" s="18"/>
      <c r="U285" s="18"/>
      <c r="V285" s="40"/>
      <c r="W285" s="18"/>
      <c r="X28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D9668-BC6F-9688-0EC1-9A6AED9F696B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45D66-499C-C2B1-6519-7B58F81A44A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C709B-507F-829D-7CFC-A44E8BC6B43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1781E-C472-EFCF-220E-FD68B561383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6D83-E869-D41A-1FBA-9511B899ED3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432B-A21C-D0B5-9B3C-400962E0AE4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B00E-28A3-836A-7EAE-F1FA68966A1D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74805-E88F-ACA8-B294-FF00B74CFA1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314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3E6C-EFFD-DD73-ACA6-F5F16F6E925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314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AE761-0E33-3D88-392B-D670DAA18459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","100"," - ","Corporate")</f>
        <v>Department 100 - Corporate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5"/>
      <c r="L18" s="22">
        <f>+D18-H18</f>
        <v>0</v>
      </c>
      <c r="M18" s="5"/>
      <c r="N18" s="32">
        <f>IF(H18=0,0,L18/H18)</f>
        <v>0</v>
      </c>
      <c r="O18" s="11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5"/>
      <c r="X18" s="22">
        <f>+P18-T18</f>
        <v>0</v>
      </c>
      <c r="Y18" s="5"/>
      <c r="Z18" s="32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291</v>
      </c>
      <c r="C22" s="28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6"/>
      <c r="L22" s="21">
        <f>+D22-H22</f>
        <v>0</v>
      </c>
      <c r="M22" s="16"/>
      <c r="N22" s="23">
        <f>IF(H22=0,0,L22/H22)</f>
        <v>0</v>
      </c>
      <c r="O22" s="27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6"/>
      <c r="X22" s="21">
        <f>+P22-T22</f>
        <v>0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8" t="s">
        <v>293</v>
      </c>
      <c r="C26" s="28"/>
      <c r="D26" s="34">
        <f>+D22-D24</f>
        <v>0</v>
      </c>
      <c r="E26" s="15"/>
      <c r="F26" s="30">
        <f>IF(D$12=0,0,D26/D$12)</f>
        <v>0</v>
      </c>
      <c r="G26" s="15"/>
      <c r="H26" s="34">
        <f>+H22-H24</f>
        <v>0</v>
      </c>
      <c r="I26" s="15"/>
      <c r="J26" s="30">
        <f>IF(H$12=0,0,H26/H$12)</f>
        <v>0</v>
      </c>
      <c r="K26" s="16"/>
      <c r="L26" s="34">
        <f>D26-H26</f>
        <v>0</v>
      </c>
      <c r="M26" s="16"/>
      <c r="N26" s="30">
        <f>IF(H26=0,0,L26/H26)</f>
        <v>0</v>
      </c>
      <c r="O26" s="27"/>
      <c r="P26" s="34">
        <f>+P22-P24</f>
        <v>0</v>
      </c>
      <c r="Q26" s="15"/>
      <c r="R26" s="30">
        <f>IF(P$12=0,0,P26/P$12)</f>
        <v>0</v>
      </c>
      <c r="S26" s="15"/>
      <c r="T26" s="34">
        <f>+T22-T24</f>
        <v>0</v>
      </c>
      <c r="U26" s="15"/>
      <c r="V26" s="30">
        <f>IF(T$12=0,0,T26/T$12)</f>
        <v>0</v>
      </c>
      <c r="W26" s="16"/>
      <c r="X26" s="34">
        <f>P26-T26</f>
        <v>0</v>
      </c>
      <c r="Y26" s="16"/>
      <c r="Z26" s="30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-631914.9</f>
        <v>-631914.9</v>
      </c>
      <c r="E28" s="5"/>
      <c r="F28" s="13">
        <f>IF(D$12=0,0,D28/D$12)</f>
        <v>0</v>
      </c>
      <c r="G28" s="5"/>
      <c r="H28" s="5">
        <f>--334683.71</f>
        <v>334683.71000000002</v>
      </c>
      <c r="I28" s="5"/>
      <c r="J28" s="13">
        <f>IF(H$12=0,0,H28/H$12)</f>
        <v>0</v>
      </c>
      <c r="K28" s="5"/>
      <c r="L28" s="5">
        <f>+D28-H28</f>
        <v>-966598.6100000001</v>
      </c>
      <c r="M28" s="5"/>
      <c r="N28" s="13">
        <f>IF(H28=0,0,L28/H28)</f>
        <v>-2.8880957785486485</v>
      </c>
      <c r="O28" s="11"/>
      <c r="P28" s="5">
        <f>-1586831.27</f>
        <v>-1586831.27</v>
      </c>
      <c r="Q28" s="5"/>
      <c r="R28" s="13">
        <f>IF(P$12=0,0,P28/P$12)</f>
        <v>0</v>
      </c>
      <c r="S28" s="5"/>
      <c r="T28" s="5">
        <f>--2631496.9</f>
        <v>2631496.9</v>
      </c>
      <c r="U28" s="5"/>
      <c r="V28" s="13">
        <f>IF(T$12=0,0,T28/T$12)</f>
        <v>0</v>
      </c>
      <c r="W28" s="5"/>
      <c r="X28" s="5">
        <f>+P28-T28</f>
        <v>-4218328.17</v>
      </c>
      <c r="Y28" s="5"/>
      <c r="Z28" s="13">
        <f>IF(T28=0,0,X28/T28)</f>
        <v>-1.6030146833917989</v>
      </c>
    </row>
    <row r="29" spans="1:26" s="62" customFormat="1" ht="15" customHeight="1" x14ac:dyDescent="0.3">
      <c r="A29" s="48"/>
      <c r="B29" s="11" t="s">
        <v>295</v>
      </c>
      <c r="C29" s="11"/>
      <c r="D29" s="5">
        <f>--9521.98</f>
        <v>9521.98</v>
      </c>
      <c r="E29" s="5"/>
      <c r="F29" s="13">
        <f>IF(D$12=0,0,D29/D$12)</f>
        <v>0</v>
      </c>
      <c r="G29" s="5"/>
      <c r="H29" s="5">
        <f>--10223.34</f>
        <v>10223.34</v>
      </c>
      <c r="I29" s="5"/>
      <c r="J29" s="13">
        <f>IF(H$12=0,0,H29/H$12)</f>
        <v>0</v>
      </c>
      <c r="K29" s="5"/>
      <c r="L29" s="5">
        <f>+D29-H29</f>
        <v>-701.36000000000058</v>
      </c>
      <c r="M29" s="5"/>
      <c r="N29" s="13">
        <f>IF(H29=0,0,L29/H29)</f>
        <v>-6.8603802671142758E-2</v>
      </c>
      <c r="O29" s="11"/>
      <c r="P29" s="5">
        <f>--2342787.45</f>
        <v>2342787.4500000002</v>
      </c>
      <c r="Q29" s="5"/>
      <c r="R29" s="13">
        <f>IF(P$12=0,0,P29/P$12)</f>
        <v>0</v>
      </c>
      <c r="S29" s="5"/>
      <c r="T29" s="5">
        <f>--92759.53</f>
        <v>92759.53</v>
      </c>
      <c r="U29" s="5"/>
      <c r="V29" s="13">
        <f>IF(T$12=0,0,T29/T$12)</f>
        <v>0</v>
      </c>
      <c r="W29" s="5"/>
      <c r="X29" s="5">
        <f>+P29-T29</f>
        <v>2250027.9200000004</v>
      </c>
      <c r="Y29" s="5"/>
      <c r="Z29" s="13">
        <f>IF(T29=0,0,X29/T29)</f>
        <v>24.256568785978114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29">
        <f>SUM(D26:D30)</f>
        <v>-622392.92000000004</v>
      </c>
      <c r="E31" s="15"/>
      <c r="F31" s="35">
        <f>IF(D$12=0,0,D31/D$12)</f>
        <v>0</v>
      </c>
      <c r="G31" s="15"/>
      <c r="H31" s="29">
        <f>SUM(H26:H30)</f>
        <v>344907.05000000005</v>
      </c>
      <c r="I31" s="15"/>
      <c r="J31" s="35">
        <f>IF(H$12=0,0,H31/H$12)</f>
        <v>0</v>
      </c>
      <c r="K31" s="16"/>
      <c r="L31" s="29">
        <f>+D31-H31</f>
        <v>-967299.97000000009</v>
      </c>
      <c r="M31" s="16"/>
      <c r="N31" s="35">
        <f>IF(H31=0,0,L31/H31)</f>
        <v>-2.8045236245533398</v>
      </c>
      <c r="O31" s="27"/>
      <c r="P31" s="29">
        <f>SUM(P26:P30)</f>
        <v>755956.18000000017</v>
      </c>
      <c r="Q31" s="15"/>
      <c r="R31" s="35">
        <f>IF(P$12=0,0,P31/P$12)</f>
        <v>0</v>
      </c>
      <c r="S31" s="15"/>
      <c r="T31" s="29">
        <f>SUM(T26:T30)</f>
        <v>2724256.4299999997</v>
      </c>
      <c r="U31" s="15"/>
      <c r="V31" s="35">
        <f>IF(T$12=0,0,T31/T$12)</f>
        <v>0</v>
      </c>
      <c r="W31" s="16"/>
      <c r="X31" s="29">
        <f>+P31-T31</f>
        <v>-1968300.2499999995</v>
      </c>
      <c r="Y31" s="16"/>
      <c r="Z31" s="35">
        <f>IF(T31=0,0,X31/T31)</f>
        <v>-0.72250916922677488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0"/>
      <c r="K32" s="18"/>
      <c r="L32" s="18"/>
      <c r="M32" s="18"/>
      <c r="P32" s="18"/>
      <c r="Q32" s="18"/>
      <c r="R32" s="40"/>
      <c r="S32" s="18"/>
      <c r="T32" s="18"/>
      <c r="U32" s="18"/>
      <c r="V32" s="40"/>
      <c r="W32" s="18"/>
      <c r="X32" s="18"/>
    </row>
    <row r="33" spans="1:24" ht="15" customHeight="1" x14ac:dyDescent="0.3">
      <c r="A33" s="10"/>
      <c r="B33" s="56">
        <v>44694.890829479169</v>
      </c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3">
      <c r="A34" s="10"/>
      <c r="B34" s="52" t="s">
        <v>297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3">
      <c r="A35" s="10"/>
      <c r="B35" s="58"/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8F3C-708E-FFC9-22E1-6E725E884815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278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7BC7-6E36-71AE-FE29-038C81B2A2E7}">
  <sheetPr>
    <tabColor rgb="FFFFC00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266682.48</v>
      </c>
      <c r="E18" s="22"/>
      <c r="F18" s="32">
        <f t="shared" ref="F18:F49" si="0">IF(D$12=0,0,D18/D$12)</f>
        <v>0</v>
      </c>
      <c r="G18" s="22"/>
      <c r="H18" s="22" cm="1">
        <f t="array" ref="H18">SUM(OSRRefH22x_0)</f>
        <v>242086.47999999998</v>
      </c>
      <c r="I18" s="22"/>
      <c r="J18" s="32">
        <f t="shared" ref="J18:J49" si="1">IF(H$12=0,0,H18/H$12)</f>
        <v>0</v>
      </c>
      <c r="K18" s="5"/>
      <c r="L18" s="22">
        <f t="shared" ref="L18:L49" si="2">+D18-H18</f>
        <v>24596</v>
      </c>
      <c r="M18" s="5"/>
      <c r="N18" s="32">
        <f t="shared" ref="N18:N49" si="3">IF(H18=0,0,L18/H18)</f>
        <v>0.10160005631045568</v>
      </c>
      <c r="O18" s="11"/>
      <c r="P18" s="22" cm="1">
        <f t="array" ref="P18">SUM(OSRRefP22x_0)</f>
        <v>2476359.6200000006</v>
      </c>
      <c r="Q18" s="22"/>
      <c r="R18" s="32">
        <f t="shared" ref="R18:R49" si="4">IF(P$12=0,0,P18/P$12)</f>
        <v>0</v>
      </c>
      <c r="S18" s="22"/>
      <c r="T18" s="22" cm="1">
        <f t="array" ref="T18">SUM(OSRRefT22x_0)</f>
        <v>1883636.8299999998</v>
      </c>
      <c r="U18" s="22"/>
      <c r="V18" s="32">
        <f t="shared" ref="V18:V49" si="5">IF(T$12=0,0,T18/T$12)</f>
        <v>0</v>
      </c>
      <c r="W18" s="5"/>
      <c r="X18" s="22">
        <f t="shared" ref="X18:X49" si="6">+P18-T18</f>
        <v>592722.79000000074</v>
      </c>
      <c r="Y18" s="5"/>
      <c r="Z18" s="32">
        <f t="shared" ref="Z18:Z49" si="7">IF(T18=0,0,X18/T18)</f>
        <v>0.31466935693755826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99249.39</v>
      </c>
      <c r="E19" s="2"/>
      <c r="F19" s="6">
        <f t="shared" si="0"/>
        <v>0</v>
      </c>
      <c r="G19" s="2"/>
      <c r="H19" s="2">
        <f>SUM(OSRRefH22_0x_0)</f>
        <v>86861.33</v>
      </c>
      <c r="I19" s="2"/>
      <c r="J19" s="6">
        <f t="shared" si="1"/>
        <v>0</v>
      </c>
      <c r="K19" s="2"/>
      <c r="L19" s="2">
        <f t="shared" si="2"/>
        <v>12388.059999999998</v>
      </c>
      <c r="M19" s="2"/>
      <c r="N19" s="6">
        <f t="shared" si="3"/>
        <v>0.14261881553045525</v>
      </c>
      <c r="O19" s="14"/>
      <c r="P19" s="2">
        <f>SUM(OSRRefP22_0x_0)</f>
        <v>873465.14</v>
      </c>
      <c r="Q19" s="2"/>
      <c r="R19" s="6">
        <f t="shared" si="4"/>
        <v>0</v>
      </c>
      <c r="S19" s="2"/>
      <c r="T19" s="2">
        <f>SUM(OSRRefT22_0x_0)</f>
        <v>426772.31000000011</v>
      </c>
      <c r="U19" s="2"/>
      <c r="V19" s="6">
        <f t="shared" si="5"/>
        <v>0</v>
      </c>
      <c r="W19" s="2"/>
      <c r="X19" s="2">
        <f t="shared" si="6"/>
        <v>446692.8299999999</v>
      </c>
      <c r="Y19" s="2"/>
      <c r="Z19" s="6">
        <f t="shared" si="7"/>
        <v>1.0466771614119008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12212.93</v>
      </c>
      <c r="E20" s="3"/>
      <c r="F20" s="7">
        <f t="shared" si="0"/>
        <v>0</v>
      </c>
      <c r="G20" s="3"/>
      <c r="H20" s="8">
        <v>10464.51</v>
      </c>
      <c r="I20" s="3"/>
      <c r="J20" s="7">
        <f t="shared" si="1"/>
        <v>0</v>
      </c>
      <c r="K20" s="3"/>
      <c r="L20" s="8">
        <f t="shared" si="2"/>
        <v>1748.42</v>
      </c>
      <c r="M20" s="3"/>
      <c r="N20" s="7">
        <f t="shared" si="3"/>
        <v>0.16708092399930813</v>
      </c>
      <c r="O20" s="12"/>
      <c r="P20" s="8">
        <v>85418.77</v>
      </c>
      <c r="Q20" s="3"/>
      <c r="R20" s="7">
        <f t="shared" si="4"/>
        <v>0</v>
      </c>
      <c r="S20" s="3"/>
      <c r="T20" s="8">
        <v>79374.69</v>
      </c>
      <c r="U20" s="3"/>
      <c r="V20" s="7">
        <f t="shared" si="5"/>
        <v>0</v>
      </c>
      <c r="W20" s="3"/>
      <c r="X20" s="8">
        <f t="shared" si="6"/>
        <v>6044.0800000000017</v>
      </c>
      <c r="Y20" s="3"/>
      <c r="Z20" s="7">
        <f t="shared" si="7"/>
        <v>7.6146187153612835E-2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1562.34</v>
      </c>
      <c r="E21" s="3"/>
      <c r="F21" s="7">
        <f t="shared" si="0"/>
        <v>0</v>
      </c>
      <c r="G21" s="3"/>
      <c r="H21" s="8">
        <v>580.21</v>
      </c>
      <c r="I21" s="3"/>
      <c r="J21" s="7">
        <f t="shared" si="1"/>
        <v>0</v>
      </c>
      <c r="K21" s="3"/>
      <c r="L21" s="8">
        <f t="shared" si="2"/>
        <v>982.12999999999988</v>
      </c>
      <c r="M21" s="3"/>
      <c r="N21" s="7">
        <f t="shared" si="3"/>
        <v>1.6927147067441095</v>
      </c>
      <c r="O21" s="12"/>
      <c r="P21" s="8">
        <v>16186.39</v>
      </c>
      <c r="Q21" s="3"/>
      <c r="R21" s="7">
        <f t="shared" si="4"/>
        <v>0</v>
      </c>
      <c r="S21" s="3"/>
      <c r="T21" s="8">
        <v>6467.13</v>
      </c>
      <c r="U21" s="3"/>
      <c r="V21" s="7">
        <f t="shared" si="5"/>
        <v>0</v>
      </c>
      <c r="W21" s="3"/>
      <c r="X21" s="8">
        <f t="shared" si="6"/>
        <v>9719.2599999999984</v>
      </c>
      <c r="Y21" s="3"/>
      <c r="Z21" s="7">
        <f t="shared" si="7"/>
        <v>1.5028706706065902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20065.64</v>
      </c>
      <c r="E22" s="3"/>
      <c r="F22" s="7">
        <f t="shared" si="0"/>
        <v>0</v>
      </c>
      <c r="G22" s="3"/>
      <c r="H22" s="8">
        <v>22431.15</v>
      </c>
      <c r="I22" s="3"/>
      <c r="J22" s="7">
        <f t="shared" si="1"/>
        <v>0</v>
      </c>
      <c r="K22" s="3"/>
      <c r="L22" s="8">
        <f t="shared" si="2"/>
        <v>-2365.510000000002</v>
      </c>
      <c r="M22" s="3"/>
      <c r="N22" s="7">
        <f t="shared" si="3"/>
        <v>-0.10545647459002333</v>
      </c>
      <c r="O22" s="12"/>
      <c r="P22" s="8">
        <v>215059.3</v>
      </c>
      <c r="Q22" s="3"/>
      <c r="R22" s="7">
        <f t="shared" si="4"/>
        <v>0</v>
      </c>
      <c r="S22" s="3"/>
      <c r="T22" s="8">
        <v>227692.38</v>
      </c>
      <c r="U22" s="3"/>
      <c r="V22" s="7">
        <f t="shared" si="5"/>
        <v>0</v>
      </c>
      <c r="W22" s="3"/>
      <c r="X22" s="8">
        <f t="shared" si="6"/>
        <v>-12633.080000000016</v>
      </c>
      <c r="Y22" s="3"/>
      <c r="Z22" s="7">
        <f t="shared" si="7"/>
        <v>-5.5483104001987311E-2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276.93</v>
      </c>
      <c r="E23" s="3"/>
      <c r="F23" s="7">
        <f t="shared" si="0"/>
        <v>0</v>
      </c>
      <c r="G23" s="3"/>
      <c r="H23" s="8">
        <v>238.05</v>
      </c>
      <c r="I23" s="3"/>
      <c r="J23" s="7">
        <f t="shared" si="1"/>
        <v>0</v>
      </c>
      <c r="K23" s="3"/>
      <c r="L23" s="8">
        <f t="shared" si="2"/>
        <v>38.879999999999995</v>
      </c>
      <c r="M23" s="3"/>
      <c r="N23" s="7">
        <f t="shared" si="3"/>
        <v>0.16332703213610583</v>
      </c>
      <c r="O23" s="12"/>
      <c r="P23" s="8">
        <v>2871.04</v>
      </c>
      <c r="Q23" s="3"/>
      <c r="R23" s="7">
        <f t="shared" si="4"/>
        <v>0</v>
      </c>
      <c r="S23" s="3"/>
      <c r="T23" s="8">
        <v>2779.87</v>
      </c>
      <c r="U23" s="3"/>
      <c r="V23" s="7">
        <f t="shared" si="5"/>
        <v>0</v>
      </c>
      <c r="W23" s="3"/>
      <c r="X23" s="8">
        <f t="shared" si="6"/>
        <v>91.170000000000073</v>
      </c>
      <c r="Y23" s="3"/>
      <c r="Z23" s="7">
        <f t="shared" si="7"/>
        <v>3.2796497677948996E-2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11170.36</v>
      </c>
      <c r="E24" s="3"/>
      <c r="F24" s="7">
        <f t="shared" si="0"/>
        <v>0</v>
      </c>
      <c r="G24" s="3"/>
      <c r="H24" s="8">
        <v>7812.41</v>
      </c>
      <c r="I24" s="3"/>
      <c r="J24" s="7">
        <f t="shared" si="1"/>
        <v>0</v>
      </c>
      <c r="K24" s="3"/>
      <c r="L24" s="8">
        <f t="shared" si="2"/>
        <v>3357.9500000000007</v>
      </c>
      <c r="M24" s="3"/>
      <c r="N24" s="7">
        <f t="shared" si="3"/>
        <v>0.42982255155579402</v>
      </c>
      <c r="O24" s="12"/>
      <c r="P24" s="8">
        <v>84655.01</v>
      </c>
      <c r="Q24" s="3"/>
      <c r="R24" s="7">
        <f t="shared" si="4"/>
        <v>0</v>
      </c>
      <c r="S24" s="3"/>
      <c r="T24" s="8">
        <v>90187.97</v>
      </c>
      <c r="U24" s="3"/>
      <c r="V24" s="7">
        <f t="shared" si="5"/>
        <v>0</v>
      </c>
      <c r="W24" s="3"/>
      <c r="X24" s="8">
        <f t="shared" si="6"/>
        <v>-5532.9600000000064</v>
      </c>
      <c r="Y24" s="3"/>
      <c r="Z24" s="7">
        <f t="shared" si="7"/>
        <v>-6.1349202116424244E-2</v>
      </c>
    </row>
    <row r="25" spans="1:26" s="69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>
        <v>2219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2219</v>
      </c>
      <c r="M25" s="3"/>
      <c r="N25" s="7">
        <f t="shared" si="3"/>
        <v>0</v>
      </c>
      <c r="O25" s="12"/>
      <c r="P25" s="8">
        <v>4855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4855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7512.05</v>
      </c>
      <c r="E26" s="3"/>
      <c r="F26" s="7">
        <f t="shared" si="0"/>
        <v>0</v>
      </c>
      <c r="G26" s="3"/>
      <c r="H26" s="8">
        <v>491.79</v>
      </c>
      <c r="I26" s="3"/>
      <c r="J26" s="7">
        <f t="shared" si="1"/>
        <v>0</v>
      </c>
      <c r="K26" s="3"/>
      <c r="L26" s="8">
        <f t="shared" si="2"/>
        <v>7020.26</v>
      </c>
      <c r="M26" s="3"/>
      <c r="N26" s="7">
        <f t="shared" si="3"/>
        <v>14.274914089347078</v>
      </c>
      <c r="O26" s="12"/>
      <c r="P26" s="8">
        <v>16837.05</v>
      </c>
      <c r="Q26" s="3"/>
      <c r="R26" s="7">
        <f t="shared" si="4"/>
        <v>0</v>
      </c>
      <c r="S26" s="3"/>
      <c r="T26" s="8">
        <v>7043.78</v>
      </c>
      <c r="U26" s="3"/>
      <c r="V26" s="7">
        <f t="shared" si="5"/>
        <v>0</v>
      </c>
      <c r="W26" s="3"/>
      <c r="X26" s="8">
        <f t="shared" si="6"/>
        <v>9793.27</v>
      </c>
      <c r="Y26" s="3"/>
      <c r="Z26" s="7">
        <f t="shared" si="7"/>
        <v>1.3903429692579838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10154.620000000001</v>
      </c>
      <c r="E27" s="3"/>
      <c r="F27" s="7">
        <f t="shared" si="0"/>
        <v>0</v>
      </c>
      <c r="G27" s="3"/>
      <c r="H27" s="8">
        <v>10001.43</v>
      </c>
      <c r="I27" s="3"/>
      <c r="J27" s="7">
        <f t="shared" si="1"/>
        <v>0</v>
      </c>
      <c r="K27" s="3"/>
      <c r="L27" s="8">
        <f t="shared" si="2"/>
        <v>153.19000000000051</v>
      </c>
      <c r="M27" s="3"/>
      <c r="N27" s="7">
        <f t="shared" si="3"/>
        <v>1.5316809696213492E-2</v>
      </c>
      <c r="O27" s="12"/>
      <c r="P27" s="8">
        <v>85175.14</v>
      </c>
      <c r="Q27" s="3"/>
      <c r="R27" s="7">
        <f t="shared" si="4"/>
        <v>0</v>
      </c>
      <c r="S27" s="3"/>
      <c r="T27" s="8">
        <v>66963.960000000006</v>
      </c>
      <c r="U27" s="3"/>
      <c r="V27" s="7">
        <f t="shared" si="5"/>
        <v>0</v>
      </c>
      <c r="W27" s="3"/>
      <c r="X27" s="8">
        <f t="shared" si="6"/>
        <v>18211.179999999993</v>
      </c>
      <c r="Y27" s="3"/>
      <c r="Z27" s="7">
        <f t="shared" si="7"/>
        <v>0.27195494412218141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6882.81</v>
      </c>
      <c r="E28" s="3"/>
      <c r="F28" s="7">
        <f t="shared" si="0"/>
        <v>0</v>
      </c>
      <c r="G28" s="3"/>
      <c r="H28" s="8">
        <v>6005.28</v>
      </c>
      <c r="I28" s="3"/>
      <c r="J28" s="7">
        <f t="shared" si="1"/>
        <v>0</v>
      </c>
      <c r="K28" s="3"/>
      <c r="L28" s="8">
        <f t="shared" si="2"/>
        <v>877.53000000000065</v>
      </c>
      <c r="M28" s="3"/>
      <c r="N28" s="7">
        <f t="shared" si="3"/>
        <v>0.14612640876029107</v>
      </c>
      <c r="O28" s="12"/>
      <c r="P28" s="8">
        <v>75899.3</v>
      </c>
      <c r="Q28" s="3"/>
      <c r="R28" s="7">
        <f t="shared" si="4"/>
        <v>0</v>
      </c>
      <c r="S28" s="3"/>
      <c r="T28" s="8">
        <v>44924.32</v>
      </c>
      <c r="U28" s="3"/>
      <c r="V28" s="7">
        <f t="shared" si="5"/>
        <v>0</v>
      </c>
      <c r="W28" s="3"/>
      <c r="X28" s="8">
        <f t="shared" si="6"/>
        <v>30974.980000000003</v>
      </c>
      <c r="Y28" s="3"/>
      <c r="Z28" s="7">
        <f t="shared" si="7"/>
        <v>0.68949246198940806</v>
      </c>
    </row>
    <row r="29" spans="1:26" s="69" customFormat="1" ht="15" hidden="1" customHeight="1" outlineLevel="2" x14ac:dyDescent="0.3">
      <c r="A29" s="26"/>
      <c r="B29" s="12" t="str">
        <f>CONCATENATE("          ","6120"," - ","RETIREES HEALTH INSURANCE")</f>
        <v xml:space="preserve">          6120 - RETIREES HEALTH INSURANCE</v>
      </c>
      <c r="C29" s="12"/>
      <c r="D29" s="8">
        <v>25279.919999999998</v>
      </c>
      <c r="E29" s="3"/>
      <c r="F29" s="7">
        <f t="shared" si="0"/>
        <v>0</v>
      </c>
      <c r="G29" s="3"/>
      <c r="H29" s="8">
        <v>28198.66</v>
      </c>
      <c r="I29" s="3"/>
      <c r="J29" s="7">
        <f t="shared" si="1"/>
        <v>0</v>
      </c>
      <c r="K29" s="3"/>
      <c r="L29" s="8">
        <f t="shared" si="2"/>
        <v>-2918.7400000000016</v>
      </c>
      <c r="M29" s="3"/>
      <c r="N29" s="7">
        <f t="shared" si="3"/>
        <v>-0.10350633682593434</v>
      </c>
      <c r="O29" s="12"/>
      <c r="P29" s="8">
        <v>270471.86</v>
      </c>
      <c r="Q29" s="3"/>
      <c r="R29" s="7">
        <f t="shared" si="4"/>
        <v>0</v>
      </c>
      <c r="S29" s="3"/>
      <c r="T29" s="8">
        <v>-104818.56</v>
      </c>
      <c r="U29" s="3"/>
      <c r="V29" s="7">
        <f t="shared" si="5"/>
        <v>0</v>
      </c>
      <c r="W29" s="3"/>
      <c r="X29" s="8">
        <f t="shared" si="6"/>
        <v>375290.42</v>
      </c>
      <c r="Y29" s="3"/>
      <c r="Z29" s="7">
        <f t="shared" si="7"/>
        <v>-3.5803813752068336</v>
      </c>
    </row>
    <row r="30" spans="1:26" s="69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1912.79</v>
      </c>
      <c r="E30" s="3"/>
      <c r="F30" s="7">
        <f t="shared" si="0"/>
        <v>0</v>
      </c>
      <c r="G30" s="3"/>
      <c r="H30" s="8">
        <v>637.84</v>
      </c>
      <c r="I30" s="3"/>
      <c r="J30" s="7">
        <f t="shared" si="1"/>
        <v>0</v>
      </c>
      <c r="K30" s="3"/>
      <c r="L30" s="8">
        <f t="shared" si="2"/>
        <v>1274.9499999999998</v>
      </c>
      <c r="M30" s="3"/>
      <c r="N30" s="7">
        <f t="shared" si="3"/>
        <v>1.9988555123541951</v>
      </c>
      <c r="O30" s="12"/>
      <c r="P30" s="8">
        <v>16036.28</v>
      </c>
      <c r="Q30" s="3"/>
      <c r="R30" s="7">
        <f t="shared" si="4"/>
        <v>0</v>
      </c>
      <c r="S30" s="3"/>
      <c r="T30" s="8">
        <v>6156.77</v>
      </c>
      <c r="U30" s="3"/>
      <c r="V30" s="7">
        <f t="shared" si="5"/>
        <v>0</v>
      </c>
      <c r="W30" s="3"/>
      <c r="X30" s="8">
        <f t="shared" si="6"/>
        <v>9879.51</v>
      </c>
      <c r="Y30" s="3"/>
      <c r="Z30" s="7">
        <f t="shared" si="7"/>
        <v>1.604657961885859</v>
      </c>
    </row>
    <row r="31" spans="1:26" s="68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115973.22</v>
      </c>
      <c r="E31" s="2"/>
      <c r="F31" s="6">
        <f t="shared" si="0"/>
        <v>0</v>
      </c>
      <c r="G31" s="2"/>
      <c r="H31" s="2">
        <f>SUM(OSRRefH22_1x_0)</f>
        <v>97785.8</v>
      </c>
      <c r="I31" s="2"/>
      <c r="J31" s="6">
        <f t="shared" si="1"/>
        <v>0</v>
      </c>
      <c r="K31" s="2"/>
      <c r="L31" s="2">
        <f t="shared" si="2"/>
        <v>18187.419999999998</v>
      </c>
      <c r="M31" s="2"/>
      <c r="N31" s="6">
        <f t="shared" si="3"/>
        <v>0.18599244471078621</v>
      </c>
      <c r="O31" s="14"/>
      <c r="P31" s="2">
        <f>SUM(OSRRefP22_1x_0)</f>
        <v>1047191.74</v>
      </c>
      <c r="Q31" s="2"/>
      <c r="R31" s="6">
        <f t="shared" si="4"/>
        <v>0</v>
      </c>
      <c r="S31" s="2"/>
      <c r="T31" s="2">
        <f>SUM(OSRRefT22_1x_0)</f>
        <v>934029.22</v>
      </c>
      <c r="U31" s="2"/>
      <c r="V31" s="6">
        <f t="shared" si="5"/>
        <v>0</v>
      </c>
      <c r="W31" s="2"/>
      <c r="X31" s="2">
        <f t="shared" si="6"/>
        <v>113162.52000000002</v>
      </c>
      <c r="Y31" s="2"/>
      <c r="Z31" s="6">
        <f t="shared" si="7"/>
        <v>0.12115522467273564</v>
      </c>
    </row>
    <row r="32" spans="1:26" s="69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32185.97</v>
      </c>
      <c r="E32" s="3"/>
      <c r="F32" s="7">
        <f t="shared" si="0"/>
        <v>0</v>
      </c>
      <c r="G32" s="3"/>
      <c r="H32" s="8">
        <v>25516.62</v>
      </c>
      <c r="I32" s="3"/>
      <c r="J32" s="7">
        <f t="shared" si="1"/>
        <v>0</v>
      </c>
      <c r="K32" s="3"/>
      <c r="L32" s="8">
        <f t="shared" si="2"/>
        <v>6669.3500000000022</v>
      </c>
      <c r="M32" s="3"/>
      <c r="N32" s="7">
        <f t="shared" si="3"/>
        <v>0.26137278369940858</v>
      </c>
      <c r="O32" s="12"/>
      <c r="P32" s="8">
        <v>284188.83</v>
      </c>
      <c r="Q32" s="3"/>
      <c r="R32" s="7">
        <f t="shared" si="4"/>
        <v>0</v>
      </c>
      <c r="S32" s="3"/>
      <c r="T32" s="8">
        <v>250457.85</v>
      </c>
      <c r="U32" s="3"/>
      <c r="V32" s="7">
        <f t="shared" si="5"/>
        <v>0</v>
      </c>
      <c r="W32" s="3"/>
      <c r="X32" s="8">
        <f t="shared" si="6"/>
        <v>33730.98000000001</v>
      </c>
      <c r="Y32" s="3"/>
      <c r="Z32" s="7">
        <f t="shared" si="7"/>
        <v>0.1346772720439787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54657.599999999999</v>
      </c>
      <c r="E33" s="3"/>
      <c r="F33" s="7">
        <f t="shared" si="0"/>
        <v>0</v>
      </c>
      <c r="G33" s="3"/>
      <c r="H33" s="8">
        <v>51331.73</v>
      </c>
      <c r="I33" s="3"/>
      <c r="J33" s="7">
        <f t="shared" si="1"/>
        <v>0</v>
      </c>
      <c r="K33" s="3"/>
      <c r="L33" s="8">
        <f t="shared" si="2"/>
        <v>3325.8699999999953</v>
      </c>
      <c r="M33" s="3"/>
      <c r="N33" s="7">
        <f t="shared" si="3"/>
        <v>6.4791699013456105E-2</v>
      </c>
      <c r="O33" s="12"/>
      <c r="P33" s="8">
        <v>510285.8</v>
      </c>
      <c r="Q33" s="3"/>
      <c r="R33" s="7">
        <f t="shared" si="4"/>
        <v>0</v>
      </c>
      <c r="S33" s="3"/>
      <c r="T33" s="8">
        <v>488407.94</v>
      </c>
      <c r="U33" s="3"/>
      <c r="V33" s="7">
        <f t="shared" si="5"/>
        <v>0</v>
      </c>
      <c r="W33" s="3"/>
      <c r="X33" s="8">
        <f t="shared" si="6"/>
        <v>21877.859999999986</v>
      </c>
      <c r="Y33" s="3"/>
      <c r="Z33" s="7">
        <f t="shared" si="7"/>
        <v>4.4794234917638696E-2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27188.59</v>
      </c>
      <c r="E34" s="3"/>
      <c r="F34" s="7">
        <f t="shared" si="0"/>
        <v>0</v>
      </c>
      <c r="G34" s="3"/>
      <c r="H34" s="8">
        <v>18975.900000000001</v>
      </c>
      <c r="I34" s="3"/>
      <c r="J34" s="7">
        <f t="shared" si="1"/>
        <v>0</v>
      </c>
      <c r="K34" s="3"/>
      <c r="L34" s="8">
        <f t="shared" si="2"/>
        <v>8212.6899999999987</v>
      </c>
      <c r="M34" s="3"/>
      <c r="N34" s="7">
        <f t="shared" si="3"/>
        <v>0.43279580942142393</v>
      </c>
      <c r="O34" s="12"/>
      <c r="P34" s="8">
        <v>207988.16</v>
      </c>
      <c r="Q34" s="3"/>
      <c r="R34" s="7">
        <f t="shared" si="4"/>
        <v>0</v>
      </c>
      <c r="S34" s="3"/>
      <c r="T34" s="8">
        <v>173200.71</v>
      </c>
      <c r="U34" s="3"/>
      <c r="V34" s="7">
        <f t="shared" si="5"/>
        <v>0</v>
      </c>
      <c r="W34" s="3"/>
      <c r="X34" s="8">
        <f t="shared" si="6"/>
        <v>34787.450000000012</v>
      </c>
      <c r="Y34" s="3"/>
      <c r="Z34" s="7">
        <f t="shared" si="7"/>
        <v>0.20085050459666137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7701.02</v>
      </c>
      <c r="E35" s="3"/>
      <c r="F35" s="7">
        <f t="shared" si="0"/>
        <v>0</v>
      </c>
      <c r="G35" s="3"/>
      <c r="H35" s="8">
        <v>5393.21</v>
      </c>
      <c r="I35" s="3"/>
      <c r="J35" s="7">
        <f t="shared" si="1"/>
        <v>0</v>
      </c>
      <c r="K35" s="3"/>
      <c r="L35" s="8">
        <f t="shared" si="2"/>
        <v>2307.8100000000004</v>
      </c>
      <c r="M35" s="3"/>
      <c r="N35" s="7">
        <f t="shared" si="3"/>
        <v>0.42791027977772056</v>
      </c>
      <c r="O35" s="12"/>
      <c r="P35" s="8">
        <v>28917.89</v>
      </c>
      <c r="Q35" s="3"/>
      <c r="R35" s="7">
        <f t="shared" si="4"/>
        <v>0</v>
      </c>
      <c r="S35" s="3"/>
      <c r="T35" s="8">
        <v>53333.88</v>
      </c>
      <c r="U35" s="3"/>
      <c r="V35" s="7">
        <f t="shared" si="5"/>
        <v>0</v>
      </c>
      <c r="W35" s="3"/>
      <c r="X35" s="8">
        <f t="shared" si="6"/>
        <v>-24415.989999999998</v>
      </c>
      <c r="Y35" s="3"/>
      <c r="Z35" s="7">
        <f t="shared" si="7"/>
        <v>-0.45779512010001894</v>
      </c>
    </row>
    <row r="36" spans="1:26" s="69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-5759.96</v>
      </c>
      <c r="E36" s="3"/>
      <c r="F36" s="7">
        <f t="shared" si="0"/>
        <v>0</v>
      </c>
      <c r="G36" s="3"/>
      <c r="H36" s="8">
        <v>-4987</v>
      </c>
      <c r="I36" s="3"/>
      <c r="J36" s="7">
        <f t="shared" si="1"/>
        <v>0</v>
      </c>
      <c r="K36" s="3"/>
      <c r="L36" s="8">
        <f t="shared" si="2"/>
        <v>-772.96</v>
      </c>
      <c r="M36" s="3"/>
      <c r="N36" s="7">
        <f t="shared" si="3"/>
        <v>0.15499498696611189</v>
      </c>
      <c r="O36" s="12"/>
      <c r="P36" s="8">
        <v>4335.8599999999997</v>
      </c>
      <c r="Q36" s="3"/>
      <c r="R36" s="7">
        <f t="shared" si="4"/>
        <v>0</v>
      </c>
      <c r="S36" s="3"/>
      <c r="T36" s="8">
        <v>-44841.01</v>
      </c>
      <c r="U36" s="3"/>
      <c r="V36" s="7">
        <f t="shared" si="5"/>
        <v>0</v>
      </c>
      <c r="W36" s="3"/>
      <c r="X36" s="8">
        <f t="shared" si="6"/>
        <v>49176.87</v>
      </c>
      <c r="Y36" s="3"/>
      <c r="Z36" s="7">
        <f t="shared" si="7"/>
        <v>-1.0966940753564649</v>
      </c>
    </row>
    <row r="37" spans="1:26" s="69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1555.34</v>
      </c>
      <c r="I37" s="3"/>
      <c r="J37" s="7">
        <f t="shared" si="1"/>
        <v>0</v>
      </c>
      <c r="K37" s="3"/>
      <c r="L37" s="8">
        <f t="shared" si="2"/>
        <v>-1555.34</v>
      </c>
      <c r="M37" s="3"/>
      <c r="N37" s="7">
        <f t="shared" si="3"/>
        <v>-1</v>
      </c>
      <c r="O37" s="12"/>
      <c r="P37" s="8">
        <v>11475.2</v>
      </c>
      <c r="Q37" s="3"/>
      <c r="R37" s="7">
        <f t="shared" si="4"/>
        <v>0</v>
      </c>
      <c r="S37" s="3"/>
      <c r="T37" s="8">
        <v>13469.85</v>
      </c>
      <c r="U37" s="3"/>
      <c r="V37" s="7">
        <f t="shared" si="5"/>
        <v>0</v>
      </c>
      <c r="W37" s="3"/>
      <c r="X37" s="8">
        <f t="shared" si="6"/>
        <v>-1994.6499999999996</v>
      </c>
      <c r="Y37" s="3"/>
      <c r="Z37" s="7">
        <f t="shared" si="7"/>
        <v>-0.14808256959060417</v>
      </c>
    </row>
    <row r="38" spans="1:26" s="68" customFormat="1" ht="15" customHeight="1" outlineLevel="1" collapsed="1" x14ac:dyDescent="0.3">
      <c r="A38" s="25"/>
      <c r="B38" s="14" t="str">
        <f>CONCATENATE("     ","Advertising/Promo                                 ")</f>
        <v xml:space="preserve">     Advertising/Promo                                 </v>
      </c>
      <c r="C38" s="14"/>
      <c r="D38" s="2">
        <f>SUM(OSRRefD22_2x_0)</f>
        <v>404.74</v>
      </c>
      <c r="E38" s="2"/>
      <c r="F38" s="6">
        <f t="shared" si="0"/>
        <v>0</v>
      </c>
      <c r="G38" s="2"/>
      <c r="H38" s="2">
        <f>SUM(OSRRefH22_2x_0)</f>
        <v>106.3</v>
      </c>
      <c r="I38" s="2"/>
      <c r="J38" s="6">
        <f t="shared" si="1"/>
        <v>0</v>
      </c>
      <c r="K38" s="2"/>
      <c r="L38" s="2">
        <f t="shared" si="2"/>
        <v>298.44</v>
      </c>
      <c r="M38" s="2"/>
      <c r="N38" s="6">
        <f t="shared" si="3"/>
        <v>2.8075258701787393</v>
      </c>
      <c r="O38" s="14"/>
      <c r="P38" s="2">
        <f>SUM(OSRRefP22_2x_0)</f>
        <v>4408.41</v>
      </c>
      <c r="Q38" s="2"/>
      <c r="R38" s="6">
        <f t="shared" si="4"/>
        <v>0</v>
      </c>
      <c r="S38" s="2"/>
      <c r="T38" s="2">
        <f>SUM(OSRRefT22_2x_0)</f>
        <v>1731.99</v>
      </c>
      <c r="U38" s="2"/>
      <c r="V38" s="6">
        <f t="shared" si="5"/>
        <v>0</v>
      </c>
      <c r="W38" s="2"/>
      <c r="X38" s="2">
        <f t="shared" si="6"/>
        <v>2676.42</v>
      </c>
      <c r="Y38" s="2"/>
      <c r="Z38" s="6">
        <f t="shared" si="7"/>
        <v>1.5452860582335926</v>
      </c>
    </row>
    <row r="39" spans="1:26" s="69" customFormat="1" ht="15" hidden="1" customHeight="1" outlineLevel="2" x14ac:dyDescent="0.3">
      <c r="A39" s="26"/>
      <c r="B39" s="12" t="str">
        <f>CONCATENATE("          ","6362"," - ","ADVERTISING EXPENSE")</f>
        <v xml:space="preserve">          6362 - ADVERTISING EXPENSE</v>
      </c>
      <c r="C39" s="12"/>
      <c r="D39" s="8">
        <v>404.74</v>
      </c>
      <c r="E39" s="3"/>
      <c r="F39" s="7">
        <f t="shared" si="0"/>
        <v>0</v>
      </c>
      <c r="G39" s="3"/>
      <c r="H39" s="8">
        <v>106.3</v>
      </c>
      <c r="I39" s="3"/>
      <c r="J39" s="7">
        <f t="shared" si="1"/>
        <v>0</v>
      </c>
      <c r="K39" s="3"/>
      <c r="L39" s="8">
        <f t="shared" si="2"/>
        <v>298.44</v>
      </c>
      <c r="M39" s="3"/>
      <c r="N39" s="7">
        <f t="shared" si="3"/>
        <v>2.8075258701787393</v>
      </c>
      <c r="O39" s="12"/>
      <c r="P39" s="8">
        <v>4408.41</v>
      </c>
      <c r="Q39" s="3"/>
      <c r="R39" s="7">
        <f t="shared" si="4"/>
        <v>0</v>
      </c>
      <c r="S39" s="3"/>
      <c r="T39" s="8">
        <v>1731.99</v>
      </c>
      <c r="U39" s="3"/>
      <c r="V39" s="7">
        <f t="shared" si="5"/>
        <v>0</v>
      </c>
      <c r="W39" s="3"/>
      <c r="X39" s="8">
        <f t="shared" si="6"/>
        <v>2676.42</v>
      </c>
      <c r="Y39" s="3"/>
      <c r="Z39" s="7">
        <f t="shared" si="7"/>
        <v>1.5452860582335926</v>
      </c>
    </row>
    <row r="40" spans="1:26" s="68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SUM(OSRRefD22_3x_0)</f>
        <v>3089.33</v>
      </c>
      <c r="E40" s="2"/>
      <c r="F40" s="6">
        <f t="shared" si="0"/>
        <v>0</v>
      </c>
      <c r="G40" s="2"/>
      <c r="H40" s="2">
        <f>SUM(OSRRefH22_3x_0)</f>
        <v>1863.53</v>
      </c>
      <c r="I40" s="2"/>
      <c r="J40" s="6">
        <f t="shared" si="1"/>
        <v>0</v>
      </c>
      <c r="K40" s="2"/>
      <c r="L40" s="2">
        <f t="shared" si="2"/>
        <v>1225.8</v>
      </c>
      <c r="M40" s="2"/>
      <c r="N40" s="6">
        <f t="shared" si="3"/>
        <v>0.65778388327528936</v>
      </c>
      <c r="O40" s="14"/>
      <c r="P40" s="2">
        <f>SUM(OSRRefP22_3x_0)</f>
        <v>12898.11</v>
      </c>
      <c r="Q40" s="2"/>
      <c r="R40" s="6">
        <f t="shared" si="4"/>
        <v>0</v>
      </c>
      <c r="S40" s="2"/>
      <c r="T40" s="2">
        <f>SUM(OSRRefT22_3x_0)</f>
        <v>6989.07</v>
      </c>
      <c r="U40" s="2"/>
      <c r="V40" s="6">
        <f t="shared" si="5"/>
        <v>0</v>
      </c>
      <c r="W40" s="2"/>
      <c r="X40" s="2">
        <f t="shared" si="6"/>
        <v>5909.0400000000009</v>
      </c>
      <c r="Y40" s="2"/>
      <c r="Z40" s="6">
        <f t="shared" si="7"/>
        <v>0.84546871042928473</v>
      </c>
    </row>
    <row r="41" spans="1:26" s="69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8">
        <v>3089.33</v>
      </c>
      <c r="E41" s="3"/>
      <c r="F41" s="7">
        <f t="shared" si="0"/>
        <v>0</v>
      </c>
      <c r="G41" s="3"/>
      <c r="H41" s="8">
        <v>1863.53</v>
      </c>
      <c r="I41" s="3"/>
      <c r="J41" s="7">
        <f t="shared" si="1"/>
        <v>0</v>
      </c>
      <c r="K41" s="3"/>
      <c r="L41" s="8">
        <f t="shared" si="2"/>
        <v>1225.8</v>
      </c>
      <c r="M41" s="3"/>
      <c r="N41" s="7">
        <f t="shared" si="3"/>
        <v>0.65778388327528936</v>
      </c>
      <c r="O41" s="12"/>
      <c r="P41" s="8">
        <v>12898.11</v>
      </c>
      <c r="Q41" s="3"/>
      <c r="R41" s="7">
        <f t="shared" si="4"/>
        <v>0</v>
      </c>
      <c r="S41" s="3"/>
      <c r="T41" s="8">
        <v>6989.07</v>
      </c>
      <c r="U41" s="3"/>
      <c r="V41" s="7">
        <f t="shared" si="5"/>
        <v>0</v>
      </c>
      <c r="W41" s="3"/>
      <c r="X41" s="8">
        <f t="shared" si="6"/>
        <v>5909.0400000000009</v>
      </c>
      <c r="Y41" s="3"/>
      <c r="Z41" s="7">
        <f t="shared" si="7"/>
        <v>0.84546871042928473</v>
      </c>
    </row>
    <row r="42" spans="1:26" s="68" customFormat="1" ht="15" customHeight="1" outlineLevel="1" collapsed="1" x14ac:dyDescent="0.3">
      <c r="A42" s="25"/>
      <c r="B42" s="14" t="str">
        <f>CONCATENATE("     ","Board                                             ")</f>
        <v xml:space="preserve">     Board                                             </v>
      </c>
      <c r="C42" s="14"/>
      <c r="D42" s="2">
        <f>SUM(OSRRefD22_4x_0)</f>
        <v>3977.62</v>
      </c>
      <c r="E42" s="2"/>
      <c r="F42" s="6">
        <f t="shared" si="0"/>
        <v>0</v>
      </c>
      <c r="G42" s="2"/>
      <c r="H42" s="2">
        <f>SUM(OSRRefH22_4x_0)</f>
        <v>2323.75</v>
      </c>
      <c r="I42" s="2"/>
      <c r="J42" s="6">
        <f t="shared" si="1"/>
        <v>0</v>
      </c>
      <c r="K42" s="2"/>
      <c r="L42" s="2">
        <f t="shared" si="2"/>
        <v>1653.87</v>
      </c>
      <c r="M42" s="2"/>
      <c r="N42" s="6">
        <f t="shared" si="3"/>
        <v>0.71172458310919839</v>
      </c>
      <c r="O42" s="14"/>
      <c r="P42" s="2">
        <f>SUM(OSRRefP22_4x_0)</f>
        <v>18320.64</v>
      </c>
      <c r="Q42" s="2"/>
      <c r="R42" s="6">
        <f t="shared" si="4"/>
        <v>0</v>
      </c>
      <c r="S42" s="2"/>
      <c r="T42" s="2">
        <f>SUM(OSRRefT22_4x_0)</f>
        <v>13155.91</v>
      </c>
      <c r="U42" s="2"/>
      <c r="V42" s="6">
        <f t="shared" si="5"/>
        <v>0</v>
      </c>
      <c r="W42" s="2"/>
      <c r="X42" s="2">
        <f t="shared" si="6"/>
        <v>5164.7299999999996</v>
      </c>
      <c r="Y42" s="2"/>
      <c r="Z42" s="6">
        <f t="shared" si="7"/>
        <v>0.39257869657059069</v>
      </c>
    </row>
    <row r="43" spans="1:26" s="69" customFormat="1" ht="15" hidden="1" customHeight="1" outlineLevel="2" x14ac:dyDescent="0.3">
      <c r="A43" s="26"/>
      <c r="B43" s="12" t="str">
        <f>CONCATENATE("          ","6397"," - ","BOARD EXPENSES")</f>
        <v xml:space="preserve">          6397 - BOARD EXPENSES</v>
      </c>
      <c r="C43" s="12"/>
      <c r="D43" s="8">
        <v>3977.62</v>
      </c>
      <c r="E43" s="3"/>
      <c r="F43" s="7">
        <f t="shared" si="0"/>
        <v>0</v>
      </c>
      <c r="G43" s="3"/>
      <c r="H43" s="8">
        <v>2323.75</v>
      </c>
      <c r="I43" s="3"/>
      <c r="J43" s="7">
        <f t="shared" si="1"/>
        <v>0</v>
      </c>
      <c r="K43" s="3"/>
      <c r="L43" s="8">
        <f t="shared" si="2"/>
        <v>1653.87</v>
      </c>
      <c r="M43" s="3"/>
      <c r="N43" s="7">
        <f t="shared" si="3"/>
        <v>0.71172458310919839</v>
      </c>
      <c r="O43" s="12"/>
      <c r="P43" s="8">
        <v>18320.64</v>
      </c>
      <c r="Q43" s="3"/>
      <c r="R43" s="7">
        <f t="shared" si="4"/>
        <v>0</v>
      </c>
      <c r="S43" s="3"/>
      <c r="T43" s="8">
        <v>13155.91</v>
      </c>
      <c r="U43" s="3"/>
      <c r="V43" s="7">
        <f t="shared" si="5"/>
        <v>0</v>
      </c>
      <c r="W43" s="3"/>
      <c r="X43" s="8">
        <f t="shared" si="6"/>
        <v>5164.7299999999996</v>
      </c>
      <c r="Y43" s="3"/>
      <c r="Z43" s="7">
        <f t="shared" si="7"/>
        <v>0.39257869657059069</v>
      </c>
    </row>
    <row r="44" spans="1:26" s="68" customFormat="1" ht="15" customHeight="1" outlineLevel="1" collapsed="1" x14ac:dyDescent="0.3">
      <c r="A44" s="25"/>
      <c r="B44" s="14" t="str">
        <f>CONCATENATE("     ","Depreciation                                      ")</f>
        <v xml:space="preserve">     Depreciation                                      </v>
      </c>
      <c r="C44" s="14"/>
      <c r="D44" s="2">
        <f>SUM(OSRRefD22_5x_0)</f>
        <v>2455.7600000000002</v>
      </c>
      <c r="E44" s="2"/>
      <c r="F44" s="6">
        <f t="shared" si="0"/>
        <v>0</v>
      </c>
      <c r="G44" s="2"/>
      <c r="H44" s="2">
        <f>SUM(OSRRefH22_5x_0)</f>
        <v>6867.76</v>
      </c>
      <c r="I44" s="2"/>
      <c r="J44" s="6">
        <f t="shared" si="1"/>
        <v>0</v>
      </c>
      <c r="K44" s="2"/>
      <c r="L44" s="2">
        <f t="shared" si="2"/>
        <v>-4412</v>
      </c>
      <c r="M44" s="2"/>
      <c r="N44" s="6">
        <f t="shared" si="3"/>
        <v>-0.64242198329586353</v>
      </c>
      <c r="O44" s="14"/>
      <c r="P44" s="2">
        <f>SUM(OSRRefP22_5x_0)</f>
        <v>45901.04</v>
      </c>
      <c r="Q44" s="2"/>
      <c r="R44" s="6">
        <f t="shared" si="4"/>
        <v>0</v>
      </c>
      <c r="S44" s="2"/>
      <c r="T44" s="2">
        <f>SUM(OSRRefT22_5x_0)</f>
        <v>72147.240000000005</v>
      </c>
      <c r="U44" s="2"/>
      <c r="V44" s="6">
        <f t="shared" si="5"/>
        <v>0</v>
      </c>
      <c r="W44" s="2"/>
      <c r="X44" s="2">
        <f t="shared" si="6"/>
        <v>-26246.200000000004</v>
      </c>
      <c r="Y44" s="2"/>
      <c r="Z44" s="6">
        <f t="shared" si="7"/>
        <v>-0.36378661193415024</v>
      </c>
    </row>
    <row r="45" spans="1:26" s="69" customFormat="1" ht="15" hidden="1" customHeight="1" outlineLevel="2" x14ac:dyDescent="0.3">
      <c r="A45" s="26"/>
      <c r="B45" s="12" t="str">
        <f>CONCATENATE("          ","6322"," - ","EQUIPMENT DEPRECIATION EXPENSE")</f>
        <v xml:space="preserve">          6322 - EQUIPMENT DEPRECIATION EXPENSE</v>
      </c>
      <c r="C45" s="12"/>
      <c r="D45" s="8">
        <v>2455.7600000000002</v>
      </c>
      <c r="E45" s="3"/>
      <c r="F45" s="7">
        <f t="shared" si="0"/>
        <v>0</v>
      </c>
      <c r="G45" s="3"/>
      <c r="H45" s="8">
        <v>6867.76</v>
      </c>
      <c r="I45" s="3"/>
      <c r="J45" s="7">
        <f t="shared" si="1"/>
        <v>0</v>
      </c>
      <c r="K45" s="3"/>
      <c r="L45" s="8">
        <f t="shared" si="2"/>
        <v>-4412</v>
      </c>
      <c r="M45" s="3"/>
      <c r="N45" s="7">
        <f t="shared" si="3"/>
        <v>-0.64242198329586353</v>
      </c>
      <c r="O45" s="12"/>
      <c r="P45" s="8">
        <v>45901.04</v>
      </c>
      <c r="Q45" s="3"/>
      <c r="R45" s="7">
        <f t="shared" si="4"/>
        <v>0</v>
      </c>
      <c r="S45" s="3"/>
      <c r="T45" s="8">
        <v>72147.240000000005</v>
      </c>
      <c r="U45" s="3"/>
      <c r="V45" s="7">
        <f t="shared" si="5"/>
        <v>0</v>
      </c>
      <c r="W45" s="3"/>
      <c r="X45" s="8">
        <f t="shared" si="6"/>
        <v>-26246.200000000004</v>
      </c>
      <c r="Y45" s="3"/>
      <c r="Z45" s="7">
        <f t="shared" si="7"/>
        <v>-0.36378661193415024</v>
      </c>
    </row>
    <row r="46" spans="1:26" s="68" customFormat="1" ht="15" customHeight="1" outlineLevel="1" collapsed="1" x14ac:dyDescent="0.3">
      <c r="A46" s="25"/>
      <c r="B46" s="14" t="str">
        <f>CONCATENATE("     ","Donations                                         ")</f>
        <v xml:space="preserve">     Donations              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1500</v>
      </c>
      <c r="I46" s="2"/>
      <c r="J46" s="6">
        <f t="shared" si="1"/>
        <v>0</v>
      </c>
      <c r="K46" s="2"/>
      <c r="L46" s="2">
        <f t="shared" si="2"/>
        <v>-1500</v>
      </c>
      <c r="M46" s="2"/>
      <c r="N46" s="6">
        <f t="shared" si="3"/>
        <v>-1</v>
      </c>
      <c r="O46" s="14"/>
      <c r="P46" s="2">
        <f>SUM(OSRRefP22_6x_0)</f>
        <v>25300</v>
      </c>
      <c r="Q46" s="2"/>
      <c r="R46" s="6">
        <f t="shared" si="4"/>
        <v>0</v>
      </c>
      <c r="S46" s="2"/>
      <c r="T46" s="2">
        <f>SUM(OSRRefT22_6x_0)</f>
        <v>26500</v>
      </c>
      <c r="U46" s="2"/>
      <c r="V46" s="6">
        <f t="shared" si="5"/>
        <v>0</v>
      </c>
      <c r="W46" s="2"/>
      <c r="X46" s="2">
        <f t="shared" si="6"/>
        <v>-1200</v>
      </c>
      <c r="Y46" s="2"/>
      <c r="Z46" s="6">
        <f t="shared" si="7"/>
        <v>-4.5283018867924525E-2</v>
      </c>
    </row>
    <row r="47" spans="1:26" s="69" customFormat="1" ht="15" hidden="1" customHeight="1" outlineLevel="2" x14ac:dyDescent="0.3">
      <c r="A47" s="26"/>
      <c r="B47" s="12" t="str">
        <f>CONCATENATE("          ","6399"," - ","DONATION-ON CAMPUS")</f>
        <v xml:space="preserve">          6399 - DONATION-ON CAMPUS</v>
      </c>
      <c r="C47" s="12"/>
      <c r="D47" s="8"/>
      <c r="E47" s="3"/>
      <c r="F47" s="7">
        <f t="shared" si="0"/>
        <v>0</v>
      </c>
      <c r="G47" s="3"/>
      <c r="H47" s="8">
        <v>1500</v>
      </c>
      <c r="I47" s="3"/>
      <c r="J47" s="7">
        <f t="shared" si="1"/>
        <v>0</v>
      </c>
      <c r="K47" s="3"/>
      <c r="L47" s="8">
        <f t="shared" si="2"/>
        <v>-1500</v>
      </c>
      <c r="M47" s="3"/>
      <c r="N47" s="7">
        <f t="shared" si="3"/>
        <v>-1</v>
      </c>
      <c r="O47" s="12"/>
      <c r="P47" s="8">
        <v>25300</v>
      </c>
      <c r="Q47" s="3"/>
      <c r="R47" s="7">
        <f t="shared" si="4"/>
        <v>0</v>
      </c>
      <c r="S47" s="3"/>
      <c r="T47" s="8">
        <v>26500</v>
      </c>
      <c r="U47" s="3"/>
      <c r="V47" s="7">
        <f t="shared" si="5"/>
        <v>0</v>
      </c>
      <c r="W47" s="3"/>
      <c r="X47" s="8">
        <f t="shared" si="6"/>
        <v>-1200</v>
      </c>
      <c r="Y47" s="3"/>
      <c r="Z47" s="7">
        <f t="shared" si="7"/>
        <v>-4.5283018867924525E-2</v>
      </c>
    </row>
    <row r="48" spans="1:26" s="68" customFormat="1" ht="15" customHeight="1" outlineLevel="1" collapsed="1" x14ac:dyDescent="0.3">
      <c r="A48" s="25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758.47</v>
      </c>
      <c r="Q48" s="2"/>
      <c r="R48" s="6">
        <f t="shared" si="4"/>
        <v>0</v>
      </c>
      <c r="S48" s="2"/>
      <c r="T48" s="2">
        <f>SUM(OSRRefT22_7x_0)</f>
        <v>81.56</v>
      </c>
      <c r="U48" s="2"/>
      <c r="V48" s="6">
        <f t="shared" si="5"/>
        <v>0</v>
      </c>
      <c r="W48" s="2"/>
      <c r="X48" s="2">
        <f t="shared" si="6"/>
        <v>676.91000000000008</v>
      </c>
      <c r="Y48" s="2"/>
      <c r="Z48" s="6">
        <f t="shared" si="7"/>
        <v>8.2995340853359494</v>
      </c>
    </row>
    <row r="49" spans="1:26" s="69" customFormat="1" ht="15" hidden="1" customHeight="1" outlineLevel="2" x14ac:dyDescent="0.3">
      <c r="A49" s="26"/>
      <c r="B49" s="12" t="str">
        <f>CONCATENATE("          ","6277"," - ","EMPLOYEE APPRECIATION")</f>
        <v xml:space="preserve">          6277 - EMPLOYEE APPRECIATION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758.47</v>
      </c>
      <c r="Q49" s="3"/>
      <c r="R49" s="7">
        <f t="shared" si="4"/>
        <v>0</v>
      </c>
      <c r="S49" s="3"/>
      <c r="T49" s="8">
        <v>81.56</v>
      </c>
      <c r="U49" s="3"/>
      <c r="V49" s="7">
        <f t="shared" si="5"/>
        <v>0</v>
      </c>
      <c r="W49" s="3"/>
      <c r="X49" s="8">
        <f t="shared" si="6"/>
        <v>676.91000000000008</v>
      </c>
      <c r="Y49" s="3"/>
      <c r="Z49" s="7">
        <f t="shared" si="7"/>
        <v>8.2995340853359494</v>
      </c>
    </row>
    <row r="50" spans="1:26" s="68" customFormat="1" ht="15" customHeight="1" outlineLevel="1" collapsed="1" x14ac:dyDescent="0.3">
      <c r="A50" s="25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SUM(OSRRefD22_8x_0)</f>
        <v>208.97</v>
      </c>
      <c r="E50" s="2"/>
      <c r="F50" s="6">
        <f t="shared" ref="F50:F86" si="8">IF(D$12=0,0,D50/D$12)</f>
        <v>0</v>
      </c>
      <c r="G50" s="2"/>
      <c r="H50" s="2">
        <f>SUM(OSRRefH22_8x_0)</f>
        <v>208.97</v>
      </c>
      <c r="I50" s="2"/>
      <c r="J50" s="6">
        <f t="shared" ref="J50:J86" si="9">IF(H$12=0,0,H50/H$12)</f>
        <v>0</v>
      </c>
      <c r="K50" s="2"/>
      <c r="L50" s="2">
        <f t="shared" ref="L50:L86" si="10">+D50-H50</f>
        <v>0</v>
      </c>
      <c r="M50" s="2"/>
      <c r="N50" s="6">
        <f t="shared" ref="N50:N86" si="11">IF(H50=0,0,L50/H50)</f>
        <v>0</v>
      </c>
      <c r="O50" s="14"/>
      <c r="P50" s="2">
        <f>SUM(OSRRefP22_8x_0)</f>
        <v>2089.6999999999998</v>
      </c>
      <c r="Q50" s="2"/>
      <c r="R50" s="6">
        <f t="shared" ref="R50:R86" si="12">IF(P$12=0,0,P50/P$12)</f>
        <v>0</v>
      </c>
      <c r="S50" s="2"/>
      <c r="T50" s="2">
        <f>SUM(OSRRefT22_8x_0)</f>
        <v>2180.96</v>
      </c>
      <c r="U50" s="2"/>
      <c r="V50" s="6">
        <f t="shared" ref="V50:V86" si="13">IF(T$12=0,0,T50/T$12)</f>
        <v>0</v>
      </c>
      <c r="W50" s="2"/>
      <c r="X50" s="2">
        <f t="shared" ref="X50:X86" si="14">+P50-T50</f>
        <v>-91.260000000000218</v>
      </c>
      <c r="Y50" s="2"/>
      <c r="Z50" s="6">
        <f t="shared" ref="Z50:Z86" si="15">IF(T50=0,0,X50/T50)</f>
        <v>-4.1843958623725433E-2</v>
      </c>
    </row>
    <row r="51" spans="1:26" s="69" customFormat="1" ht="15" hidden="1" customHeight="1" outlineLevel="2" x14ac:dyDescent="0.3">
      <c r="A51" s="26"/>
      <c r="B51" s="12" t="str">
        <f>CONCATENATE("          ","6351"," - ","EQUIPMENT RENTAL")</f>
        <v xml:space="preserve">          6351 - EQUIPMENT RENTAL</v>
      </c>
      <c r="C51" s="12"/>
      <c r="D51" s="8">
        <v>208.97</v>
      </c>
      <c r="E51" s="3"/>
      <c r="F51" s="7">
        <f t="shared" si="8"/>
        <v>0</v>
      </c>
      <c r="G51" s="3"/>
      <c r="H51" s="8">
        <v>208.97</v>
      </c>
      <c r="I51" s="3"/>
      <c r="J51" s="7">
        <f t="shared" si="9"/>
        <v>0</v>
      </c>
      <c r="K51" s="3"/>
      <c r="L51" s="8">
        <f t="shared" si="10"/>
        <v>0</v>
      </c>
      <c r="M51" s="3"/>
      <c r="N51" s="7">
        <f t="shared" si="11"/>
        <v>0</v>
      </c>
      <c r="O51" s="12"/>
      <c r="P51" s="8">
        <v>2089.6999999999998</v>
      </c>
      <c r="Q51" s="3"/>
      <c r="R51" s="7">
        <f t="shared" si="12"/>
        <v>0</v>
      </c>
      <c r="S51" s="3"/>
      <c r="T51" s="8">
        <v>2180.96</v>
      </c>
      <c r="U51" s="3"/>
      <c r="V51" s="7">
        <f t="shared" si="13"/>
        <v>0</v>
      </c>
      <c r="W51" s="3"/>
      <c r="X51" s="8">
        <f t="shared" si="14"/>
        <v>-91.260000000000218</v>
      </c>
      <c r="Y51" s="3"/>
      <c r="Z51" s="7">
        <f t="shared" si="15"/>
        <v>-4.1843958623725433E-2</v>
      </c>
    </row>
    <row r="52" spans="1:26" s="68" customFormat="1" ht="15" customHeight="1" outlineLevel="1" collapsed="1" x14ac:dyDescent="0.3">
      <c r="A52" s="25"/>
      <c r="B52" s="14" t="str">
        <f>CONCATENATE("     ","Freight out/Postage                               ")</f>
        <v xml:space="preserve">     Freight out/Postage                               </v>
      </c>
      <c r="C52" s="14"/>
      <c r="D52" s="2">
        <f>SUM(OSRRefD22_9x_0)</f>
        <v>129.9</v>
      </c>
      <c r="E52" s="2"/>
      <c r="F52" s="6">
        <f t="shared" si="8"/>
        <v>0</v>
      </c>
      <c r="G52" s="2"/>
      <c r="H52" s="2">
        <f>SUM(OSRRefH22_9x_0)</f>
        <v>84.75</v>
      </c>
      <c r="I52" s="2"/>
      <c r="J52" s="6">
        <f t="shared" si="9"/>
        <v>0</v>
      </c>
      <c r="K52" s="2"/>
      <c r="L52" s="2">
        <f t="shared" si="10"/>
        <v>45.150000000000006</v>
      </c>
      <c r="M52" s="2"/>
      <c r="N52" s="6">
        <f t="shared" si="11"/>
        <v>0.53274336283185852</v>
      </c>
      <c r="O52" s="14"/>
      <c r="P52" s="2">
        <f>SUM(OSRRefP22_9x_0)</f>
        <v>1627.51</v>
      </c>
      <c r="Q52" s="2"/>
      <c r="R52" s="6">
        <f t="shared" si="12"/>
        <v>0</v>
      </c>
      <c r="S52" s="2"/>
      <c r="T52" s="2">
        <f>SUM(OSRRefT22_9x_0)</f>
        <v>1088.8500000000001</v>
      </c>
      <c r="U52" s="2"/>
      <c r="V52" s="6">
        <f t="shared" si="13"/>
        <v>0</v>
      </c>
      <c r="W52" s="2"/>
      <c r="X52" s="2">
        <f t="shared" si="14"/>
        <v>538.65999999999985</v>
      </c>
      <c r="Y52" s="2"/>
      <c r="Z52" s="6">
        <f t="shared" si="15"/>
        <v>0.49470542315286753</v>
      </c>
    </row>
    <row r="53" spans="1:26" s="69" customFormat="1" ht="15" hidden="1" customHeight="1" outlineLevel="2" x14ac:dyDescent="0.3">
      <c r="A53" s="26"/>
      <c r="B53" s="12" t="str">
        <f>CONCATENATE("          ","6305"," - ","FREIGHT OUT")</f>
        <v xml:space="preserve">          6305 - FREIGHT OUT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/>
      <c r="Q53" s="3"/>
      <c r="R53" s="7">
        <f t="shared" si="12"/>
        <v>0</v>
      </c>
      <c r="S53" s="3"/>
      <c r="T53" s="8">
        <v>5.41</v>
      </c>
      <c r="U53" s="3"/>
      <c r="V53" s="7">
        <f t="shared" si="13"/>
        <v>0</v>
      </c>
      <c r="W53" s="3"/>
      <c r="X53" s="8">
        <f t="shared" si="14"/>
        <v>-5.41</v>
      </c>
      <c r="Y53" s="3"/>
      <c r="Z53" s="7">
        <f t="shared" si="15"/>
        <v>-1</v>
      </c>
    </row>
    <row r="54" spans="1:26" s="69" customFormat="1" ht="15" hidden="1" customHeight="1" outlineLevel="2" x14ac:dyDescent="0.3">
      <c r="A54" s="26"/>
      <c r="B54" s="12" t="str">
        <f>CONCATENATE("          ","6307"," - ","POSTAGE")</f>
        <v xml:space="preserve">          6307 - POSTAGE</v>
      </c>
      <c r="C54" s="12"/>
      <c r="D54" s="8">
        <v>129.9</v>
      </c>
      <c r="E54" s="3"/>
      <c r="F54" s="7">
        <f t="shared" si="8"/>
        <v>0</v>
      </c>
      <c r="G54" s="3"/>
      <c r="H54" s="8">
        <v>84.75</v>
      </c>
      <c r="I54" s="3"/>
      <c r="J54" s="7">
        <f t="shared" si="9"/>
        <v>0</v>
      </c>
      <c r="K54" s="3"/>
      <c r="L54" s="8">
        <f t="shared" si="10"/>
        <v>45.150000000000006</v>
      </c>
      <c r="M54" s="3"/>
      <c r="N54" s="7">
        <f t="shared" si="11"/>
        <v>0.53274336283185852</v>
      </c>
      <c r="O54" s="12"/>
      <c r="P54" s="8">
        <v>1627.51</v>
      </c>
      <c r="Q54" s="3"/>
      <c r="R54" s="7">
        <f t="shared" si="12"/>
        <v>0</v>
      </c>
      <c r="S54" s="3"/>
      <c r="T54" s="8">
        <v>1083.44</v>
      </c>
      <c r="U54" s="3"/>
      <c r="V54" s="7">
        <f t="shared" si="13"/>
        <v>0</v>
      </c>
      <c r="W54" s="3"/>
      <c r="X54" s="8">
        <f t="shared" si="14"/>
        <v>544.06999999999994</v>
      </c>
      <c r="Y54" s="3"/>
      <c r="Z54" s="7">
        <f t="shared" si="15"/>
        <v>0.50216901720445983</v>
      </c>
    </row>
    <row r="55" spans="1:26" s="68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SUM(OSRRefD22_10x_0)</f>
        <v>52.5</v>
      </c>
      <c r="E55" s="2"/>
      <c r="F55" s="6">
        <f t="shared" si="8"/>
        <v>0</v>
      </c>
      <c r="G55" s="2"/>
      <c r="H55" s="2">
        <f>SUM(OSRRefH22_10x_0)</f>
        <v>52</v>
      </c>
      <c r="I55" s="2"/>
      <c r="J55" s="6">
        <f t="shared" si="9"/>
        <v>0</v>
      </c>
      <c r="K55" s="2"/>
      <c r="L55" s="2">
        <f t="shared" si="10"/>
        <v>0.5</v>
      </c>
      <c r="M55" s="2"/>
      <c r="N55" s="6">
        <f t="shared" si="11"/>
        <v>9.6153846153846159E-3</v>
      </c>
      <c r="O55" s="14"/>
      <c r="P55" s="2">
        <f>SUM(OSRRefP22_10x_0)</f>
        <v>1282.03</v>
      </c>
      <c r="Q55" s="2"/>
      <c r="R55" s="6">
        <f t="shared" si="12"/>
        <v>0</v>
      </c>
      <c r="S55" s="2"/>
      <c r="T55" s="2">
        <f>SUM(OSRRefT22_10x_0)</f>
        <v>42.34</v>
      </c>
      <c r="U55" s="2"/>
      <c r="V55" s="6">
        <f t="shared" si="13"/>
        <v>0</v>
      </c>
      <c r="W55" s="2"/>
      <c r="X55" s="2">
        <f t="shared" si="14"/>
        <v>1239.69</v>
      </c>
      <c r="Y55" s="2"/>
      <c r="Z55" s="6">
        <f t="shared" si="15"/>
        <v>29.279404818138875</v>
      </c>
    </row>
    <row r="56" spans="1:26" s="69" customFormat="1" ht="15" hidden="1" customHeight="1" outlineLevel="2" x14ac:dyDescent="0.3">
      <c r="A56" s="26"/>
      <c r="B56" s="12" t="str">
        <f>CONCATENATE("          ","6279"," - ","GENERAL EXPENSE")</f>
        <v xml:space="preserve">          6279 - GENERAL EXPENSE</v>
      </c>
      <c r="C56" s="12"/>
      <c r="D56" s="8">
        <v>52.5</v>
      </c>
      <c r="E56" s="3"/>
      <c r="F56" s="7">
        <f t="shared" si="8"/>
        <v>0</v>
      </c>
      <c r="G56" s="3"/>
      <c r="H56" s="8">
        <v>52</v>
      </c>
      <c r="I56" s="3"/>
      <c r="J56" s="7">
        <f t="shared" si="9"/>
        <v>0</v>
      </c>
      <c r="K56" s="3"/>
      <c r="L56" s="8">
        <f t="shared" si="10"/>
        <v>0.5</v>
      </c>
      <c r="M56" s="3"/>
      <c r="N56" s="7">
        <f t="shared" si="11"/>
        <v>9.6153846153846159E-3</v>
      </c>
      <c r="O56" s="12"/>
      <c r="P56" s="8">
        <v>1282.03</v>
      </c>
      <c r="Q56" s="3"/>
      <c r="R56" s="7">
        <f t="shared" si="12"/>
        <v>0</v>
      </c>
      <c r="S56" s="3"/>
      <c r="T56" s="8">
        <v>42.34</v>
      </c>
      <c r="U56" s="3"/>
      <c r="V56" s="7">
        <f t="shared" si="13"/>
        <v>0</v>
      </c>
      <c r="W56" s="3"/>
      <c r="X56" s="8">
        <f t="shared" si="14"/>
        <v>1239.69</v>
      </c>
      <c r="Y56" s="3"/>
      <c r="Z56" s="7">
        <f t="shared" si="15"/>
        <v>29.279404818138875</v>
      </c>
    </row>
    <row r="57" spans="1:26" s="68" customFormat="1" ht="15" customHeight="1" outlineLevel="1" collapsed="1" x14ac:dyDescent="0.3">
      <c r="A57" s="25"/>
      <c r="B57" s="14" t="str">
        <f>CONCATENATE("     ","Insurance                                         ")</f>
        <v xml:space="preserve">     Insurance                                         </v>
      </c>
      <c r="C57" s="14"/>
      <c r="D57" s="2">
        <f>SUM(OSRRefD22_11x_0)</f>
        <v>535.05999999999995</v>
      </c>
      <c r="E57" s="2"/>
      <c r="F57" s="6">
        <f t="shared" si="8"/>
        <v>0</v>
      </c>
      <c r="G57" s="2"/>
      <c r="H57" s="2">
        <f>SUM(OSRRefH22_11x_0)</f>
        <v>393.67</v>
      </c>
      <c r="I57" s="2"/>
      <c r="J57" s="6">
        <f t="shared" si="9"/>
        <v>0</v>
      </c>
      <c r="K57" s="2"/>
      <c r="L57" s="2">
        <f t="shared" si="10"/>
        <v>141.38999999999993</v>
      </c>
      <c r="M57" s="2"/>
      <c r="N57" s="6">
        <f t="shared" si="11"/>
        <v>0.35915868620926139</v>
      </c>
      <c r="O57" s="14"/>
      <c r="P57" s="2">
        <f>SUM(OSRRefP22_11x_0)</f>
        <v>5350.6</v>
      </c>
      <c r="Q57" s="2"/>
      <c r="R57" s="6">
        <f t="shared" si="12"/>
        <v>0</v>
      </c>
      <c r="S57" s="2"/>
      <c r="T57" s="2">
        <f>SUM(OSRRefT22_11x_0)</f>
        <v>3936.7</v>
      </c>
      <c r="U57" s="2"/>
      <c r="V57" s="6">
        <f t="shared" si="13"/>
        <v>0</v>
      </c>
      <c r="W57" s="2"/>
      <c r="X57" s="2">
        <f t="shared" si="14"/>
        <v>1413.9000000000005</v>
      </c>
      <c r="Y57" s="2"/>
      <c r="Z57" s="6">
        <f t="shared" si="15"/>
        <v>0.35915868620926172</v>
      </c>
    </row>
    <row r="58" spans="1:26" s="69" customFormat="1" ht="15" hidden="1" customHeight="1" outlineLevel="2" x14ac:dyDescent="0.3">
      <c r="A58" s="26"/>
      <c r="B58" s="12" t="str">
        <f>CONCATENATE("          ","6314"," - ","LIABILITY INSURANCE")</f>
        <v xml:space="preserve">          6314 - LIABILITY INSURANCE</v>
      </c>
      <c r="C58" s="12"/>
      <c r="D58" s="8">
        <v>535.05999999999995</v>
      </c>
      <c r="E58" s="3"/>
      <c r="F58" s="7">
        <f t="shared" si="8"/>
        <v>0</v>
      </c>
      <c r="G58" s="3"/>
      <c r="H58" s="8">
        <v>393.67</v>
      </c>
      <c r="I58" s="3"/>
      <c r="J58" s="7">
        <f t="shared" si="9"/>
        <v>0</v>
      </c>
      <c r="K58" s="3"/>
      <c r="L58" s="8">
        <f t="shared" si="10"/>
        <v>141.38999999999993</v>
      </c>
      <c r="M58" s="3"/>
      <c r="N58" s="7">
        <f t="shared" si="11"/>
        <v>0.35915868620926139</v>
      </c>
      <c r="O58" s="12"/>
      <c r="P58" s="8">
        <v>5350.6</v>
      </c>
      <c r="Q58" s="3"/>
      <c r="R58" s="7">
        <f t="shared" si="12"/>
        <v>0</v>
      </c>
      <c r="S58" s="3"/>
      <c r="T58" s="8">
        <v>3936.7</v>
      </c>
      <c r="U58" s="3"/>
      <c r="V58" s="7">
        <f t="shared" si="13"/>
        <v>0</v>
      </c>
      <c r="W58" s="3"/>
      <c r="X58" s="8">
        <f t="shared" si="14"/>
        <v>1413.9000000000005</v>
      </c>
      <c r="Y58" s="3"/>
      <c r="Z58" s="7">
        <f t="shared" si="15"/>
        <v>0.35915868620926172</v>
      </c>
    </row>
    <row r="59" spans="1:26" s="68" customFormat="1" ht="15" customHeight="1" outlineLevel="1" collapsed="1" x14ac:dyDescent="0.3">
      <c r="A59" s="25"/>
      <c r="B59" s="14" t="str">
        <f>CONCATENATE("     ","Professional Services                             ")</f>
        <v xml:space="preserve">     Professional Services                             </v>
      </c>
      <c r="C59" s="14"/>
      <c r="D59" s="2">
        <f>SUM(OSRRefD22_12x_0)</f>
        <v>10724.63</v>
      </c>
      <c r="E59" s="2"/>
      <c r="F59" s="6">
        <f t="shared" si="8"/>
        <v>0</v>
      </c>
      <c r="G59" s="2"/>
      <c r="H59" s="2">
        <f>SUM(OSRRefH22_12x_0)</f>
        <v>13240.75</v>
      </c>
      <c r="I59" s="2"/>
      <c r="J59" s="6">
        <f t="shared" si="9"/>
        <v>0</v>
      </c>
      <c r="K59" s="2"/>
      <c r="L59" s="2">
        <f t="shared" si="10"/>
        <v>-2516.1200000000008</v>
      </c>
      <c r="M59" s="2"/>
      <c r="N59" s="6">
        <f t="shared" si="11"/>
        <v>-0.19002851046957317</v>
      </c>
      <c r="O59" s="14"/>
      <c r="P59" s="2">
        <f>SUM(OSRRefP22_12x_0)</f>
        <v>109938.89</v>
      </c>
      <c r="Q59" s="2"/>
      <c r="R59" s="6">
        <f t="shared" si="12"/>
        <v>0</v>
      </c>
      <c r="S59" s="2"/>
      <c r="T59" s="2">
        <f>SUM(OSRRefT22_12x_0)</f>
        <v>107422.12000000001</v>
      </c>
      <c r="U59" s="2"/>
      <c r="V59" s="6">
        <f t="shared" si="13"/>
        <v>0</v>
      </c>
      <c r="W59" s="2"/>
      <c r="X59" s="2">
        <f t="shared" si="14"/>
        <v>2516.7699999999895</v>
      </c>
      <c r="Y59" s="2"/>
      <c r="Z59" s="6">
        <f t="shared" si="15"/>
        <v>2.3428787292598483E-2</v>
      </c>
    </row>
    <row r="60" spans="1:26" s="69" customFormat="1" ht="15" hidden="1" customHeight="1" outlineLevel="2" x14ac:dyDescent="0.3">
      <c r="A60" s="26"/>
      <c r="B60" s="12" t="str">
        <f>CONCATENATE("          ","6331"," - ","INDIRECT COSTS-AUXILIARY ORGAN")</f>
        <v xml:space="preserve">          6331 - INDIRECT COSTS-AUXILIARY ORGAN</v>
      </c>
      <c r="C60" s="12"/>
      <c r="D60" s="8">
        <v>10337.75</v>
      </c>
      <c r="E60" s="3"/>
      <c r="F60" s="7">
        <f t="shared" si="8"/>
        <v>0</v>
      </c>
      <c r="G60" s="3"/>
      <c r="H60" s="8">
        <v>11585.75</v>
      </c>
      <c r="I60" s="3"/>
      <c r="J60" s="7">
        <f t="shared" si="9"/>
        <v>0</v>
      </c>
      <c r="K60" s="3"/>
      <c r="L60" s="8">
        <f t="shared" si="10"/>
        <v>-1248</v>
      </c>
      <c r="M60" s="3"/>
      <c r="N60" s="7">
        <f t="shared" si="11"/>
        <v>-0.10771853354336146</v>
      </c>
      <c r="O60" s="12"/>
      <c r="P60" s="8">
        <v>89851</v>
      </c>
      <c r="Q60" s="3"/>
      <c r="R60" s="7">
        <f t="shared" si="12"/>
        <v>0</v>
      </c>
      <c r="S60" s="3"/>
      <c r="T60" s="8">
        <v>92418</v>
      </c>
      <c r="U60" s="3"/>
      <c r="V60" s="7">
        <f t="shared" si="13"/>
        <v>0</v>
      </c>
      <c r="W60" s="3"/>
      <c r="X60" s="8">
        <f t="shared" si="14"/>
        <v>-2567</v>
      </c>
      <c r="Y60" s="3"/>
      <c r="Z60" s="7">
        <f t="shared" si="15"/>
        <v>-2.7775974377285809E-2</v>
      </c>
    </row>
    <row r="61" spans="1:26" s="69" customFormat="1" ht="15" hidden="1" customHeight="1" outlineLevel="2" x14ac:dyDescent="0.3">
      <c r="A61" s="26"/>
      <c r="B61" s="12" t="str">
        <f>CONCATENATE("          ","6334"," - ","LEGAL COUNCIL EXPENSE")</f>
        <v xml:space="preserve">          6334 - LEGAL COUNCIL EXPENSE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3455</v>
      </c>
      <c r="Q61" s="3"/>
      <c r="R61" s="7">
        <f t="shared" si="12"/>
        <v>0</v>
      </c>
      <c r="S61" s="3"/>
      <c r="T61" s="8">
        <v>6979.24</v>
      </c>
      <c r="U61" s="3"/>
      <c r="V61" s="7">
        <f t="shared" si="13"/>
        <v>0</v>
      </c>
      <c r="W61" s="3"/>
      <c r="X61" s="8">
        <f t="shared" si="14"/>
        <v>-3524.24</v>
      </c>
      <c r="Y61" s="3"/>
      <c r="Z61" s="7">
        <f t="shared" si="15"/>
        <v>-0.5049604254904545</v>
      </c>
    </row>
    <row r="62" spans="1:26" s="69" customFormat="1" ht="15" hidden="1" customHeight="1" outlineLevel="2" x14ac:dyDescent="0.3">
      <c r="A62" s="26"/>
      <c r="B62" s="12" t="str">
        <f>CONCATENATE("          ","6336"," - ","PROFESSIONAL SERVICES")</f>
        <v xml:space="preserve">          6336 - PROFESSIONAL SERVICES</v>
      </c>
      <c r="C62" s="12"/>
      <c r="D62" s="8">
        <v>386.88</v>
      </c>
      <c r="E62" s="3"/>
      <c r="F62" s="7">
        <f t="shared" si="8"/>
        <v>0</v>
      </c>
      <c r="G62" s="3"/>
      <c r="H62" s="8">
        <v>1655</v>
      </c>
      <c r="I62" s="3"/>
      <c r="J62" s="7">
        <f t="shared" si="9"/>
        <v>0</v>
      </c>
      <c r="K62" s="3"/>
      <c r="L62" s="8">
        <f t="shared" si="10"/>
        <v>-1268.1199999999999</v>
      </c>
      <c r="M62" s="3"/>
      <c r="N62" s="7">
        <f t="shared" si="11"/>
        <v>-0.76623564954682777</v>
      </c>
      <c r="O62" s="12"/>
      <c r="P62" s="8">
        <v>16632.89</v>
      </c>
      <c r="Q62" s="3"/>
      <c r="R62" s="7">
        <f t="shared" si="12"/>
        <v>0</v>
      </c>
      <c r="S62" s="3"/>
      <c r="T62" s="8">
        <v>8024.88</v>
      </c>
      <c r="U62" s="3"/>
      <c r="V62" s="7">
        <f t="shared" si="13"/>
        <v>0</v>
      </c>
      <c r="W62" s="3"/>
      <c r="X62" s="8">
        <f t="shared" si="14"/>
        <v>8608.0099999999984</v>
      </c>
      <c r="Y62" s="3"/>
      <c r="Z62" s="7">
        <f t="shared" si="15"/>
        <v>1.0726652610381711</v>
      </c>
    </row>
    <row r="63" spans="1:26" s="68" customFormat="1" ht="15" customHeight="1" outlineLevel="1" collapsed="1" x14ac:dyDescent="0.3">
      <c r="A63" s="25"/>
      <c r="B63" s="14" t="str">
        <f>CONCATENATE("     ","Repair and Maintenance                            ")</f>
        <v xml:space="preserve">     Repair and Maintenance                            </v>
      </c>
      <c r="C63" s="14"/>
      <c r="D63" s="2">
        <f>SUM(OSRRefD22_13x_0)</f>
        <v>21385.59</v>
      </c>
      <c r="E63" s="2"/>
      <c r="F63" s="6">
        <f t="shared" si="8"/>
        <v>0</v>
      </c>
      <c r="G63" s="2"/>
      <c r="H63" s="2">
        <f>SUM(OSRRefH22_13x_0)</f>
        <v>21727.52</v>
      </c>
      <c r="I63" s="2"/>
      <c r="J63" s="6">
        <f t="shared" si="9"/>
        <v>0</v>
      </c>
      <c r="K63" s="2"/>
      <c r="L63" s="2">
        <f t="shared" si="10"/>
        <v>-341.93000000000029</v>
      </c>
      <c r="M63" s="2"/>
      <c r="N63" s="6">
        <f t="shared" si="11"/>
        <v>-1.57371849157198E-2</v>
      </c>
      <c r="O63" s="14"/>
      <c r="P63" s="2">
        <f>SUM(OSRRefP22_13x_0)</f>
        <v>240713.84</v>
      </c>
      <c r="Q63" s="2"/>
      <c r="R63" s="6">
        <f t="shared" si="12"/>
        <v>0</v>
      </c>
      <c r="S63" s="2"/>
      <c r="T63" s="2">
        <f>SUM(OSRRefT22_13x_0)</f>
        <v>244325.63999999998</v>
      </c>
      <c r="U63" s="2"/>
      <c r="V63" s="6">
        <f t="shared" si="13"/>
        <v>0</v>
      </c>
      <c r="W63" s="2"/>
      <c r="X63" s="2">
        <f t="shared" si="14"/>
        <v>-3611.7999999999884</v>
      </c>
      <c r="Y63" s="2"/>
      <c r="Z63" s="6">
        <f t="shared" si="15"/>
        <v>-1.4782730130165581E-2</v>
      </c>
    </row>
    <row r="64" spans="1:26" s="69" customFormat="1" ht="15" hidden="1" customHeight="1" outlineLevel="2" x14ac:dyDescent="0.3">
      <c r="A64" s="26"/>
      <c r="B64" s="12" t="str">
        <f>CONCATENATE("          ","6371"," - ","COMPUTER SOFTWARE MAINTENANCE")</f>
        <v xml:space="preserve">          6371 - COMPUTER SOFTWARE MAINTENANCE</v>
      </c>
      <c r="C64" s="12"/>
      <c r="D64" s="8">
        <v>8317.7000000000007</v>
      </c>
      <c r="E64" s="3"/>
      <c r="F64" s="7">
        <f t="shared" si="8"/>
        <v>0</v>
      </c>
      <c r="G64" s="3"/>
      <c r="H64" s="8">
        <v>5878.21</v>
      </c>
      <c r="I64" s="3"/>
      <c r="J64" s="7">
        <f t="shared" si="9"/>
        <v>0</v>
      </c>
      <c r="K64" s="3"/>
      <c r="L64" s="8">
        <f t="shared" si="10"/>
        <v>2439.4900000000007</v>
      </c>
      <c r="M64" s="3"/>
      <c r="N64" s="7">
        <f t="shared" si="11"/>
        <v>0.41500558843593555</v>
      </c>
      <c r="O64" s="12"/>
      <c r="P64" s="8">
        <v>105462.5</v>
      </c>
      <c r="Q64" s="3"/>
      <c r="R64" s="7">
        <f t="shared" si="12"/>
        <v>0</v>
      </c>
      <c r="S64" s="3"/>
      <c r="T64" s="8">
        <v>87166.720000000001</v>
      </c>
      <c r="U64" s="3"/>
      <c r="V64" s="7">
        <f t="shared" si="13"/>
        <v>0</v>
      </c>
      <c r="W64" s="3"/>
      <c r="X64" s="8">
        <f t="shared" si="14"/>
        <v>18295.78</v>
      </c>
      <c r="Y64" s="3"/>
      <c r="Z64" s="7">
        <f t="shared" si="15"/>
        <v>0.20989409719672827</v>
      </c>
    </row>
    <row r="65" spans="1:26" s="69" customFormat="1" ht="15" hidden="1" customHeight="1" outlineLevel="2" x14ac:dyDescent="0.3">
      <c r="A65" s="26"/>
      <c r="B65" s="12" t="str">
        <f>CONCATENATE("          ","6372"," - ","COMPUTER HARDWARE MAINTENANCE")</f>
        <v xml:space="preserve">          6372 - COMPUTER HARDWARE MAINTENANCE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4760.47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4760.47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8">
        <v>13067.89</v>
      </c>
      <c r="E66" s="3"/>
      <c r="F66" s="7">
        <f t="shared" si="8"/>
        <v>0</v>
      </c>
      <c r="G66" s="3"/>
      <c r="H66" s="8">
        <v>15799.19</v>
      </c>
      <c r="I66" s="3"/>
      <c r="J66" s="7">
        <f t="shared" si="9"/>
        <v>0</v>
      </c>
      <c r="K66" s="3"/>
      <c r="L66" s="8">
        <f t="shared" si="10"/>
        <v>-2731.3000000000011</v>
      </c>
      <c r="M66" s="3"/>
      <c r="N66" s="7">
        <f t="shared" si="11"/>
        <v>-0.17287595123547481</v>
      </c>
      <c r="O66" s="12"/>
      <c r="P66" s="8">
        <v>128636.18</v>
      </c>
      <c r="Q66" s="3"/>
      <c r="R66" s="7">
        <f t="shared" si="12"/>
        <v>0</v>
      </c>
      <c r="S66" s="3"/>
      <c r="T66" s="8">
        <v>154811.49</v>
      </c>
      <c r="U66" s="3"/>
      <c r="V66" s="7">
        <f t="shared" si="13"/>
        <v>0</v>
      </c>
      <c r="W66" s="3"/>
      <c r="X66" s="8">
        <f t="shared" si="14"/>
        <v>-26175.309999999998</v>
      </c>
      <c r="Y66" s="3"/>
      <c r="Z66" s="7">
        <f t="shared" si="15"/>
        <v>-0.16907860004447989</v>
      </c>
    </row>
    <row r="67" spans="1:26" s="69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8">
        <v>0</v>
      </c>
      <c r="E67" s="3"/>
      <c r="F67" s="7">
        <f t="shared" si="8"/>
        <v>0</v>
      </c>
      <c r="G67" s="3"/>
      <c r="H67" s="8">
        <v>50.12</v>
      </c>
      <c r="I67" s="3"/>
      <c r="J67" s="7">
        <f t="shared" si="9"/>
        <v>0</v>
      </c>
      <c r="K67" s="3"/>
      <c r="L67" s="8">
        <f t="shared" si="10"/>
        <v>-50.12</v>
      </c>
      <c r="M67" s="3"/>
      <c r="N67" s="7">
        <f t="shared" si="11"/>
        <v>-1</v>
      </c>
      <c r="O67" s="12"/>
      <c r="P67" s="8">
        <v>1854.69</v>
      </c>
      <c r="Q67" s="3"/>
      <c r="R67" s="7">
        <f t="shared" si="12"/>
        <v>0</v>
      </c>
      <c r="S67" s="3"/>
      <c r="T67" s="8">
        <v>2347.4299999999998</v>
      </c>
      <c r="U67" s="3"/>
      <c r="V67" s="7">
        <f t="shared" si="13"/>
        <v>0</v>
      </c>
      <c r="W67" s="3"/>
      <c r="X67" s="8">
        <f t="shared" si="14"/>
        <v>-492.73999999999978</v>
      </c>
      <c r="Y67" s="3"/>
      <c r="Z67" s="7">
        <f t="shared" si="15"/>
        <v>-0.209906152686129</v>
      </c>
    </row>
    <row r="68" spans="1:26" s="68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SUM(OSRRefD22_14x_0)</f>
        <v>0</v>
      </c>
      <c r="E68" s="2"/>
      <c r="F68" s="6">
        <f t="shared" si="8"/>
        <v>0</v>
      </c>
      <c r="G68" s="2"/>
      <c r="H68" s="2">
        <f>SUM(OSRRefH22_14x_0)</f>
        <v>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8104.68</v>
      </c>
      <c r="Q68" s="2"/>
      <c r="R68" s="6">
        <f t="shared" si="12"/>
        <v>0</v>
      </c>
      <c r="S68" s="2"/>
      <c r="T68" s="2">
        <f>SUM(OSRRefT22_14x_0)</f>
        <v>5580.34</v>
      </c>
      <c r="U68" s="2"/>
      <c r="V68" s="6">
        <f t="shared" si="13"/>
        <v>0</v>
      </c>
      <c r="W68" s="2"/>
      <c r="X68" s="2">
        <f t="shared" si="14"/>
        <v>2524.34</v>
      </c>
      <c r="Y68" s="2"/>
      <c r="Z68" s="6">
        <f t="shared" si="15"/>
        <v>0.45236311765949744</v>
      </c>
    </row>
    <row r="69" spans="1:26" s="69" customFormat="1" ht="15" hidden="1" customHeight="1" outlineLevel="2" x14ac:dyDescent="0.3">
      <c r="A69" s="26"/>
      <c r="B69" s="12" t="str">
        <f>CONCATENATE("          ","6281"," - ","STORAGE FEE")</f>
        <v xml:space="preserve">          6281 - STORAGE FEE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8104.68</v>
      </c>
      <c r="Q69" s="3"/>
      <c r="R69" s="7">
        <f t="shared" si="12"/>
        <v>0</v>
      </c>
      <c r="S69" s="3"/>
      <c r="T69" s="8">
        <v>5580.34</v>
      </c>
      <c r="U69" s="3"/>
      <c r="V69" s="7">
        <f t="shared" si="13"/>
        <v>0</v>
      </c>
      <c r="W69" s="3"/>
      <c r="X69" s="8">
        <f t="shared" si="14"/>
        <v>2524.34</v>
      </c>
      <c r="Y69" s="3"/>
      <c r="Z69" s="7">
        <f t="shared" si="15"/>
        <v>0.45236311765949744</v>
      </c>
    </row>
    <row r="70" spans="1:26" s="68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SUM(OSRRefD22_15x_0)</f>
        <v>3847</v>
      </c>
      <c r="E70" s="2"/>
      <c r="F70" s="6">
        <f t="shared" si="8"/>
        <v>0</v>
      </c>
      <c r="G70" s="2"/>
      <c r="H70" s="2">
        <f>SUM(OSRRefH22_15x_0)</f>
        <v>4668</v>
      </c>
      <c r="I70" s="2"/>
      <c r="J70" s="6">
        <f t="shared" si="9"/>
        <v>0</v>
      </c>
      <c r="K70" s="2"/>
      <c r="L70" s="2">
        <f t="shared" si="10"/>
        <v>-821</v>
      </c>
      <c r="M70" s="2"/>
      <c r="N70" s="6">
        <f t="shared" si="11"/>
        <v>-0.1758783204798629</v>
      </c>
      <c r="O70" s="14"/>
      <c r="P70" s="2">
        <f>SUM(OSRRefP22_15x_0)</f>
        <v>8352.9</v>
      </c>
      <c r="Q70" s="2"/>
      <c r="R70" s="6">
        <f t="shared" si="12"/>
        <v>0</v>
      </c>
      <c r="S70" s="2"/>
      <c r="T70" s="2">
        <f>SUM(OSRRefT22_15x_0)</f>
        <v>7722.99</v>
      </c>
      <c r="U70" s="2"/>
      <c r="V70" s="6">
        <f t="shared" si="13"/>
        <v>0</v>
      </c>
      <c r="W70" s="2"/>
      <c r="X70" s="2">
        <f t="shared" si="14"/>
        <v>629.90999999999985</v>
      </c>
      <c r="Y70" s="2"/>
      <c r="Z70" s="6">
        <f t="shared" si="15"/>
        <v>8.1562969782428815E-2</v>
      </c>
    </row>
    <row r="71" spans="1:26" s="69" customFormat="1" ht="15" hidden="1" customHeight="1" outlineLevel="2" x14ac:dyDescent="0.3">
      <c r="A71" s="26"/>
      <c r="B71" s="12" t="str">
        <f>CONCATENATE("          ","6258"," - ","MEMBERSHIP DUES")</f>
        <v xml:space="preserve">          6258 - MEMBERSHIP DUES</v>
      </c>
      <c r="C71" s="12"/>
      <c r="D71" s="8">
        <v>3847</v>
      </c>
      <c r="E71" s="3"/>
      <c r="F71" s="7">
        <f t="shared" si="8"/>
        <v>0</v>
      </c>
      <c r="G71" s="3"/>
      <c r="H71" s="8">
        <v>4668</v>
      </c>
      <c r="I71" s="3"/>
      <c r="J71" s="7">
        <f t="shared" si="9"/>
        <v>0</v>
      </c>
      <c r="K71" s="3"/>
      <c r="L71" s="8">
        <f t="shared" si="10"/>
        <v>-821</v>
      </c>
      <c r="M71" s="3"/>
      <c r="N71" s="7">
        <f t="shared" si="11"/>
        <v>-0.1758783204798629</v>
      </c>
      <c r="O71" s="12"/>
      <c r="P71" s="8">
        <v>7074</v>
      </c>
      <c r="Q71" s="3"/>
      <c r="R71" s="7">
        <f t="shared" si="12"/>
        <v>0</v>
      </c>
      <c r="S71" s="3"/>
      <c r="T71" s="8">
        <v>7722.99</v>
      </c>
      <c r="U71" s="3"/>
      <c r="V71" s="7">
        <f t="shared" si="13"/>
        <v>0</v>
      </c>
      <c r="W71" s="3"/>
      <c r="X71" s="8">
        <f t="shared" si="14"/>
        <v>-648.98999999999978</v>
      </c>
      <c r="Y71" s="3"/>
      <c r="Z71" s="7">
        <f t="shared" si="15"/>
        <v>-8.4033515516658677E-2</v>
      </c>
    </row>
    <row r="72" spans="1:26" s="69" customFormat="1" ht="15" hidden="1" customHeight="1" outlineLevel="2" x14ac:dyDescent="0.3">
      <c r="A72" s="26"/>
      <c r="B72" s="12" t="str">
        <f>CONCATENATE("          ","6275"," - ","SUBSCRIPTIONS")</f>
        <v xml:space="preserve">          6275 - SUBSCRIPTIONS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1278.9000000000001</v>
      </c>
      <c r="Q72" s="3"/>
      <c r="R72" s="7">
        <f t="shared" si="12"/>
        <v>0</v>
      </c>
      <c r="S72" s="3"/>
      <c r="T72" s="8"/>
      <c r="U72" s="3"/>
      <c r="V72" s="7">
        <f t="shared" si="13"/>
        <v>0</v>
      </c>
      <c r="W72" s="3"/>
      <c r="X72" s="8">
        <f t="shared" si="14"/>
        <v>1278.9000000000001</v>
      </c>
      <c r="Y72" s="3"/>
      <c r="Z72" s="7">
        <f t="shared" si="15"/>
        <v>0</v>
      </c>
    </row>
    <row r="73" spans="1:26" s="68" customFormat="1" ht="15" customHeight="1" outlineLevel="1" collapsed="1" x14ac:dyDescent="0.3">
      <c r="A73" s="25"/>
      <c r="B73" s="14" t="str">
        <f>CONCATENATE("     ","Supplies                                          ")</f>
        <v xml:space="preserve">     Supplies                                          </v>
      </c>
      <c r="C73" s="14"/>
      <c r="D73" s="2">
        <f>SUM(OSRRefD22_16x_0)</f>
        <v>1188.9299999999998</v>
      </c>
      <c r="E73" s="2"/>
      <c r="F73" s="6">
        <f t="shared" si="8"/>
        <v>0</v>
      </c>
      <c r="G73" s="2"/>
      <c r="H73" s="2">
        <f>SUM(OSRRefH22_16x_0)</f>
        <v>251.76</v>
      </c>
      <c r="I73" s="2"/>
      <c r="J73" s="6">
        <f t="shared" si="9"/>
        <v>0</v>
      </c>
      <c r="K73" s="2"/>
      <c r="L73" s="2">
        <f t="shared" si="10"/>
        <v>937.16999999999985</v>
      </c>
      <c r="M73" s="2"/>
      <c r="N73" s="6">
        <f t="shared" si="11"/>
        <v>3.7224737845567204</v>
      </c>
      <c r="O73" s="14"/>
      <c r="P73" s="2">
        <f>SUM(OSRRefP22_16x_0)</f>
        <v>45112.800000000003</v>
      </c>
      <c r="Q73" s="2"/>
      <c r="R73" s="6">
        <f t="shared" si="12"/>
        <v>0</v>
      </c>
      <c r="S73" s="2"/>
      <c r="T73" s="2">
        <f>SUM(OSRRefT22_16x_0)</f>
        <v>3606.3</v>
      </c>
      <c r="U73" s="2"/>
      <c r="V73" s="6">
        <f t="shared" si="13"/>
        <v>0</v>
      </c>
      <c r="W73" s="2"/>
      <c r="X73" s="2">
        <f t="shared" si="14"/>
        <v>41506.5</v>
      </c>
      <c r="Y73" s="2"/>
      <c r="Z73" s="6">
        <f t="shared" si="15"/>
        <v>11.509441810165542</v>
      </c>
    </row>
    <row r="74" spans="1:26" s="69" customFormat="1" ht="15" hidden="1" customHeight="1" outlineLevel="2" x14ac:dyDescent="0.3">
      <c r="A74" s="26"/>
      <c r="B74" s="12" t="str">
        <f>CONCATENATE("          ","6234"," - ","EXPENDABLE SUPPLIES &amp; EQUIPMEN")</f>
        <v xml:space="preserve">          6234 - EXPENDABLE SUPPLIES &amp; EQUIPMEN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2723.52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2723.52</v>
      </c>
      <c r="Y74" s="3"/>
      <c r="Z74" s="7">
        <f t="shared" si="15"/>
        <v>0</v>
      </c>
    </row>
    <row r="75" spans="1:26" s="69" customFormat="1" ht="15" hidden="1" customHeight="1" outlineLevel="2" x14ac:dyDescent="0.3">
      <c r="A75" s="26"/>
      <c r="B75" s="12" t="str">
        <f>CONCATENATE("          ","6235"," - ","COVID-19 EXPENSES")</f>
        <v xml:space="preserve">          6235 - COVID-19 EXPENSES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>
        <v>2636.13</v>
      </c>
      <c r="Q75" s="3"/>
      <c r="R75" s="7">
        <f t="shared" si="12"/>
        <v>0</v>
      </c>
      <c r="S75" s="3"/>
      <c r="T75" s="8">
        <v>810.3</v>
      </c>
      <c r="U75" s="3"/>
      <c r="V75" s="7">
        <f t="shared" si="13"/>
        <v>0</v>
      </c>
      <c r="W75" s="3"/>
      <c r="X75" s="8">
        <f t="shared" si="14"/>
        <v>1825.8300000000002</v>
      </c>
      <c r="Y75" s="3"/>
      <c r="Z75" s="7">
        <f t="shared" si="15"/>
        <v>2.2532765642354686</v>
      </c>
    </row>
    <row r="76" spans="1:26" s="69" customFormat="1" ht="15" hidden="1" customHeight="1" outlineLevel="2" x14ac:dyDescent="0.3">
      <c r="A76" s="26"/>
      <c r="B76" s="12" t="str">
        <f>CONCATENATE("          ","6241"," - ","OFFICE EXPENSE")</f>
        <v xml:space="preserve">          6241 - OFFICE EXPENSE</v>
      </c>
      <c r="C76" s="12"/>
      <c r="D76" s="8">
        <v>117.79</v>
      </c>
      <c r="E76" s="3"/>
      <c r="F76" s="7">
        <f t="shared" si="8"/>
        <v>0</v>
      </c>
      <c r="G76" s="3"/>
      <c r="H76" s="8">
        <v>251.76</v>
      </c>
      <c r="I76" s="3"/>
      <c r="J76" s="7">
        <f t="shared" si="9"/>
        <v>0</v>
      </c>
      <c r="K76" s="3"/>
      <c r="L76" s="8">
        <f t="shared" si="10"/>
        <v>-133.96999999999997</v>
      </c>
      <c r="M76" s="3"/>
      <c r="N76" s="7">
        <f t="shared" si="11"/>
        <v>-0.53213377820146157</v>
      </c>
      <c r="O76" s="12"/>
      <c r="P76" s="8">
        <v>26745.72</v>
      </c>
      <c r="Q76" s="3"/>
      <c r="R76" s="7">
        <f t="shared" si="12"/>
        <v>0</v>
      </c>
      <c r="S76" s="3"/>
      <c r="T76" s="8">
        <v>2573.29</v>
      </c>
      <c r="U76" s="3"/>
      <c r="V76" s="7">
        <f t="shared" si="13"/>
        <v>0</v>
      </c>
      <c r="W76" s="3"/>
      <c r="X76" s="8">
        <f t="shared" si="14"/>
        <v>24172.43</v>
      </c>
      <c r="Y76" s="3"/>
      <c r="Z76" s="7">
        <f t="shared" si="15"/>
        <v>9.3935895293573601</v>
      </c>
    </row>
    <row r="77" spans="1:26" s="69" customFormat="1" ht="15" hidden="1" customHeight="1" outlineLevel="2" x14ac:dyDescent="0.3">
      <c r="A77" s="26"/>
      <c r="B77" s="12" t="str">
        <f>CONCATENATE("          ","6244"," - ","SAFETY SUPPLY EXPENSE")</f>
        <v xml:space="preserve">          6244 - SAFETY SUPPLY EXPENSE</v>
      </c>
      <c r="C77" s="12"/>
      <c r="D77" s="8">
        <v>511.27</v>
      </c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511.27</v>
      </c>
      <c r="M77" s="3"/>
      <c r="N77" s="7">
        <f t="shared" si="11"/>
        <v>0</v>
      </c>
      <c r="O77" s="12"/>
      <c r="P77" s="8">
        <v>1161.27</v>
      </c>
      <c r="Q77" s="3"/>
      <c r="R77" s="7">
        <f t="shared" si="12"/>
        <v>0</v>
      </c>
      <c r="S77" s="3"/>
      <c r="T77" s="8">
        <v>222.71</v>
      </c>
      <c r="U77" s="3"/>
      <c r="V77" s="7">
        <f t="shared" si="13"/>
        <v>0</v>
      </c>
      <c r="W77" s="3"/>
      <c r="X77" s="8">
        <f t="shared" si="14"/>
        <v>938.56</v>
      </c>
      <c r="Y77" s="3"/>
      <c r="Z77" s="7">
        <f t="shared" si="15"/>
        <v>4.2142696780566649</v>
      </c>
    </row>
    <row r="78" spans="1:26" s="69" customFormat="1" ht="15" hidden="1" customHeight="1" outlineLevel="2" x14ac:dyDescent="0.3">
      <c r="A78" s="26"/>
      <c r="B78" s="12" t="str">
        <f>CONCATENATE("          ","6248"," - ","UNIFORMS")</f>
        <v xml:space="preserve">          6248 - UNIFORMS</v>
      </c>
      <c r="C78" s="12"/>
      <c r="D78" s="8">
        <v>559.87</v>
      </c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559.87</v>
      </c>
      <c r="M78" s="3"/>
      <c r="N78" s="7">
        <f t="shared" si="11"/>
        <v>0</v>
      </c>
      <c r="O78" s="12"/>
      <c r="P78" s="8">
        <v>11846.16</v>
      </c>
      <c r="Q78" s="3"/>
      <c r="R78" s="7">
        <f t="shared" si="12"/>
        <v>0</v>
      </c>
      <c r="S78" s="3"/>
      <c r="T78" s="8"/>
      <c r="U78" s="3"/>
      <c r="V78" s="7">
        <f t="shared" si="13"/>
        <v>0</v>
      </c>
      <c r="W78" s="3"/>
      <c r="X78" s="8">
        <f t="shared" si="14"/>
        <v>11846.16</v>
      </c>
      <c r="Y78" s="3"/>
      <c r="Z78" s="7">
        <f t="shared" si="15"/>
        <v>0</v>
      </c>
    </row>
    <row r="79" spans="1:26" s="68" customFormat="1" ht="15" customHeight="1" outlineLevel="1" collapsed="1" x14ac:dyDescent="0.3">
      <c r="A79" s="25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SUM(OSRRefD22_17x_0)</f>
        <v>3060.84</v>
      </c>
      <c r="E79" s="2"/>
      <c r="F79" s="6">
        <f t="shared" si="8"/>
        <v>0</v>
      </c>
      <c r="G79" s="2"/>
      <c r="H79" s="2">
        <f>SUM(OSRRefH22_17x_0)</f>
        <v>1137.29</v>
      </c>
      <c r="I79" s="2"/>
      <c r="J79" s="6">
        <f t="shared" si="9"/>
        <v>0</v>
      </c>
      <c r="K79" s="2"/>
      <c r="L79" s="2">
        <f t="shared" si="10"/>
        <v>1923.5500000000002</v>
      </c>
      <c r="M79" s="2"/>
      <c r="N79" s="6">
        <f t="shared" si="11"/>
        <v>1.691345215380422</v>
      </c>
      <c r="O79" s="14"/>
      <c r="P79" s="2">
        <f>SUM(OSRRefP22_17x_0)</f>
        <v>23944.720000000001</v>
      </c>
      <c r="Q79" s="2"/>
      <c r="R79" s="6">
        <f t="shared" si="12"/>
        <v>0</v>
      </c>
      <c r="S79" s="2"/>
      <c r="T79" s="2">
        <f>SUM(OSRRefT22_17x_0)</f>
        <v>20289.07</v>
      </c>
      <c r="U79" s="2"/>
      <c r="V79" s="6">
        <f t="shared" si="13"/>
        <v>0</v>
      </c>
      <c r="W79" s="2"/>
      <c r="X79" s="2">
        <f t="shared" si="14"/>
        <v>3655.6500000000015</v>
      </c>
      <c r="Y79" s="2"/>
      <c r="Z79" s="6">
        <f t="shared" si="15"/>
        <v>0.18017829304152441</v>
      </c>
    </row>
    <row r="80" spans="1:26" s="69" customFormat="1" ht="15" hidden="1" customHeight="1" outlineLevel="2" x14ac:dyDescent="0.3">
      <c r="A80" s="26"/>
      <c r="B80" s="12" t="str">
        <f>CONCATENATE("          ","6303"," - ","DATA PHONE LINES")</f>
        <v xml:space="preserve">          6303 - DATA PHONE LINES</v>
      </c>
      <c r="C80" s="12"/>
      <c r="D80" s="8">
        <v>265.95999999999998</v>
      </c>
      <c r="E80" s="3"/>
      <c r="F80" s="7">
        <f t="shared" si="8"/>
        <v>0</v>
      </c>
      <c r="G80" s="3"/>
      <c r="H80" s="8">
        <v>161.97999999999999</v>
      </c>
      <c r="I80" s="3"/>
      <c r="J80" s="7">
        <f t="shared" si="9"/>
        <v>0</v>
      </c>
      <c r="K80" s="3"/>
      <c r="L80" s="8">
        <f t="shared" si="10"/>
        <v>103.97999999999999</v>
      </c>
      <c r="M80" s="3"/>
      <c r="N80" s="7">
        <f t="shared" si="11"/>
        <v>0.64193110260525987</v>
      </c>
      <c r="O80" s="12"/>
      <c r="P80" s="8">
        <v>1690.79</v>
      </c>
      <c r="Q80" s="3"/>
      <c r="R80" s="7">
        <f t="shared" si="12"/>
        <v>0</v>
      </c>
      <c r="S80" s="3"/>
      <c r="T80" s="8">
        <v>1403.82</v>
      </c>
      <c r="U80" s="3"/>
      <c r="V80" s="7">
        <f t="shared" si="13"/>
        <v>0</v>
      </c>
      <c r="W80" s="3"/>
      <c r="X80" s="8">
        <f t="shared" si="14"/>
        <v>286.97000000000003</v>
      </c>
      <c r="Y80" s="3"/>
      <c r="Z80" s="7">
        <f t="shared" si="15"/>
        <v>0.2044207946887778</v>
      </c>
    </row>
    <row r="81" spans="1:26" s="69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8">
        <v>2794.88</v>
      </c>
      <c r="E81" s="3"/>
      <c r="F81" s="7">
        <f t="shared" si="8"/>
        <v>0</v>
      </c>
      <c r="G81" s="3"/>
      <c r="H81" s="8">
        <v>975.31</v>
      </c>
      <c r="I81" s="3"/>
      <c r="J81" s="7">
        <f t="shared" si="9"/>
        <v>0</v>
      </c>
      <c r="K81" s="3"/>
      <c r="L81" s="8">
        <f t="shared" si="10"/>
        <v>1819.5700000000002</v>
      </c>
      <c r="M81" s="3"/>
      <c r="N81" s="7">
        <f t="shared" si="11"/>
        <v>1.8656324655750482</v>
      </c>
      <c r="O81" s="12"/>
      <c r="P81" s="8">
        <v>22253.93</v>
      </c>
      <c r="Q81" s="3"/>
      <c r="R81" s="7">
        <f t="shared" si="12"/>
        <v>0</v>
      </c>
      <c r="S81" s="3"/>
      <c r="T81" s="8">
        <v>18885.25</v>
      </c>
      <c r="U81" s="3"/>
      <c r="V81" s="7">
        <f t="shared" si="13"/>
        <v>0</v>
      </c>
      <c r="W81" s="3"/>
      <c r="X81" s="8">
        <f t="shared" si="14"/>
        <v>3368.6800000000003</v>
      </c>
      <c r="Y81" s="3"/>
      <c r="Z81" s="7">
        <f t="shared" si="15"/>
        <v>0.17837624601209939</v>
      </c>
    </row>
    <row r="82" spans="1:26" s="68" customFormat="1" ht="15" customHeight="1" outlineLevel="1" collapsed="1" x14ac:dyDescent="0.3">
      <c r="A82" s="25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SUM(OSRRefD22_18x_0)</f>
        <v>399</v>
      </c>
      <c r="E82" s="2"/>
      <c r="F82" s="6">
        <f t="shared" si="8"/>
        <v>0</v>
      </c>
      <c r="G82" s="2"/>
      <c r="H82" s="2">
        <f>SUM(OSRRefH22_18x_0)</f>
        <v>3000</v>
      </c>
      <c r="I82" s="2"/>
      <c r="J82" s="6">
        <f t="shared" si="9"/>
        <v>0</v>
      </c>
      <c r="K82" s="2"/>
      <c r="L82" s="2">
        <f t="shared" si="10"/>
        <v>-2601</v>
      </c>
      <c r="M82" s="2"/>
      <c r="N82" s="6">
        <f t="shared" si="11"/>
        <v>-0.86699999999999999</v>
      </c>
      <c r="O82" s="14"/>
      <c r="P82" s="2">
        <f>SUM(OSRRefP22_18x_0)</f>
        <v>1568</v>
      </c>
      <c r="Q82" s="2"/>
      <c r="R82" s="6">
        <f t="shared" si="12"/>
        <v>0</v>
      </c>
      <c r="S82" s="2"/>
      <c r="T82" s="2">
        <f>SUM(OSRRefT22_18x_0)</f>
        <v>5225.5</v>
      </c>
      <c r="U82" s="2"/>
      <c r="V82" s="6">
        <f t="shared" si="13"/>
        <v>0</v>
      </c>
      <c r="W82" s="2"/>
      <c r="X82" s="2">
        <f t="shared" si="14"/>
        <v>-3657.5</v>
      </c>
      <c r="Y82" s="2"/>
      <c r="Z82" s="6">
        <f t="shared" si="15"/>
        <v>-0.69993302076356334</v>
      </c>
    </row>
    <row r="83" spans="1:26" s="69" customFormat="1" ht="15" hidden="1" customHeight="1" outlineLevel="2" x14ac:dyDescent="0.3">
      <c r="A83" s="26"/>
      <c r="B83" s="12" t="str">
        <f>CONCATENATE("          ","6376"," - ","TRAINING")</f>
        <v xml:space="preserve">          6376 - TRAINING</v>
      </c>
      <c r="C83" s="12"/>
      <c r="D83" s="8">
        <v>399</v>
      </c>
      <c r="E83" s="3"/>
      <c r="F83" s="7">
        <f t="shared" si="8"/>
        <v>0</v>
      </c>
      <c r="G83" s="3"/>
      <c r="H83" s="8">
        <v>3000</v>
      </c>
      <c r="I83" s="3"/>
      <c r="J83" s="7">
        <f t="shared" si="9"/>
        <v>0</v>
      </c>
      <c r="K83" s="3"/>
      <c r="L83" s="8">
        <f t="shared" si="10"/>
        <v>-2601</v>
      </c>
      <c r="M83" s="3"/>
      <c r="N83" s="7">
        <f t="shared" si="11"/>
        <v>-0.86699999999999999</v>
      </c>
      <c r="O83" s="12"/>
      <c r="P83" s="8">
        <v>1568</v>
      </c>
      <c r="Q83" s="3"/>
      <c r="R83" s="7">
        <f t="shared" si="12"/>
        <v>0</v>
      </c>
      <c r="S83" s="3"/>
      <c r="T83" s="8">
        <v>5225.5</v>
      </c>
      <c r="U83" s="3"/>
      <c r="V83" s="7">
        <f t="shared" si="13"/>
        <v>0</v>
      </c>
      <c r="W83" s="3"/>
      <c r="X83" s="8">
        <f t="shared" si="14"/>
        <v>-3657.5</v>
      </c>
      <c r="Y83" s="3"/>
      <c r="Z83" s="7">
        <f t="shared" si="15"/>
        <v>-0.69993302076356334</v>
      </c>
    </row>
    <row r="84" spans="1:26" s="68" customFormat="1" ht="15" customHeight="1" outlineLevel="1" collapsed="1" x14ac:dyDescent="0.3">
      <c r="A84" s="25"/>
      <c r="B84" s="14" t="str">
        <f>CONCATENATE("     ","Travel                                            ")</f>
        <v xml:space="preserve">     Travel                                            </v>
      </c>
      <c r="C84" s="14"/>
      <c r="D84" s="2">
        <f>SUM(OSRRefD22_19x_0)</f>
        <v>0</v>
      </c>
      <c r="E84" s="2"/>
      <c r="F84" s="6">
        <f t="shared" si="8"/>
        <v>0</v>
      </c>
      <c r="G84" s="2"/>
      <c r="H84" s="2">
        <f>SUM(OSRRefH22_19x_0)</f>
        <v>13.3</v>
      </c>
      <c r="I84" s="2"/>
      <c r="J84" s="6">
        <f t="shared" si="9"/>
        <v>0</v>
      </c>
      <c r="K84" s="2"/>
      <c r="L84" s="2">
        <f t="shared" si="10"/>
        <v>-13.3</v>
      </c>
      <c r="M84" s="2"/>
      <c r="N84" s="6">
        <f t="shared" si="11"/>
        <v>-1</v>
      </c>
      <c r="O84" s="14"/>
      <c r="P84" s="2">
        <f>SUM(OSRRefP22_19x_0)</f>
        <v>30.4</v>
      </c>
      <c r="Q84" s="2"/>
      <c r="R84" s="6">
        <f t="shared" si="12"/>
        <v>0</v>
      </c>
      <c r="S84" s="2"/>
      <c r="T84" s="2">
        <f>SUM(OSRRefT22_19x_0)</f>
        <v>808.72</v>
      </c>
      <c r="U84" s="2"/>
      <c r="V84" s="6">
        <f t="shared" si="13"/>
        <v>0</v>
      </c>
      <c r="W84" s="2"/>
      <c r="X84" s="2">
        <f t="shared" si="14"/>
        <v>-778.32</v>
      </c>
      <c r="Y84" s="2"/>
      <c r="Z84" s="6">
        <f t="shared" si="15"/>
        <v>-0.96240973390048479</v>
      </c>
    </row>
    <row r="85" spans="1:26" s="69" customFormat="1" ht="15" hidden="1" customHeight="1" outlineLevel="2" x14ac:dyDescent="0.3">
      <c r="A85" s="26"/>
      <c r="B85" s="12" t="str">
        <f>CONCATENATE("          ","6292"," - ","TRAVEL/CONFERENCE")</f>
        <v xml:space="preserve">          6292 - TRAVEL/CONFERENCE</v>
      </c>
      <c r="C85" s="12"/>
      <c r="D85" s="8"/>
      <c r="E85" s="3"/>
      <c r="F85" s="7">
        <f t="shared" si="8"/>
        <v>0</v>
      </c>
      <c r="G85" s="3"/>
      <c r="H85" s="8"/>
      <c r="I85" s="3"/>
      <c r="J85" s="7">
        <f t="shared" si="9"/>
        <v>0</v>
      </c>
      <c r="K85" s="3"/>
      <c r="L85" s="8">
        <f t="shared" si="10"/>
        <v>0</v>
      </c>
      <c r="M85" s="3"/>
      <c r="N85" s="7">
        <f t="shared" si="11"/>
        <v>0</v>
      </c>
      <c r="O85" s="12"/>
      <c r="P85" s="8">
        <v>0</v>
      </c>
      <c r="Q85" s="3"/>
      <c r="R85" s="7">
        <f t="shared" si="12"/>
        <v>0</v>
      </c>
      <c r="S85" s="3"/>
      <c r="T85" s="8">
        <v>720</v>
      </c>
      <c r="U85" s="3"/>
      <c r="V85" s="7">
        <f t="shared" si="13"/>
        <v>0</v>
      </c>
      <c r="W85" s="3"/>
      <c r="X85" s="8">
        <f t="shared" si="14"/>
        <v>-720</v>
      </c>
      <c r="Y85" s="3"/>
      <c r="Z85" s="7">
        <f t="shared" si="15"/>
        <v>-1</v>
      </c>
    </row>
    <row r="86" spans="1:26" s="69" customFormat="1" ht="15" hidden="1" customHeight="1" outlineLevel="2" x14ac:dyDescent="0.3">
      <c r="A86" s="26"/>
      <c r="B86" s="12" t="str">
        <f>CONCATENATE("          ","6294"," - ","TRAVEL OPERATIONAL")</f>
        <v xml:space="preserve">          6294 - TRAVEL OPERATIONAL</v>
      </c>
      <c r="C86" s="12"/>
      <c r="D86" s="8"/>
      <c r="E86" s="3"/>
      <c r="F86" s="7">
        <f t="shared" si="8"/>
        <v>0</v>
      </c>
      <c r="G86" s="3"/>
      <c r="H86" s="8">
        <v>13.3</v>
      </c>
      <c r="I86" s="3"/>
      <c r="J86" s="7">
        <f t="shared" si="9"/>
        <v>0</v>
      </c>
      <c r="K86" s="3"/>
      <c r="L86" s="8">
        <f t="shared" si="10"/>
        <v>-13.3</v>
      </c>
      <c r="M86" s="3"/>
      <c r="N86" s="7">
        <f t="shared" si="11"/>
        <v>-1</v>
      </c>
      <c r="O86" s="12"/>
      <c r="P86" s="8">
        <v>30.4</v>
      </c>
      <c r="Q86" s="3"/>
      <c r="R86" s="7">
        <f t="shared" si="12"/>
        <v>0</v>
      </c>
      <c r="S86" s="3"/>
      <c r="T86" s="8">
        <v>88.72</v>
      </c>
      <c r="U86" s="3"/>
      <c r="V86" s="7">
        <f t="shared" si="13"/>
        <v>0</v>
      </c>
      <c r="W86" s="3"/>
      <c r="X86" s="8">
        <f t="shared" si="14"/>
        <v>-58.32</v>
      </c>
      <c r="Y86" s="3"/>
      <c r="Z86" s="7">
        <f t="shared" si="15"/>
        <v>-0.65734896302975654</v>
      </c>
    </row>
    <row r="87" spans="1:26" s="64" customFormat="1" ht="15" customHeight="1" x14ac:dyDescent="0.3">
      <c r="A87" s="36"/>
      <c r="B87" s="36"/>
      <c r="C87" s="36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7" t="s">
        <v>290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291</v>
      </c>
      <c r="C90" s="28"/>
      <c r="D90" s="21">
        <f>+D16-D18+D88</f>
        <v>-266682.48</v>
      </c>
      <c r="E90" s="15"/>
      <c r="F90" s="23">
        <f>IF(D$12=0,0,D90/D$12)</f>
        <v>0</v>
      </c>
      <c r="G90" s="15"/>
      <c r="H90" s="21">
        <f>+H16-H18+H88</f>
        <v>-242086.47999999998</v>
      </c>
      <c r="I90" s="15"/>
      <c r="J90" s="23">
        <f>IF(H$12=0,0,H90/H$12)</f>
        <v>0</v>
      </c>
      <c r="K90" s="16"/>
      <c r="L90" s="21">
        <f>+D90-H90</f>
        <v>-24596</v>
      </c>
      <c r="M90" s="16"/>
      <c r="N90" s="23">
        <f>IF(H90=0,0,L90/H90)</f>
        <v>0.10160005631045568</v>
      </c>
      <c r="O90" s="27"/>
      <c r="P90" s="21">
        <f>+P16-P18+P88</f>
        <v>-2476359.6200000006</v>
      </c>
      <c r="Q90" s="15"/>
      <c r="R90" s="23">
        <f>IF(P$12=0,0,P90/P$12)</f>
        <v>0</v>
      </c>
      <c r="S90" s="15"/>
      <c r="T90" s="21">
        <f>+T16-T18+T88</f>
        <v>-1883636.8299999998</v>
      </c>
      <c r="U90" s="15"/>
      <c r="V90" s="23">
        <f>IF(T$12=0,0,T90/T$12)</f>
        <v>0</v>
      </c>
      <c r="W90" s="16"/>
      <c r="X90" s="21">
        <f>+P90-T90</f>
        <v>-592722.79000000074</v>
      </c>
      <c r="Y90" s="16"/>
      <c r="Z90" s="23">
        <f>IF(T90=0,0,X90/T90)</f>
        <v>0.31466935693755826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48"/>
      <c r="B92" s="11" t="s">
        <v>292</v>
      </c>
      <c r="C92" s="11"/>
      <c r="D92" s="5"/>
      <c r="E92" s="5"/>
      <c r="F92" s="13">
        <f>IF(D$12=0,0,D92/D$12)</f>
        <v>0</v>
      </c>
      <c r="G92" s="5"/>
      <c r="H92" s="5"/>
      <c r="I92" s="5"/>
      <c r="J92" s="13">
        <f>IF(H$12=0,0,H92/H$12)</f>
        <v>0</v>
      </c>
      <c r="K92" s="5"/>
      <c r="L92" s="5">
        <f>+D92-H92</f>
        <v>0</v>
      </c>
      <c r="M92" s="5"/>
      <c r="N92" s="13">
        <f>IF(H92=0,0,L92/H92)</f>
        <v>0</v>
      </c>
      <c r="O92" s="11"/>
      <c r="P92" s="5"/>
      <c r="Q92" s="5"/>
      <c r="R92" s="13">
        <f>IF(P$12=0,0,P92/P$12)</f>
        <v>0</v>
      </c>
      <c r="S92" s="5"/>
      <c r="T92" s="5"/>
      <c r="U92" s="5"/>
      <c r="V92" s="13">
        <f>IF(T$12=0,0,T92/T$12)</f>
        <v>0</v>
      </c>
      <c r="W92" s="5"/>
      <c r="X92" s="5">
        <f>+P92-T92</f>
        <v>0</v>
      </c>
      <c r="Y92" s="5"/>
      <c r="Z92" s="13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8" t="s">
        <v>293</v>
      </c>
      <c r="C94" s="28"/>
      <c r="D94" s="34">
        <f>+D90-D92</f>
        <v>-266682.48</v>
      </c>
      <c r="E94" s="15"/>
      <c r="F94" s="30">
        <f>IF(D$12=0,0,D94/D$12)</f>
        <v>0</v>
      </c>
      <c r="G94" s="15"/>
      <c r="H94" s="34">
        <f>+H90-H92</f>
        <v>-242086.47999999998</v>
      </c>
      <c r="I94" s="15"/>
      <c r="J94" s="30">
        <f>IF(H$12=0,0,H94/H$12)</f>
        <v>0</v>
      </c>
      <c r="K94" s="16"/>
      <c r="L94" s="34">
        <f>D94-H94</f>
        <v>-24596</v>
      </c>
      <c r="M94" s="16"/>
      <c r="N94" s="30">
        <f>IF(H94=0,0,L94/H94)</f>
        <v>0.10160005631045568</v>
      </c>
      <c r="O94" s="27"/>
      <c r="P94" s="34">
        <f>+P90-P92</f>
        <v>-2476359.6200000006</v>
      </c>
      <c r="Q94" s="15"/>
      <c r="R94" s="30">
        <f>IF(P$12=0,0,P94/P$12)</f>
        <v>0</v>
      </c>
      <c r="S94" s="15"/>
      <c r="T94" s="34">
        <f>+T90-T92</f>
        <v>-1883636.8299999998</v>
      </c>
      <c r="U94" s="15"/>
      <c r="V94" s="30">
        <f>IF(T$12=0,0,T94/T$12)</f>
        <v>0</v>
      </c>
      <c r="W94" s="16"/>
      <c r="X94" s="34">
        <f>P94-T94</f>
        <v>-592722.79000000074</v>
      </c>
      <c r="Y94" s="16"/>
      <c r="Z94" s="30">
        <f>IF(T94=0,0,X94/T94)</f>
        <v>0.31466935693755826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11"/>
      <c r="B97" s="28" t="s">
        <v>296</v>
      </c>
      <c r="C97" s="28"/>
      <c r="D97" s="29">
        <f>SUM(D94:D96)</f>
        <v>-266682.48</v>
      </c>
      <c r="E97" s="15"/>
      <c r="F97" s="35">
        <f>IF(D$12=0,0,D97/D$12)</f>
        <v>0</v>
      </c>
      <c r="G97" s="15"/>
      <c r="H97" s="29">
        <f>SUM(H94:H96)</f>
        <v>-242086.47999999998</v>
      </c>
      <c r="I97" s="15"/>
      <c r="J97" s="35">
        <f>IF(H$12=0,0,H97/H$12)</f>
        <v>0</v>
      </c>
      <c r="K97" s="16"/>
      <c r="L97" s="29">
        <f>+D97-H97</f>
        <v>-24596</v>
      </c>
      <c r="M97" s="16"/>
      <c r="N97" s="35">
        <f>IF(H97=0,0,L97/H97)</f>
        <v>0.10160005631045568</v>
      </c>
      <c r="O97" s="27"/>
      <c r="P97" s="29">
        <f>SUM(P94:P96)</f>
        <v>-2476359.6200000006</v>
      </c>
      <c r="Q97" s="15"/>
      <c r="R97" s="35">
        <f>IF(P$12=0,0,P97/P$12)</f>
        <v>0</v>
      </c>
      <c r="S97" s="15"/>
      <c r="T97" s="29">
        <f>SUM(T94:T96)</f>
        <v>-1883636.8299999998</v>
      </c>
      <c r="U97" s="15"/>
      <c r="V97" s="35">
        <f>IF(T$12=0,0,T97/T$12)</f>
        <v>0</v>
      </c>
      <c r="W97" s="16"/>
      <c r="X97" s="29">
        <f>+P97-T97</f>
        <v>-592722.79000000074</v>
      </c>
      <c r="Y97" s="16"/>
      <c r="Z97" s="35">
        <f>IF(T97=0,0,X97/T97)</f>
        <v>0.31466935693755826</v>
      </c>
    </row>
    <row r="98" spans="1:26" ht="15" customHeight="1" x14ac:dyDescent="0.3">
      <c r="A98" s="10"/>
      <c r="C98" s="10"/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6" ht="15" customHeight="1" x14ac:dyDescent="0.3">
      <c r="A99" s="10"/>
      <c r="B99" s="56">
        <v>44694.890794212966</v>
      </c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  <row r="100" spans="1:26" ht="15" customHeight="1" x14ac:dyDescent="0.3">
      <c r="A100" s="10"/>
      <c r="B100" s="52" t="s">
        <v>297</v>
      </c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6" ht="15" customHeight="1" x14ac:dyDescent="0.3">
      <c r="A101" s="10"/>
      <c r="B101" s="58"/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3"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4C4C5-698E-B927-D196-8E246715EAEF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","200"," - ","Corporate Expense")</f>
        <v>Department 200 - Corporate Expense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42684.619999999995</v>
      </c>
      <c r="E18" s="22"/>
      <c r="F18" s="32">
        <f t="shared" ref="F18:F26" si="0">IF(D$12=0,0,D18/D$12)</f>
        <v>0</v>
      </c>
      <c r="G18" s="22"/>
      <c r="H18" s="22" cm="1">
        <f t="array" ref="H18">SUM(OSRRefH22x_0)</f>
        <v>43971.69</v>
      </c>
      <c r="I18" s="22"/>
      <c r="J18" s="32">
        <f t="shared" ref="J18:J26" si="1">IF(H$12=0,0,H18/H$12)</f>
        <v>0</v>
      </c>
      <c r="K18" s="5"/>
      <c r="L18" s="22">
        <f t="shared" ref="L18:L26" si="2">+D18-H18</f>
        <v>-1287.070000000007</v>
      </c>
      <c r="M18" s="5"/>
      <c r="N18" s="32">
        <f t="shared" ref="N18:N26" si="3">IF(H18=0,0,L18/H18)</f>
        <v>-2.9270423765836766E-2</v>
      </c>
      <c r="O18" s="11"/>
      <c r="P18" s="22" cm="1">
        <f t="array" ref="P18">SUM(OSRRefP22x_0)</f>
        <v>343191.61</v>
      </c>
      <c r="Q18" s="22"/>
      <c r="R18" s="32">
        <f t="shared" ref="R18:R26" si="4">IF(P$12=0,0,P18/P$12)</f>
        <v>0</v>
      </c>
      <c r="S18" s="22"/>
      <c r="T18" s="22" cm="1">
        <f t="array" ref="T18">SUM(OSRRefT22x_0)</f>
        <v>-38105.579999999987</v>
      </c>
      <c r="U18" s="22"/>
      <c r="V18" s="32">
        <f t="shared" ref="V18:V26" si="5">IF(T$12=0,0,T18/T$12)</f>
        <v>0</v>
      </c>
      <c r="W18" s="5"/>
      <c r="X18" s="22">
        <f t="shared" ref="X18:X26" si="6">+P18-T18</f>
        <v>381297.18999999994</v>
      </c>
      <c r="Y18" s="5"/>
      <c r="Z18" s="32">
        <f t="shared" ref="Z18:Z26" si="7">IF(T18=0,0,X18/T18)</f>
        <v>-10.006334767768921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25279.919999999998</v>
      </c>
      <c r="E19" s="2"/>
      <c r="F19" s="6">
        <f t="shared" si="0"/>
        <v>0</v>
      </c>
      <c r="G19" s="2"/>
      <c r="H19" s="2">
        <f>SUM(OSRRefH22_0x_0)</f>
        <v>28198.66</v>
      </c>
      <c r="I19" s="2"/>
      <c r="J19" s="6">
        <f t="shared" si="1"/>
        <v>0</v>
      </c>
      <c r="K19" s="2"/>
      <c r="L19" s="2">
        <f t="shared" si="2"/>
        <v>-2918.7400000000016</v>
      </c>
      <c r="M19" s="2"/>
      <c r="N19" s="6">
        <f t="shared" si="3"/>
        <v>-0.10350633682593434</v>
      </c>
      <c r="O19" s="14"/>
      <c r="P19" s="2">
        <f>SUM(OSRRefP22_0x_0)</f>
        <v>270471.86</v>
      </c>
      <c r="Q19" s="2"/>
      <c r="R19" s="6">
        <f t="shared" si="4"/>
        <v>0</v>
      </c>
      <c r="S19" s="2"/>
      <c r="T19" s="2">
        <f>SUM(OSRRefT22_0x_0)</f>
        <v>-104818.56</v>
      </c>
      <c r="U19" s="2"/>
      <c r="V19" s="6">
        <f t="shared" si="5"/>
        <v>0</v>
      </c>
      <c r="W19" s="2"/>
      <c r="X19" s="2">
        <f t="shared" si="6"/>
        <v>375290.42</v>
      </c>
      <c r="Y19" s="2"/>
      <c r="Z19" s="6">
        <f t="shared" si="7"/>
        <v>-3.5803813752068336</v>
      </c>
    </row>
    <row r="20" spans="1:26" s="69" customFormat="1" ht="15" hidden="1" customHeight="1" outlineLevel="2" x14ac:dyDescent="0.3">
      <c r="A20" s="26"/>
      <c r="B20" s="12" t="str">
        <f>CONCATENATE("          ","6120"," - ","RETIREES HEALTH INSURANCE")</f>
        <v xml:space="preserve">          6120 - RETIREES HEALTH INSURANCE</v>
      </c>
      <c r="C20" s="12"/>
      <c r="D20" s="8">
        <v>25279.919999999998</v>
      </c>
      <c r="E20" s="3"/>
      <c r="F20" s="7">
        <f t="shared" si="0"/>
        <v>0</v>
      </c>
      <c r="G20" s="3"/>
      <c r="H20" s="8">
        <v>28198.66</v>
      </c>
      <c r="I20" s="3"/>
      <c r="J20" s="7">
        <f t="shared" si="1"/>
        <v>0</v>
      </c>
      <c r="K20" s="3"/>
      <c r="L20" s="8">
        <f t="shared" si="2"/>
        <v>-2918.7400000000016</v>
      </c>
      <c r="M20" s="3"/>
      <c r="N20" s="7">
        <f t="shared" si="3"/>
        <v>-0.10350633682593434</v>
      </c>
      <c r="O20" s="12"/>
      <c r="P20" s="8">
        <v>270471.86</v>
      </c>
      <c r="Q20" s="3"/>
      <c r="R20" s="7">
        <f t="shared" si="4"/>
        <v>0</v>
      </c>
      <c r="S20" s="3"/>
      <c r="T20" s="8">
        <v>-104818.56</v>
      </c>
      <c r="U20" s="3"/>
      <c r="V20" s="7">
        <f t="shared" si="5"/>
        <v>0</v>
      </c>
      <c r="W20" s="3"/>
      <c r="X20" s="8">
        <f t="shared" si="6"/>
        <v>375290.42</v>
      </c>
      <c r="Y20" s="3"/>
      <c r="Z20" s="7">
        <f t="shared" si="7"/>
        <v>-3.5803813752068336</v>
      </c>
    </row>
    <row r="21" spans="1:26" s="68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3089.33</v>
      </c>
      <c r="E21" s="2"/>
      <c r="F21" s="6">
        <f t="shared" si="0"/>
        <v>0</v>
      </c>
      <c r="G21" s="2"/>
      <c r="H21" s="2">
        <f>SUM(OSRRefH22_1x_0)</f>
        <v>1863.53</v>
      </c>
      <c r="I21" s="2"/>
      <c r="J21" s="6">
        <f t="shared" si="1"/>
        <v>0</v>
      </c>
      <c r="K21" s="2"/>
      <c r="L21" s="2">
        <f t="shared" si="2"/>
        <v>1225.8</v>
      </c>
      <c r="M21" s="2"/>
      <c r="N21" s="6">
        <f t="shared" si="3"/>
        <v>0.65778388327528936</v>
      </c>
      <c r="O21" s="14"/>
      <c r="P21" s="2">
        <f>SUM(OSRRefP22_1x_0)</f>
        <v>12898.11</v>
      </c>
      <c r="Q21" s="2"/>
      <c r="R21" s="6">
        <f t="shared" si="4"/>
        <v>0</v>
      </c>
      <c r="S21" s="2"/>
      <c r="T21" s="2">
        <f>SUM(OSRRefT22_1x_0)</f>
        <v>6989.07</v>
      </c>
      <c r="U21" s="2"/>
      <c r="V21" s="6">
        <f t="shared" si="5"/>
        <v>0</v>
      </c>
      <c r="W21" s="2"/>
      <c r="X21" s="2">
        <f t="shared" si="6"/>
        <v>5909.0400000000009</v>
      </c>
      <c r="Y21" s="2"/>
      <c r="Z21" s="6">
        <f t="shared" si="7"/>
        <v>0.84546871042928473</v>
      </c>
    </row>
    <row r="22" spans="1:26" s="69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8">
        <v>3089.33</v>
      </c>
      <c r="E22" s="3"/>
      <c r="F22" s="7">
        <f t="shared" si="0"/>
        <v>0</v>
      </c>
      <c r="G22" s="3"/>
      <c r="H22" s="8">
        <v>1863.53</v>
      </c>
      <c r="I22" s="3"/>
      <c r="J22" s="7">
        <f t="shared" si="1"/>
        <v>0</v>
      </c>
      <c r="K22" s="3"/>
      <c r="L22" s="8">
        <f t="shared" si="2"/>
        <v>1225.8</v>
      </c>
      <c r="M22" s="3"/>
      <c r="N22" s="7">
        <f t="shared" si="3"/>
        <v>0.65778388327528936</v>
      </c>
      <c r="O22" s="12"/>
      <c r="P22" s="8">
        <v>12898.11</v>
      </c>
      <c r="Q22" s="3"/>
      <c r="R22" s="7">
        <f t="shared" si="4"/>
        <v>0</v>
      </c>
      <c r="S22" s="3"/>
      <c r="T22" s="8">
        <v>6989.07</v>
      </c>
      <c r="U22" s="3"/>
      <c r="V22" s="7">
        <f t="shared" si="5"/>
        <v>0</v>
      </c>
      <c r="W22" s="3"/>
      <c r="X22" s="8">
        <f t="shared" si="6"/>
        <v>5909.0400000000009</v>
      </c>
      <c r="Y22" s="3"/>
      <c r="Z22" s="7">
        <f t="shared" si="7"/>
        <v>0.84546871042928473</v>
      </c>
    </row>
    <row r="23" spans="1:26" s="68" customFormat="1" ht="15" customHeight="1" outlineLevel="1" collapsed="1" x14ac:dyDescent="0.3">
      <c r="A23" s="25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3977.62</v>
      </c>
      <c r="E23" s="2"/>
      <c r="F23" s="6">
        <f t="shared" si="0"/>
        <v>0</v>
      </c>
      <c r="G23" s="2"/>
      <c r="H23" s="2">
        <f>SUM(OSRRefH22_2x_0)</f>
        <v>2323.75</v>
      </c>
      <c r="I23" s="2"/>
      <c r="J23" s="6">
        <f t="shared" si="1"/>
        <v>0</v>
      </c>
      <c r="K23" s="2"/>
      <c r="L23" s="2">
        <f t="shared" si="2"/>
        <v>1653.87</v>
      </c>
      <c r="M23" s="2"/>
      <c r="N23" s="6">
        <f t="shared" si="3"/>
        <v>0.71172458310919839</v>
      </c>
      <c r="O23" s="14"/>
      <c r="P23" s="2">
        <f>SUM(OSRRefP22_2x_0)</f>
        <v>18320.64</v>
      </c>
      <c r="Q23" s="2"/>
      <c r="R23" s="6">
        <f t="shared" si="4"/>
        <v>0</v>
      </c>
      <c r="S23" s="2"/>
      <c r="T23" s="2">
        <f>SUM(OSRRefT22_2x_0)</f>
        <v>13155.91</v>
      </c>
      <c r="U23" s="2"/>
      <c r="V23" s="6">
        <f t="shared" si="5"/>
        <v>0</v>
      </c>
      <c r="W23" s="2"/>
      <c r="X23" s="2">
        <f t="shared" si="6"/>
        <v>5164.7299999999996</v>
      </c>
      <c r="Y23" s="2"/>
      <c r="Z23" s="6">
        <f t="shared" si="7"/>
        <v>0.39257869657059069</v>
      </c>
    </row>
    <row r="24" spans="1:26" s="69" customFormat="1" ht="15" hidden="1" customHeight="1" outlineLevel="2" x14ac:dyDescent="0.3">
      <c r="A24" s="26"/>
      <c r="B24" s="12" t="str">
        <f>CONCATENATE("          ","6397"," - ","BOARD EXPENSES")</f>
        <v xml:space="preserve">          6397 - BOARD EXPENSES</v>
      </c>
      <c r="C24" s="12"/>
      <c r="D24" s="8">
        <v>3977.62</v>
      </c>
      <c r="E24" s="3"/>
      <c r="F24" s="7">
        <f t="shared" si="0"/>
        <v>0</v>
      </c>
      <c r="G24" s="3"/>
      <c r="H24" s="8">
        <v>2323.75</v>
      </c>
      <c r="I24" s="3"/>
      <c r="J24" s="7">
        <f t="shared" si="1"/>
        <v>0</v>
      </c>
      <c r="K24" s="3"/>
      <c r="L24" s="8">
        <f t="shared" si="2"/>
        <v>1653.87</v>
      </c>
      <c r="M24" s="3"/>
      <c r="N24" s="7">
        <f t="shared" si="3"/>
        <v>0.71172458310919839</v>
      </c>
      <c r="O24" s="12"/>
      <c r="P24" s="8">
        <v>18320.64</v>
      </c>
      <c r="Q24" s="3"/>
      <c r="R24" s="7">
        <f t="shared" si="4"/>
        <v>0</v>
      </c>
      <c r="S24" s="3"/>
      <c r="T24" s="8">
        <v>13155.91</v>
      </c>
      <c r="U24" s="3"/>
      <c r="V24" s="7">
        <f t="shared" si="5"/>
        <v>0</v>
      </c>
      <c r="W24" s="3"/>
      <c r="X24" s="8">
        <f t="shared" si="6"/>
        <v>5164.7299999999996</v>
      </c>
      <c r="Y24" s="3"/>
      <c r="Z24" s="7">
        <f t="shared" si="7"/>
        <v>0.39257869657059069</v>
      </c>
    </row>
    <row r="25" spans="1:26" s="68" customFormat="1" ht="15" customHeight="1" outlineLevel="1" collapsed="1" x14ac:dyDescent="0.3">
      <c r="A25" s="25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10337.75</v>
      </c>
      <c r="E25" s="2"/>
      <c r="F25" s="6">
        <f t="shared" si="0"/>
        <v>0</v>
      </c>
      <c r="G25" s="2"/>
      <c r="H25" s="2">
        <f>SUM(OSRRefH22_3x_0)</f>
        <v>11585.75</v>
      </c>
      <c r="I25" s="2"/>
      <c r="J25" s="6">
        <f t="shared" si="1"/>
        <v>0</v>
      </c>
      <c r="K25" s="2"/>
      <c r="L25" s="2">
        <f t="shared" si="2"/>
        <v>-1248</v>
      </c>
      <c r="M25" s="2"/>
      <c r="N25" s="6">
        <f t="shared" si="3"/>
        <v>-0.10771853354336146</v>
      </c>
      <c r="O25" s="14"/>
      <c r="P25" s="2">
        <f>SUM(OSRRefP22_3x_0)</f>
        <v>41501</v>
      </c>
      <c r="Q25" s="2"/>
      <c r="R25" s="6">
        <f t="shared" si="4"/>
        <v>0</v>
      </c>
      <c r="S25" s="2"/>
      <c r="T25" s="2">
        <f>SUM(OSRRefT22_3x_0)</f>
        <v>46568</v>
      </c>
      <c r="U25" s="2"/>
      <c r="V25" s="6">
        <f t="shared" si="5"/>
        <v>0</v>
      </c>
      <c r="W25" s="2"/>
      <c r="X25" s="2">
        <f t="shared" si="6"/>
        <v>-5067</v>
      </c>
      <c r="Y25" s="2"/>
      <c r="Z25" s="6">
        <f t="shared" si="7"/>
        <v>-0.1088086239477753</v>
      </c>
    </row>
    <row r="26" spans="1:26" s="69" customFormat="1" ht="15" hidden="1" customHeight="1" outlineLevel="2" x14ac:dyDescent="0.3">
      <c r="A26" s="26"/>
      <c r="B26" s="12" t="str">
        <f>CONCATENATE("          ","6331"," - ","INDIRECT COSTS-AUXILIARY ORGAN")</f>
        <v xml:space="preserve">          6331 - INDIRECT COSTS-AUXILIARY ORGAN</v>
      </c>
      <c r="C26" s="12"/>
      <c r="D26" s="8">
        <v>10337.75</v>
      </c>
      <c r="E26" s="3"/>
      <c r="F26" s="7">
        <f t="shared" si="0"/>
        <v>0</v>
      </c>
      <c r="G26" s="3"/>
      <c r="H26" s="8">
        <v>11585.75</v>
      </c>
      <c r="I26" s="3"/>
      <c r="J26" s="7">
        <f t="shared" si="1"/>
        <v>0</v>
      </c>
      <c r="K26" s="3"/>
      <c r="L26" s="8">
        <f t="shared" si="2"/>
        <v>-1248</v>
      </c>
      <c r="M26" s="3"/>
      <c r="N26" s="7">
        <f t="shared" si="3"/>
        <v>-0.10771853354336146</v>
      </c>
      <c r="O26" s="12"/>
      <c r="P26" s="8">
        <v>41501</v>
      </c>
      <c r="Q26" s="3"/>
      <c r="R26" s="7">
        <f t="shared" si="4"/>
        <v>0</v>
      </c>
      <c r="S26" s="3"/>
      <c r="T26" s="8">
        <v>46568</v>
      </c>
      <c r="U26" s="3"/>
      <c r="V26" s="7">
        <f t="shared" si="5"/>
        <v>0</v>
      </c>
      <c r="W26" s="3"/>
      <c r="X26" s="8">
        <f t="shared" si="6"/>
        <v>-5067</v>
      </c>
      <c r="Y26" s="3"/>
      <c r="Z26" s="7">
        <f t="shared" si="7"/>
        <v>-0.1088086239477753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1">
        <f>+D16-D18+D28</f>
        <v>-42684.619999999995</v>
      </c>
      <c r="E30" s="15"/>
      <c r="F30" s="23">
        <f>IF(D$12=0,0,D30/D$12)</f>
        <v>0</v>
      </c>
      <c r="G30" s="15"/>
      <c r="H30" s="21">
        <f>+H16-H18+H28</f>
        <v>-43971.69</v>
      </c>
      <c r="I30" s="15"/>
      <c r="J30" s="23">
        <f>IF(H$12=0,0,H30/H$12)</f>
        <v>0</v>
      </c>
      <c r="K30" s="16"/>
      <c r="L30" s="21">
        <f>+D30-H30</f>
        <v>1287.070000000007</v>
      </c>
      <c r="M30" s="16"/>
      <c r="N30" s="23">
        <f>IF(H30=0,0,L30/H30)</f>
        <v>-2.9270423765836766E-2</v>
      </c>
      <c r="O30" s="27"/>
      <c r="P30" s="21">
        <f>+P16-P18+P28</f>
        <v>-343191.61</v>
      </c>
      <c r="Q30" s="15"/>
      <c r="R30" s="23">
        <f>IF(P$12=0,0,P30/P$12)</f>
        <v>0</v>
      </c>
      <c r="S30" s="15"/>
      <c r="T30" s="21">
        <f>+T16-T18+T28</f>
        <v>38105.579999999987</v>
      </c>
      <c r="U30" s="15"/>
      <c r="V30" s="23">
        <f>IF(T$12=0,0,T30/T$12)</f>
        <v>0</v>
      </c>
      <c r="W30" s="16"/>
      <c r="X30" s="21">
        <f>+P30-T30</f>
        <v>-381297.18999999994</v>
      </c>
      <c r="Y30" s="16"/>
      <c r="Z30" s="23">
        <f>IF(T30=0,0,X30/T30)</f>
        <v>-10.006334767768921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4">
        <f>+D30-D32</f>
        <v>-42684.619999999995</v>
      </c>
      <c r="E34" s="15"/>
      <c r="F34" s="30">
        <f>IF(D$12=0,0,D34/D$12)</f>
        <v>0</v>
      </c>
      <c r="G34" s="15"/>
      <c r="H34" s="34">
        <f>+H30-H32</f>
        <v>-43971.69</v>
      </c>
      <c r="I34" s="15"/>
      <c r="J34" s="30">
        <f>IF(H$12=0,0,H34/H$12)</f>
        <v>0</v>
      </c>
      <c r="K34" s="16"/>
      <c r="L34" s="34">
        <f>D34-H34</f>
        <v>1287.070000000007</v>
      </c>
      <c r="M34" s="16"/>
      <c r="N34" s="30">
        <f>IF(H34=0,0,L34/H34)</f>
        <v>-2.9270423765836766E-2</v>
      </c>
      <c r="O34" s="27"/>
      <c r="P34" s="34">
        <f>+P30-P32</f>
        <v>-343191.61</v>
      </c>
      <c r="Q34" s="15"/>
      <c r="R34" s="30">
        <f>IF(P$12=0,0,P34/P$12)</f>
        <v>0</v>
      </c>
      <c r="S34" s="15"/>
      <c r="T34" s="34">
        <f>+T30-T32</f>
        <v>38105.579999999987</v>
      </c>
      <c r="U34" s="15"/>
      <c r="V34" s="30">
        <f>IF(T$12=0,0,T34/T$12)</f>
        <v>0</v>
      </c>
      <c r="W34" s="16"/>
      <c r="X34" s="34">
        <f>P34-T34</f>
        <v>-381297.18999999994</v>
      </c>
      <c r="Y34" s="16"/>
      <c r="Z34" s="30">
        <f>IF(T34=0,0,X34/T34)</f>
        <v>-10.006334767768921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29">
        <f>SUM(D34:D36)</f>
        <v>-42684.619999999995</v>
      </c>
      <c r="E37" s="15"/>
      <c r="F37" s="35">
        <f>IF(D$12=0,0,D37/D$12)</f>
        <v>0</v>
      </c>
      <c r="G37" s="15"/>
      <c r="H37" s="29">
        <f>SUM(H34:H36)</f>
        <v>-43971.69</v>
      </c>
      <c r="I37" s="15"/>
      <c r="J37" s="35">
        <f>IF(H$12=0,0,H37/H$12)</f>
        <v>0</v>
      </c>
      <c r="K37" s="16"/>
      <c r="L37" s="29">
        <f>+D37-H37</f>
        <v>1287.070000000007</v>
      </c>
      <c r="M37" s="16"/>
      <c r="N37" s="35">
        <f>IF(H37=0,0,L37/H37)</f>
        <v>-2.9270423765836766E-2</v>
      </c>
      <c r="O37" s="27"/>
      <c r="P37" s="29">
        <f>SUM(P34:P36)</f>
        <v>-343191.61</v>
      </c>
      <c r="Q37" s="15"/>
      <c r="R37" s="35">
        <f>IF(P$12=0,0,P37/P$12)</f>
        <v>0</v>
      </c>
      <c r="S37" s="15"/>
      <c r="T37" s="29">
        <f>SUM(T34:T36)</f>
        <v>38105.579999999987</v>
      </c>
      <c r="U37" s="15"/>
      <c r="V37" s="35">
        <f>IF(T$12=0,0,T37/T$12)</f>
        <v>0</v>
      </c>
      <c r="W37" s="16"/>
      <c r="X37" s="29">
        <f>+P37-T37</f>
        <v>-381297.18999999994</v>
      </c>
      <c r="Y37" s="16"/>
      <c r="Z37" s="35">
        <f>IF(T37=0,0,X37/T37)</f>
        <v>-10.006334767768921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6">
        <v>44694.890829479169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2" t="s">
        <v>297</v>
      </c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A41" s="10"/>
      <c r="B41" s="58"/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771E5-1EC2-226C-0091-71A9CC849CBB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","201"," - ","General Manager")</f>
        <v>Department 201 - General Manager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46916.970000000008</v>
      </c>
      <c r="E18" s="22"/>
      <c r="F18" s="32">
        <f t="shared" ref="F18:F63" si="0">IF(D$12=0,0,D18/D$12)</f>
        <v>0</v>
      </c>
      <c r="G18" s="22"/>
      <c r="H18" s="22" cm="1">
        <f t="array" ref="H18">SUM(OSRRefH22x_0)</f>
        <v>46371.579999999994</v>
      </c>
      <c r="I18" s="22"/>
      <c r="J18" s="32">
        <f t="shared" ref="J18:J63" si="1">IF(H$12=0,0,H18/H$12)</f>
        <v>0</v>
      </c>
      <c r="K18" s="5"/>
      <c r="L18" s="22">
        <f t="shared" ref="L18:L63" si="2">+D18-H18</f>
        <v>545.39000000001397</v>
      </c>
      <c r="M18" s="5"/>
      <c r="N18" s="32">
        <f t="shared" ref="N18:N63" si="3">IF(H18=0,0,L18/H18)</f>
        <v>1.1761298622993093E-2</v>
      </c>
      <c r="O18" s="11"/>
      <c r="P18" s="22" cm="1">
        <f t="array" ref="P18">SUM(OSRRefP22x_0)</f>
        <v>487723.95999999996</v>
      </c>
      <c r="Q18" s="22"/>
      <c r="R18" s="32">
        <f t="shared" ref="R18:R63" si="4">IF(P$12=0,0,P18/P$12)</f>
        <v>0</v>
      </c>
      <c r="S18" s="22"/>
      <c r="T18" s="22" cm="1">
        <f t="array" ref="T18">SUM(OSRRefT22x_0)</f>
        <v>379487.04</v>
      </c>
      <c r="U18" s="22"/>
      <c r="V18" s="32">
        <f t="shared" ref="V18:V63" si="5">IF(T$12=0,0,T18/T$12)</f>
        <v>0</v>
      </c>
      <c r="W18" s="5"/>
      <c r="X18" s="22">
        <f t="shared" ref="X18:X63" si="6">+P18-T18</f>
        <v>108236.91999999998</v>
      </c>
      <c r="Y18" s="5"/>
      <c r="Z18" s="32">
        <f t="shared" ref="Z18:Z63" si="7">IF(T18=0,0,X18/T18)</f>
        <v>0.28521901564807056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14785.32</v>
      </c>
      <c r="E19" s="2"/>
      <c r="F19" s="6">
        <f t="shared" si="0"/>
        <v>0</v>
      </c>
      <c r="G19" s="2"/>
      <c r="H19" s="2">
        <f>SUM(OSRRefH22_0x_0)</f>
        <v>12083.72</v>
      </c>
      <c r="I19" s="2"/>
      <c r="J19" s="6">
        <f t="shared" si="1"/>
        <v>0</v>
      </c>
      <c r="K19" s="2"/>
      <c r="L19" s="2">
        <f t="shared" si="2"/>
        <v>2701.6000000000004</v>
      </c>
      <c r="M19" s="2"/>
      <c r="N19" s="6">
        <f t="shared" si="3"/>
        <v>0.2235735353020428</v>
      </c>
      <c r="O19" s="14"/>
      <c r="P19" s="2">
        <f>SUM(OSRRefP22_0x_0)</f>
        <v>143582.58000000002</v>
      </c>
      <c r="Q19" s="2"/>
      <c r="R19" s="6">
        <f t="shared" si="4"/>
        <v>0</v>
      </c>
      <c r="S19" s="2"/>
      <c r="T19" s="2">
        <f>SUM(OSRRefT22_0x_0)</f>
        <v>108419.25999999998</v>
      </c>
      <c r="U19" s="2"/>
      <c r="V19" s="6">
        <f t="shared" si="5"/>
        <v>0</v>
      </c>
      <c r="W19" s="2"/>
      <c r="X19" s="2">
        <f t="shared" si="6"/>
        <v>35163.320000000036</v>
      </c>
      <c r="Y19" s="2"/>
      <c r="Z19" s="6">
        <f t="shared" si="7"/>
        <v>0.32432724591553236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2579.06</v>
      </c>
      <c r="E20" s="3"/>
      <c r="F20" s="7">
        <f t="shared" si="0"/>
        <v>0</v>
      </c>
      <c r="G20" s="3"/>
      <c r="H20" s="8">
        <v>2184.4699999999998</v>
      </c>
      <c r="I20" s="3"/>
      <c r="J20" s="7">
        <f t="shared" si="1"/>
        <v>0</v>
      </c>
      <c r="K20" s="3"/>
      <c r="L20" s="8">
        <f t="shared" si="2"/>
        <v>394.59000000000015</v>
      </c>
      <c r="M20" s="3"/>
      <c r="N20" s="7">
        <f t="shared" si="3"/>
        <v>0.18063420417767248</v>
      </c>
      <c r="O20" s="12"/>
      <c r="P20" s="8">
        <v>18066.599999999999</v>
      </c>
      <c r="Q20" s="3"/>
      <c r="R20" s="7">
        <f t="shared" si="4"/>
        <v>0</v>
      </c>
      <c r="S20" s="3"/>
      <c r="T20" s="8">
        <v>13381.38</v>
      </c>
      <c r="U20" s="3"/>
      <c r="V20" s="7">
        <f t="shared" si="5"/>
        <v>0</v>
      </c>
      <c r="W20" s="3"/>
      <c r="X20" s="8">
        <f t="shared" si="6"/>
        <v>4685.2199999999993</v>
      </c>
      <c r="Y20" s="3"/>
      <c r="Z20" s="7">
        <f t="shared" si="7"/>
        <v>0.35012980723961201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289.61</v>
      </c>
      <c r="E21" s="3"/>
      <c r="F21" s="7">
        <f t="shared" si="0"/>
        <v>0</v>
      </c>
      <c r="G21" s="3"/>
      <c r="H21" s="8">
        <v>62.74</v>
      </c>
      <c r="I21" s="3"/>
      <c r="J21" s="7">
        <f t="shared" si="1"/>
        <v>0</v>
      </c>
      <c r="K21" s="3"/>
      <c r="L21" s="8">
        <f t="shared" si="2"/>
        <v>226.87</v>
      </c>
      <c r="M21" s="3"/>
      <c r="N21" s="7">
        <f t="shared" si="3"/>
        <v>3.6160344277972585</v>
      </c>
      <c r="O21" s="12"/>
      <c r="P21" s="8">
        <v>3318.69</v>
      </c>
      <c r="Q21" s="3"/>
      <c r="R21" s="7">
        <f t="shared" si="4"/>
        <v>0</v>
      </c>
      <c r="S21" s="3"/>
      <c r="T21" s="8">
        <v>756.81</v>
      </c>
      <c r="U21" s="3"/>
      <c r="V21" s="7">
        <f t="shared" si="5"/>
        <v>0</v>
      </c>
      <c r="W21" s="3"/>
      <c r="X21" s="8">
        <f t="shared" si="6"/>
        <v>2561.88</v>
      </c>
      <c r="Y21" s="3"/>
      <c r="Z21" s="7">
        <f t="shared" si="7"/>
        <v>3.3851032623776116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3588.59</v>
      </c>
      <c r="E22" s="3"/>
      <c r="F22" s="7">
        <f t="shared" si="0"/>
        <v>0</v>
      </c>
      <c r="G22" s="3"/>
      <c r="H22" s="8">
        <v>3917.15</v>
      </c>
      <c r="I22" s="3"/>
      <c r="J22" s="7">
        <f t="shared" si="1"/>
        <v>0</v>
      </c>
      <c r="K22" s="3"/>
      <c r="L22" s="8">
        <f t="shared" si="2"/>
        <v>-328.55999999999995</v>
      </c>
      <c r="M22" s="3"/>
      <c r="N22" s="7">
        <f t="shared" si="3"/>
        <v>-8.3877308757642655E-2</v>
      </c>
      <c r="O22" s="12"/>
      <c r="P22" s="8">
        <v>38010.699999999997</v>
      </c>
      <c r="Q22" s="3"/>
      <c r="R22" s="7">
        <f t="shared" si="4"/>
        <v>0</v>
      </c>
      <c r="S22" s="3"/>
      <c r="T22" s="8">
        <v>39882.519999999997</v>
      </c>
      <c r="U22" s="3"/>
      <c r="V22" s="7">
        <f t="shared" si="5"/>
        <v>0</v>
      </c>
      <c r="W22" s="3"/>
      <c r="X22" s="8">
        <f t="shared" si="6"/>
        <v>-1871.8199999999997</v>
      </c>
      <c r="Y22" s="3"/>
      <c r="Z22" s="7">
        <f t="shared" si="7"/>
        <v>-4.6933343229063756E-2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58.37</v>
      </c>
      <c r="E23" s="3"/>
      <c r="F23" s="7">
        <f t="shared" si="0"/>
        <v>0</v>
      </c>
      <c r="G23" s="3"/>
      <c r="H23" s="8">
        <v>49.43</v>
      </c>
      <c r="I23" s="3"/>
      <c r="J23" s="7">
        <f t="shared" si="1"/>
        <v>0</v>
      </c>
      <c r="K23" s="3"/>
      <c r="L23" s="8">
        <f t="shared" si="2"/>
        <v>8.9399999999999977</v>
      </c>
      <c r="M23" s="3"/>
      <c r="N23" s="7">
        <f t="shared" si="3"/>
        <v>0.18086182480275131</v>
      </c>
      <c r="O23" s="12"/>
      <c r="P23" s="8">
        <v>668.88</v>
      </c>
      <c r="Q23" s="3"/>
      <c r="R23" s="7">
        <f t="shared" si="4"/>
        <v>0</v>
      </c>
      <c r="S23" s="3"/>
      <c r="T23" s="8">
        <v>596.28</v>
      </c>
      <c r="U23" s="3"/>
      <c r="V23" s="7">
        <f t="shared" si="5"/>
        <v>0</v>
      </c>
      <c r="W23" s="3"/>
      <c r="X23" s="8">
        <f t="shared" si="6"/>
        <v>72.600000000000023</v>
      </c>
      <c r="Y23" s="3"/>
      <c r="Z23" s="7">
        <f t="shared" si="7"/>
        <v>0.12175488025759715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3490.5</v>
      </c>
      <c r="E24" s="3"/>
      <c r="F24" s="7">
        <f t="shared" si="0"/>
        <v>0</v>
      </c>
      <c r="G24" s="3"/>
      <c r="H24" s="8">
        <v>2049.0300000000002</v>
      </c>
      <c r="I24" s="3"/>
      <c r="J24" s="7">
        <f t="shared" si="1"/>
        <v>0</v>
      </c>
      <c r="K24" s="3"/>
      <c r="L24" s="8">
        <f t="shared" si="2"/>
        <v>1441.4699999999998</v>
      </c>
      <c r="M24" s="3"/>
      <c r="N24" s="7">
        <f t="shared" si="3"/>
        <v>0.70348896795068872</v>
      </c>
      <c r="O24" s="12"/>
      <c r="P24" s="8">
        <v>23891.25</v>
      </c>
      <c r="Q24" s="3"/>
      <c r="R24" s="7">
        <f t="shared" si="4"/>
        <v>0</v>
      </c>
      <c r="S24" s="3"/>
      <c r="T24" s="8">
        <v>25714.65</v>
      </c>
      <c r="U24" s="3"/>
      <c r="V24" s="7">
        <f t="shared" si="5"/>
        <v>0</v>
      </c>
      <c r="W24" s="3"/>
      <c r="X24" s="8">
        <f t="shared" si="6"/>
        <v>-1823.4000000000015</v>
      </c>
      <c r="Y24" s="3"/>
      <c r="Z24" s="7">
        <f t="shared" si="7"/>
        <v>-7.0908995455897766E-2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2976.96</v>
      </c>
      <c r="E25" s="3"/>
      <c r="F25" s="7">
        <f t="shared" si="0"/>
        <v>0</v>
      </c>
      <c r="G25" s="3"/>
      <c r="H25" s="8">
        <v>2488.4699999999998</v>
      </c>
      <c r="I25" s="3"/>
      <c r="J25" s="7">
        <f t="shared" si="1"/>
        <v>0</v>
      </c>
      <c r="K25" s="3"/>
      <c r="L25" s="8">
        <f t="shared" si="2"/>
        <v>488.49000000000024</v>
      </c>
      <c r="M25" s="3"/>
      <c r="N25" s="7">
        <f t="shared" si="3"/>
        <v>0.19630134178832787</v>
      </c>
      <c r="O25" s="12"/>
      <c r="P25" s="8">
        <v>26646.53</v>
      </c>
      <c r="Q25" s="3"/>
      <c r="R25" s="7">
        <f t="shared" si="4"/>
        <v>0</v>
      </c>
      <c r="S25" s="3"/>
      <c r="T25" s="8">
        <v>18248.78</v>
      </c>
      <c r="U25" s="3"/>
      <c r="V25" s="7">
        <f t="shared" si="5"/>
        <v>0</v>
      </c>
      <c r="W25" s="3"/>
      <c r="X25" s="8">
        <f t="shared" si="6"/>
        <v>8397.75</v>
      </c>
      <c r="Y25" s="3"/>
      <c r="Z25" s="7">
        <f t="shared" si="7"/>
        <v>0.46018144774609593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1530.81</v>
      </c>
      <c r="E26" s="3"/>
      <c r="F26" s="7">
        <f t="shared" si="0"/>
        <v>0</v>
      </c>
      <c r="G26" s="3"/>
      <c r="H26" s="8">
        <v>1285.2</v>
      </c>
      <c r="I26" s="3"/>
      <c r="J26" s="7">
        <f t="shared" si="1"/>
        <v>0</v>
      </c>
      <c r="K26" s="3"/>
      <c r="L26" s="8">
        <f t="shared" si="2"/>
        <v>245.6099999999999</v>
      </c>
      <c r="M26" s="3"/>
      <c r="N26" s="7">
        <f t="shared" si="3"/>
        <v>0.19110644257703072</v>
      </c>
      <c r="O26" s="12"/>
      <c r="P26" s="8">
        <v>30846.45</v>
      </c>
      <c r="Q26" s="3"/>
      <c r="R26" s="7">
        <f t="shared" si="4"/>
        <v>0</v>
      </c>
      <c r="S26" s="3"/>
      <c r="T26" s="8">
        <v>9424.7999999999993</v>
      </c>
      <c r="U26" s="3"/>
      <c r="V26" s="7">
        <f t="shared" si="5"/>
        <v>0</v>
      </c>
      <c r="W26" s="3"/>
      <c r="X26" s="8">
        <f t="shared" si="6"/>
        <v>21421.65</v>
      </c>
      <c r="Y26" s="3"/>
      <c r="Z26" s="7">
        <f t="shared" si="7"/>
        <v>2.2729023427552844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271.42</v>
      </c>
      <c r="E27" s="3"/>
      <c r="F27" s="7">
        <f t="shared" si="0"/>
        <v>0</v>
      </c>
      <c r="G27" s="3"/>
      <c r="H27" s="8">
        <v>47.23</v>
      </c>
      <c r="I27" s="3"/>
      <c r="J27" s="7">
        <f t="shared" si="1"/>
        <v>0</v>
      </c>
      <c r="K27" s="3"/>
      <c r="L27" s="8">
        <f t="shared" si="2"/>
        <v>224.19000000000003</v>
      </c>
      <c r="M27" s="3"/>
      <c r="N27" s="7">
        <f t="shared" si="3"/>
        <v>4.7467711200508163</v>
      </c>
      <c r="O27" s="12"/>
      <c r="P27" s="8">
        <v>2133.48</v>
      </c>
      <c r="Q27" s="3"/>
      <c r="R27" s="7">
        <f t="shared" si="4"/>
        <v>0</v>
      </c>
      <c r="S27" s="3"/>
      <c r="T27" s="8">
        <v>414.04</v>
      </c>
      <c r="U27" s="3"/>
      <c r="V27" s="7">
        <f t="shared" si="5"/>
        <v>0</v>
      </c>
      <c r="W27" s="3"/>
      <c r="X27" s="8">
        <f t="shared" si="6"/>
        <v>1719.44</v>
      </c>
      <c r="Y27" s="3"/>
      <c r="Z27" s="7">
        <f t="shared" si="7"/>
        <v>4.1528354748333491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24599.34</v>
      </c>
      <c r="E28" s="2"/>
      <c r="F28" s="6">
        <f t="shared" si="0"/>
        <v>0</v>
      </c>
      <c r="G28" s="2"/>
      <c r="H28" s="2">
        <f>SUM(OSRRefH22_1x_0)</f>
        <v>22003.08</v>
      </c>
      <c r="I28" s="2"/>
      <c r="J28" s="6">
        <f t="shared" si="1"/>
        <v>0</v>
      </c>
      <c r="K28" s="2"/>
      <c r="L28" s="2">
        <f t="shared" si="2"/>
        <v>2596.2599999999984</v>
      </c>
      <c r="M28" s="2"/>
      <c r="N28" s="6">
        <f t="shared" si="3"/>
        <v>0.1179952988399805</v>
      </c>
      <c r="O28" s="14"/>
      <c r="P28" s="2">
        <f>SUM(OSRRefP22_1x_0)</f>
        <v>214820.42</v>
      </c>
      <c r="Q28" s="2"/>
      <c r="R28" s="6">
        <f t="shared" si="4"/>
        <v>0</v>
      </c>
      <c r="S28" s="2"/>
      <c r="T28" s="2">
        <f>SUM(OSRRefT22_1x_0)</f>
        <v>150968.49</v>
      </c>
      <c r="U28" s="2"/>
      <c r="V28" s="6">
        <f t="shared" si="5"/>
        <v>0</v>
      </c>
      <c r="W28" s="2"/>
      <c r="X28" s="2">
        <f t="shared" si="6"/>
        <v>63851.930000000022</v>
      </c>
      <c r="Y28" s="2"/>
      <c r="Z28" s="6">
        <f t="shared" si="7"/>
        <v>0.42294872261092381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18577.310000000001</v>
      </c>
      <c r="E29" s="3"/>
      <c r="F29" s="7">
        <f t="shared" si="0"/>
        <v>0</v>
      </c>
      <c r="G29" s="3"/>
      <c r="H29" s="8">
        <v>17106.48</v>
      </c>
      <c r="I29" s="3"/>
      <c r="J29" s="7">
        <f t="shared" si="1"/>
        <v>0</v>
      </c>
      <c r="K29" s="3"/>
      <c r="L29" s="8">
        <f t="shared" si="2"/>
        <v>1470.8300000000017</v>
      </c>
      <c r="M29" s="3"/>
      <c r="N29" s="7">
        <f t="shared" si="3"/>
        <v>8.5980868068708569E-2</v>
      </c>
      <c r="O29" s="12"/>
      <c r="P29" s="8">
        <v>165393.29</v>
      </c>
      <c r="Q29" s="3"/>
      <c r="R29" s="7">
        <f t="shared" si="4"/>
        <v>0</v>
      </c>
      <c r="S29" s="3"/>
      <c r="T29" s="8">
        <v>150296.57</v>
      </c>
      <c r="U29" s="3"/>
      <c r="V29" s="7">
        <f t="shared" si="5"/>
        <v>0</v>
      </c>
      <c r="W29" s="3"/>
      <c r="X29" s="8">
        <f t="shared" si="6"/>
        <v>15096.720000000001</v>
      </c>
      <c r="Y29" s="3"/>
      <c r="Z29" s="7">
        <f t="shared" si="7"/>
        <v>0.10044620446095344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6022.03</v>
      </c>
      <c r="E30" s="3"/>
      <c r="F30" s="7">
        <f t="shared" si="0"/>
        <v>0</v>
      </c>
      <c r="G30" s="3"/>
      <c r="H30" s="8">
        <v>4896.6000000000004</v>
      </c>
      <c r="I30" s="3"/>
      <c r="J30" s="7">
        <f t="shared" si="1"/>
        <v>0</v>
      </c>
      <c r="K30" s="3"/>
      <c r="L30" s="8">
        <f t="shared" si="2"/>
        <v>1125.4299999999994</v>
      </c>
      <c r="M30" s="3"/>
      <c r="N30" s="7">
        <f t="shared" si="3"/>
        <v>0.22983907200914908</v>
      </c>
      <c r="O30" s="12"/>
      <c r="P30" s="8">
        <v>49297.03</v>
      </c>
      <c r="Q30" s="3"/>
      <c r="R30" s="7">
        <f t="shared" si="4"/>
        <v>0</v>
      </c>
      <c r="S30" s="3"/>
      <c r="T30" s="8">
        <v>45629.21</v>
      </c>
      <c r="U30" s="3"/>
      <c r="V30" s="7">
        <f t="shared" si="5"/>
        <v>0</v>
      </c>
      <c r="W30" s="3"/>
      <c r="X30" s="8">
        <f t="shared" si="6"/>
        <v>3667.8199999999997</v>
      </c>
      <c r="Y30" s="3"/>
      <c r="Z30" s="7">
        <f t="shared" si="7"/>
        <v>8.0383158069140356E-2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70.88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70.88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","6007"," - ","STUDENT HOURLY")</f>
        <v xml:space="preserve">          6007 - STUDENT 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59.22</v>
      </c>
      <c r="Q32" s="3"/>
      <c r="R32" s="7">
        <f t="shared" si="4"/>
        <v>0</v>
      </c>
      <c r="S32" s="3"/>
      <c r="T32" s="8">
        <v>-44957.29</v>
      </c>
      <c r="U32" s="3"/>
      <c r="V32" s="7">
        <f t="shared" si="5"/>
        <v>0</v>
      </c>
      <c r="W32" s="3"/>
      <c r="X32" s="8">
        <f t="shared" si="6"/>
        <v>45016.51</v>
      </c>
      <c r="Y32" s="3"/>
      <c r="Z32" s="7">
        <f t="shared" si="7"/>
        <v>-1.0013172502168168</v>
      </c>
    </row>
    <row r="33" spans="1:26" s="68" customFormat="1" ht="15" customHeight="1" outlineLevel="1" collapsed="1" x14ac:dyDescent="0.3">
      <c r="A33" s="25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0</v>
      </c>
      <c r="E33" s="2"/>
      <c r="F33" s="6">
        <f t="shared" si="0"/>
        <v>0</v>
      </c>
      <c r="G33" s="2"/>
      <c r="H33" s="2">
        <f>SUM(OSRRefH22_2x_0)</f>
        <v>106.3</v>
      </c>
      <c r="I33" s="2"/>
      <c r="J33" s="6">
        <f t="shared" si="1"/>
        <v>0</v>
      </c>
      <c r="K33" s="2"/>
      <c r="L33" s="2">
        <f t="shared" si="2"/>
        <v>-106.3</v>
      </c>
      <c r="M33" s="2"/>
      <c r="N33" s="6">
        <f t="shared" si="3"/>
        <v>-1</v>
      </c>
      <c r="O33" s="14"/>
      <c r="P33" s="2">
        <f>SUM(OSRRefP22_2x_0)</f>
        <v>1969.62</v>
      </c>
      <c r="Q33" s="2"/>
      <c r="R33" s="6">
        <f t="shared" si="4"/>
        <v>0</v>
      </c>
      <c r="S33" s="2"/>
      <c r="T33" s="2">
        <f>SUM(OSRRefT22_2x_0)</f>
        <v>173.1</v>
      </c>
      <c r="U33" s="2"/>
      <c r="V33" s="6">
        <f t="shared" si="5"/>
        <v>0</v>
      </c>
      <c r="W33" s="2"/>
      <c r="X33" s="2">
        <f t="shared" si="6"/>
        <v>1796.52</v>
      </c>
      <c r="Y33" s="2"/>
      <c r="Z33" s="6">
        <f t="shared" si="7"/>
        <v>10.378509532062392</v>
      </c>
    </row>
    <row r="34" spans="1:26" s="69" customFormat="1" ht="15" hidden="1" customHeight="1" outlineLevel="2" x14ac:dyDescent="0.3">
      <c r="A34" s="26"/>
      <c r="B34" s="12" t="str">
        <f>CONCATENATE("          ","6362"," - ","ADVERTISING EXPENSE")</f>
        <v xml:space="preserve">          6362 - ADVERTISING EXPENSE</v>
      </c>
      <c r="C34" s="12"/>
      <c r="D34" s="8"/>
      <c r="E34" s="3"/>
      <c r="F34" s="7">
        <f t="shared" si="0"/>
        <v>0</v>
      </c>
      <c r="G34" s="3"/>
      <c r="H34" s="8">
        <v>106.3</v>
      </c>
      <c r="I34" s="3"/>
      <c r="J34" s="7">
        <f t="shared" si="1"/>
        <v>0</v>
      </c>
      <c r="K34" s="3"/>
      <c r="L34" s="8">
        <f t="shared" si="2"/>
        <v>-106.3</v>
      </c>
      <c r="M34" s="3"/>
      <c r="N34" s="7">
        <f t="shared" si="3"/>
        <v>-1</v>
      </c>
      <c r="O34" s="12"/>
      <c r="P34" s="8">
        <v>1969.62</v>
      </c>
      <c r="Q34" s="3"/>
      <c r="R34" s="7">
        <f t="shared" si="4"/>
        <v>0</v>
      </c>
      <c r="S34" s="3"/>
      <c r="T34" s="8">
        <v>173.1</v>
      </c>
      <c r="U34" s="3"/>
      <c r="V34" s="7">
        <f t="shared" si="5"/>
        <v>0</v>
      </c>
      <c r="W34" s="3"/>
      <c r="X34" s="8">
        <f t="shared" si="6"/>
        <v>1796.52</v>
      </c>
      <c r="Y34" s="3"/>
      <c r="Z34" s="7">
        <f t="shared" si="7"/>
        <v>10.378509532062392</v>
      </c>
    </row>
    <row r="35" spans="1:26" s="68" customFormat="1" ht="15" customHeight="1" outlineLevel="1" collapsed="1" x14ac:dyDescent="0.3">
      <c r="A35" s="25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314.87</v>
      </c>
      <c r="E35" s="2"/>
      <c r="F35" s="6">
        <f t="shared" si="0"/>
        <v>0</v>
      </c>
      <c r="G35" s="2"/>
      <c r="H35" s="2">
        <f>SUM(OSRRefH22_3x_0)</f>
        <v>314.87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3148.7</v>
      </c>
      <c r="Q35" s="2"/>
      <c r="R35" s="6">
        <f t="shared" si="4"/>
        <v>0</v>
      </c>
      <c r="S35" s="2"/>
      <c r="T35" s="2">
        <f>SUM(OSRRefT22_3x_0)</f>
        <v>3148.7</v>
      </c>
      <c r="U35" s="2"/>
      <c r="V35" s="6">
        <f t="shared" si="5"/>
        <v>0</v>
      </c>
      <c r="W35" s="2"/>
      <c r="X35" s="2">
        <f t="shared" si="6"/>
        <v>0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","6322"," - ","EQUIPMENT DEPRECIATION EXPENSE")</f>
        <v xml:space="preserve">          6322 - EQUIPMENT DEPRECIATION EXPENSE</v>
      </c>
      <c r="C36" s="12"/>
      <c r="D36" s="8">
        <v>314.87</v>
      </c>
      <c r="E36" s="3"/>
      <c r="F36" s="7">
        <f t="shared" si="0"/>
        <v>0</v>
      </c>
      <c r="G36" s="3"/>
      <c r="H36" s="8">
        <v>314.87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3148.7</v>
      </c>
      <c r="Q36" s="3"/>
      <c r="R36" s="7">
        <f t="shared" si="4"/>
        <v>0</v>
      </c>
      <c r="S36" s="3"/>
      <c r="T36" s="8">
        <v>3148.7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","Donations                                         ")</f>
        <v xml:space="preserve">     Donations             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1500</v>
      </c>
      <c r="I37" s="2"/>
      <c r="J37" s="6">
        <f t="shared" si="1"/>
        <v>0</v>
      </c>
      <c r="K37" s="2"/>
      <c r="L37" s="2">
        <f t="shared" si="2"/>
        <v>-1500</v>
      </c>
      <c r="M37" s="2"/>
      <c r="N37" s="6">
        <f t="shared" si="3"/>
        <v>-1</v>
      </c>
      <c r="O37" s="14"/>
      <c r="P37" s="2">
        <f>SUM(OSRRefP22_4x_0)</f>
        <v>25300</v>
      </c>
      <c r="Q37" s="2"/>
      <c r="R37" s="6">
        <f t="shared" si="4"/>
        <v>0</v>
      </c>
      <c r="S37" s="2"/>
      <c r="T37" s="2">
        <f>SUM(OSRRefT22_4x_0)</f>
        <v>26500</v>
      </c>
      <c r="U37" s="2"/>
      <c r="V37" s="6">
        <f t="shared" si="5"/>
        <v>0</v>
      </c>
      <c r="W37" s="2"/>
      <c r="X37" s="2">
        <f t="shared" si="6"/>
        <v>-1200</v>
      </c>
      <c r="Y37" s="2"/>
      <c r="Z37" s="6">
        <f t="shared" si="7"/>
        <v>-4.5283018867924525E-2</v>
      </c>
    </row>
    <row r="38" spans="1:26" s="69" customFormat="1" ht="15" hidden="1" customHeight="1" outlineLevel="2" x14ac:dyDescent="0.3">
      <c r="A38" s="26"/>
      <c r="B38" s="12" t="str">
        <f>CONCATENATE("          ","6399"," - ","DONATION-ON CAMPUS")</f>
        <v xml:space="preserve">          6399 - DONATION-ON CAMPUS</v>
      </c>
      <c r="C38" s="12"/>
      <c r="D38" s="8"/>
      <c r="E38" s="3"/>
      <c r="F38" s="7">
        <f t="shared" si="0"/>
        <v>0</v>
      </c>
      <c r="G38" s="3"/>
      <c r="H38" s="8">
        <v>1500</v>
      </c>
      <c r="I38" s="3"/>
      <c r="J38" s="7">
        <f t="shared" si="1"/>
        <v>0</v>
      </c>
      <c r="K38" s="3"/>
      <c r="L38" s="8">
        <f t="shared" si="2"/>
        <v>-1500</v>
      </c>
      <c r="M38" s="3"/>
      <c r="N38" s="7">
        <f t="shared" si="3"/>
        <v>-1</v>
      </c>
      <c r="O38" s="12"/>
      <c r="P38" s="8">
        <v>25300</v>
      </c>
      <c r="Q38" s="3"/>
      <c r="R38" s="7">
        <f t="shared" si="4"/>
        <v>0</v>
      </c>
      <c r="S38" s="3"/>
      <c r="T38" s="8">
        <v>26500</v>
      </c>
      <c r="U38" s="3"/>
      <c r="V38" s="7">
        <f t="shared" si="5"/>
        <v>0</v>
      </c>
      <c r="W38" s="3"/>
      <c r="X38" s="8">
        <f t="shared" si="6"/>
        <v>-1200</v>
      </c>
      <c r="Y38" s="3"/>
      <c r="Z38" s="7">
        <f t="shared" si="7"/>
        <v>-4.5283018867924525E-2</v>
      </c>
    </row>
    <row r="39" spans="1:26" s="68" customFormat="1" ht="15" customHeight="1" outlineLevel="1" collapsed="1" x14ac:dyDescent="0.3">
      <c r="A39" s="25"/>
      <c r="B39" s="14" t="str">
        <f>CONCATENATE("     ","Employees' Appreciation                           ")</f>
        <v xml:space="preserve">     Employees' Appreciation                           </v>
      </c>
      <c r="C39" s="14"/>
      <c r="D39" s="2">
        <f>SUM(OSRRefD22_5x_0)</f>
        <v>0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SUM(OSRRefP22_5x_0)</f>
        <v>635.58000000000004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635.58000000000004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","6277"," - ","EMPLOYEE APPRECIATION")</f>
        <v xml:space="preserve">          6277 - EMPLOYEE APPRECIATION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635.58000000000004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635.58000000000004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","Equipment Rental                                  ")</f>
        <v xml:space="preserve">     Equipment Rental                                  </v>
      </c>
      <c r="C41" s="14"/>
      <c r="D41" s="2">
        <f>SUM(OSRRefD22_6x_0)</f>
        <v>117.71</v>
      </c>
      <c r="E41" s="2"/>
      <c r="F41" s="6">
        <f t="shared" si="0"/>
        <v>0</v>
      </c>
      <c r="G41" s="2"/>
      <c r="H41" s="2">
        <f>SUM(OSRRefH22_6x_0)</f>
        <v>117.71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1177.0999999999999</v>
      </c>
      <c r="Q41" s="2"/>
      <c r="R41" s="6">
        <f t="shared" si="4"/>
        <v>0</v>
      </c>
      <c r="S41" s="2"/>
      <c r="T41" s="2">
        <f>SUM(OSRRefT22_6x_0)</f>
        <v>1268.3599999999999</v>
      </c>
      <c r="U41" s="2"/>
      <c r="V41" s="6">
        <f t="shared" si="5"/>
        <v>0</v>
      </c>
      <c r="W41" s="2"/>
      <c r="X41" s="2">
        <f t="shared" si="6"/>
        <v>-91.259999999999991</v>
      </c>
      <c r="Y41" s="2"/>
      <c r="Z41" s="6">
        <f t="shared" si="7"/>
        <v>-7.1951181052697974E-2</v>
      </c>
    </row>
    <row r="42" spans="1:26" s="69" customFormat="1" ht="15" hidden="1" customHeight="1" outlineLevel="2" x14ac:dyDescent="0.3">
      <c r="A42" s="26"/>
      <c r="B42" s="12" t="str">
        <f>CONCATENATE("          ","6351"," - ","EQUIPMENT RENTAL")</f>
        <v xml:space="preserve">          6351 - EQUIPMENT RENTAL</v>
      </c>
      <c r="C42" s="12"/>
      <c r="D42" s="8">
        <v>117.71</v>
      </c>
      <c r="E42" s="3"/>
      <c r="F42" s="7">
        <f t="shared" si="0"/>
        <v>0</v>
      </c>
      <c r="G42" s="3"/>
      <c r="H42" s="8">
        <v>117.71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1177.0999999999999</v>
      </c>
      <c r="Q42" s="3"/>
      <c r="R42" s="7">
        <f t="shared" si="4"/>
        <v>0</v>
      </c>
      <c r="S42" s="3"/>
      <c r="T42" s="8">
        <v>1268.3599999999999</v>
      </c>
      <c r="U42" s="3"/>
      <c r="V42" s="7">
        <f t="shared" si="5"/>
        <v>0</v>
      </c>
      <c r="W42" s="3"/>
      <c r="X42" s="8">
        <f t="shared" si="6"/>
        <v>-91.259999999999991</v>
      </c>
      <c r="Y42" s="3"/>
      <c r="Z42" s="7">
        <f t="shared" si="7"/>
        <v>-7.1951181052697974E-2</v>
      </c>
    </row>
    <row r="43" spans="1:26" s="68" customFormat="1" ht="15" customHeight="1" outlineLevel="1" collapsed="1" x14ac:dyDescent="0.3">
      <c r="A43" s="25"/>
      <c r="B43" s="14" t="str">
        <f>CONCATENATE("     ","Freight out/Postage                               ")</f>
        <v xml:space="preserve">     Freight out/Postage                               </v>
      </c>
      <c r="C43" s="14"/>
      <c r="D43" s="2">
        <f>SUM(OSRRefD22_7x_0)</f>
        <v>0</v>
      </c>
      <c r="E43" s="2"/>
      <c r="F43" s="6">
        <f t="shared" si="0"/>
        <v>0</v>
      </c>
      <c r="G43" s="2"/>
      <c r="H43" s="2">
        <f>SUM(OSRRefH22_7x_0)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SUM(OSRRefP22_7x_0)</f>
        <v>32.17</v>
      </c>
      <c r="Q43" s="2"/>
      <c r="R43" s="6">
        <f t="shared" si="4"/>
        <v>0</v>
      </c>
      <c r="S43" s="2"/>
      <c r="T43" s="2">
        <f>SUM(OSRRefT22_7x_0)</f>
        <v>66.59</v>
      </c>
      <c r="U43" s="2"/>
      <c r="V43" s="6">
        <f t="shared" si="5"/>
        <v>0</v>
      </c>
      <c r="W43" s="2"/>
      <c r="X43" s="2">
        <f t="shared" si="6"/>
        <v>-34.42</v>
      </c>
      <c r="Y43" s="2"/>
      <c r="Z43" s="6">
        <f t="shared" si="7"/>
        <v>-0.51689442859288182</v>
      </c>
    </row>
    <row r="44" spans="1:26" s="69" customFormat="1" ht="15" hidden="1" customHeight="1" outlineLevel="2" x14ac:dyDescent="0.3">
      <c r="A44" s="26"/>
      <c r="B44" s="12" t="str">
        <f>CONCATENATE("          ","6307"," - ","POSTAGE")</f>
        <v xml:space="preserve">          6307 - POSTAGE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32.17</v>
      </c>
      <c r="Q44" s="3"/>
      <c r="R44" s="7">
        <f t="shared" si="4"/>
        <v>0</v>
      </c>
      <c r="S44" s="3"/>
      <c r="T44" s="8">
        <v>66.59</v>
      </c>
      <c r="U44" s="3"/>
      <c r="V44" s="7">
        <f t="shared" si="5"/>
        <v>0</v>
      </c>
      <c r="W44" s="3"/>
      <c r="X44" s="8">
        <f t="shared" si="6"/>
        <v>-34.42</v>
      </c>
      <c r="Y44" s="3"/>
      <c r="Z44" s="7">
        <f t="shared" si="7"/>
        <v>-0.51689442859288182</v>
      </c>
    </row>
    <row r="45" spans="1:26" s="68" customFormat="1" ht="15" customHeight="1" outlineLevel="1" collapsed="1" x14ac:dyDescent="0.3">
      <c r="A45" s="25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SUM(OSRRefD22_8x_0)</f>
        <v>156.47999999999999</v>
      </c>
      <c r="E45" s="2"/>
      <c r="F45" s="6">
        <f t="shared" si="0"/>
        <v>0</v>
      </c>
      <c r="G45" s="2"/>
      <c r="H45" s="2">
        <f>SUM(OSRRefH22_8x_0)</f>
        <v>115.13</v>
      </c>
      <c r="I45" s="2"/>
      <c r="J45" s="6">
        <f t="shared" si="1"/>
        <v>0</v>
      </c>
      <c r="K45" s="2"/>
      <c r="L45" s="2">
        <f t="shared" si="2"/>
        <v>41.349999999999994</v>
      </c>
      <c r="M45" s="2"/>
      <c r="N45" s="6">
        <f t="shared" si="3"/>
        <v>0.35915921132632672</v>
      </c>
      <c r="O45" s="14"/>
      <c r="P45" s="2">
        <f>SUM(OSRRefP22_8x_0)</f>
        <v>1564.8</v>
      </c>
      <c r="Q45" s="2"/>
      <c r="R45" s="6">
        <f t="shared" si="4"/>
        <v>0</v>
      </c>
      <c r="S45" s="2"/>
      <c r="T45" s="2">
        <f>SUM(OSRRefT22_8x_0)</f>
        <v>1151.3</v>
      </c>
      <c r="U45" s="2"/>
      <c r="V45" s="6">
        <f t="shared" si="5"/>
        <v>0</v>
      </c>
      <c r="W45" s="2"/>
      <c r="X45" s="2">
        <f t="shared" si="6"/>
        <v>413.5</v>
      </c>
      <c r="Y45" s="2"/>
      <c r="Z45" s="6">
        <f t="shared" si="7"/>
        <v>0.35915921132632678</v>
      </c>
    </row>
    <row r="46" spans="1:26" s="69" customFormat="1" ht="15" hidden="1" customHeight="1" outlineLevel="2" x14ac:dyDescent="0.3">
      <c r="A46" s="26"/>
      <c r="B46" s="12" t="str">
        <f>CONCATENATE("          ","6314"," - ","LIABILITY INSURANCE")</f>
        <v xml:space="preserve">          6314 - LIABILITY INSURANCE</v>
      </c>
      <c r="C46" s="12"/>
      <c r="D46" s="8">
        <v>156.47999999999999</v>
      </c>
      <c r="E46" s="3"/>
      <c r="F46" s="7">
        <f t="shared" si="0"/>
        <v>0</v>
      </c>
      <c r="G46" s="3"/>
      <c r="H46" s="8">
        <v>115.13</v>
      </c>
      <c r="I46" s="3"/>
      <c r="J46" s="7">
        <f t="shared" si="1"/>
        <v>0</v>
      </c>
      <c r="K46" s="3"/>
      <c r="L46" s="8">
        <f t="shared" si="2"/>
        <v>41.349999999999994</v>
      </c>
      <c r="M46" s="3"/>
      <c r="N46" s="7">
        <f t="shared" si="3"/>
        <v>0.35915921132632672</v>
      </c>
      <c r="O46" s="12"/>
      <c r="P46" s="8">
        <v>1564.8</v>
      </c>
      <c r="Q46" s="3"/>
      <c r="R46" s="7">
        <f t="shared" si="4"/>
        <v>0</v>
      </c>
      <c r="S46" s="3"/>
      <c r="T46" s="8">
        <v>1151.3</v>
      </c>
      <c r="U46" s="3"/>
      <c r="V46" s="7">
        <f t="shared" si="5"/>
        <v>0</v>
      </c>
      <c r="W46" s="3"/>
      <c r="X46" s="8">
        <f t="shared" si="6"/>
        <v>413.5</v>
      </c>
      <c r="Y46" s="3"/>
      <c r="Z46" s="7">
        <f t="shared" si="7"/>
        <v>0.35915921132632678</v>
      </c>
    </row>
    <row r="47" spans="1:26" s="68" customFormat="1" ht="15" customHeight="1" outlineLevel="1" collapsed="1" x14ac:dyDescent="0.3">
      <c r="A47" s="25"/>
      <c r="B47" s="14" t="str">
        <f>CONCATENATE("     ","Professional Services                             ")</f>
        <v xml:space="preserve">     Professional Services                             </v>
      </c>
      <c r="C47" s="14"/>
      <c r="D47" s="2">
        <f>SUM(OSRRefD22_9x_0)</f>
        <v>0</v>
      </c>
      <c r="E47" s="2"/>
      <c r="F47" s="6">
        <f t="shared" si="0"/>
        <v>0</v>
      </c>
      <c r="G47" s="2"/>
      <c r="H47" s="2">
        <f>SUM(OSRRefH22_9x_0)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SUM(OSRRefP22_9x_0)</f>
        <v>56875</v>
      </c>
      <c r="Q47" s="2"/>
      <c r="R47" s="6">
        <f t="shared" si="4"/>
        <v>0</v>
      </c>
      <c r="S47" s="2"/>
      <c r="T47" s="2">
        <f>SUM(OSRRefT22_9x_0)</f>
        <v>50379.24</v>
      </c>
      <c r="U47" s="2"/>
      <c r="V47" s="6">
        <f t="shared" si="5"/>
        <v>0</v>
      </c>
      <c r="W47" s="2"/>
      <c r="X47" s="2">
        <f t="shared" si="6"/>
        <v>6495.760000000002</v>
      </c>
      <c r="Y47" s="2"/>
      <c r="Z47" s="6">
        <f t="shared" si="7"/>
        <v>0.12893723684597072</v>
      </c>
    </row>
    <row r="48" spans="1:26" s="69" customFormat="1" ht="15" hidden="1" customHeight="1" outlineLevel="2" x14ac:dyDescent="0.3">
      <c r="A48" s="26"/>
      <c r="B48" s="12" t="str">
        <f>CONCATENATE("          ","6331"," - ","INDIRECT COSTS-AUXILIARY ORGAN")</f>
        <v xml:space="preserve">          6331 - INDIRECT COSTS-AUXILIARY ORGAN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48350</v>
      </c>
      <c r="Q48" s="3"/>
      <c r="R48" s="7">
        <f t="shared" si="4"/>
        <v>0</v>
      </c>
      <c r="S48" s="3"/>
      <c r="T48" s="8">
        <v>45850</v>
      </c>
      <c r="U48" s="3"/>
      <c r="V48" s="7">
        <f t="shared" si="5"/>
        <v>0</v>
      </c>
      <c r="W48" s="3"/>
      <c r="X48" s="8">
        <f t="shared" si="6"/>
        <v>2500</v>
      </c>
      <c r="Y48" s="3"/>
      <c r="Z48" s="7">
        <f t="shared" si="7"/>
        <v>5.4525627044711013E-2</v>
      </c>
    </row>
    <row r="49" spans="1:26" s="69" customFormat="1" ht="15" hidden="1" customHeight="1" outlineLevel="2" x14ac:dyDescent="0.3">
      <c r="A49" s="26"/>
      <c r="B49" s="12" t="str">
        <f>CONCATENATE("          ","6334"," - ","LEGAL COUNCIL EXPENSE")</f>
        <v xml:space="preserve">          6334 - LEGAL COUNCIL EXPENSE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200</v>
      </c>
      <c r="Q49" s="3"/>
      <c r="R49" s="7">
        <f t="shared" si="4"/>
        <v>0</v>
      </c>
      <c r="S49" s="3"/>
      <c r="T49" s="8">
        <v>4529.24</v>
      </c>
      <c r="U49" s="3"/>
      <c r="V49" s="7">
        <f t="shared" si="5"/>
        <v>0</v>
      </c>
      <c r="W49" s="3"/>
      <c r="X49" s="8">
        <f t="shared" si="6"/>
        <v>-4329.24</v>
      </c>
      <c r="Y49" s="3"/>
      <c r="Z49" s="7">
        <f t="shared" si="7"/>
        <v>-0.95584248129929084</v>
      </c>
    </row>
    <row r="50" spans="1:26" s="69" customFormat="1" ht="15" hidden="1" customHeight="1" outlineLevel="2" x14ac:dyDescent="0.3">
      <c r="A50" s="26"/>
      <c r="B50" s="12" t="str">
        <f>CONCATENATE("          ","6336"," - ","PROFESSIONAL SERVICES")</f>
        <v xml:space="preserve">          6336 - PROFESSIONAL SERVICES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8325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8325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5"/>
      <c r="B51" s="14" t="str">
        <f>CONCATENATE("     ","Repair and Maintenance                            ")</f>
        <v xml:space="preserve">     Repair and Maintenance                            </v>
      </c>
      <c r="C51" s="14"/>
      <c r="D51" s="2">
        <f>SUM(OSRRefD22_10x_0)</f>
        <v>2643.22</v>
      </c>
      <c r="E51" s="2"/>
      <c r="F51" s="6">
        <f t="shared" si="0"/>
        <v>0</v>
      </c>
      <c r="G51" s="2"/>
      <c r="H51" s="2">
        <f>SUM(OSRRefH22_10x_0)</f>
        <v>2217.46</v>
      </c>
      <c r="I51" s="2"/>
      <c r="J51" s="6">
        <f t="shared" si="1"/>
        <v>0</v>
      </c>
      <c r="K51" s="2"/>
      <c r="L51" s="2">
        <f t="shared" si="2"/>
        <v>425.75999999999976</v>
      </c>
      <c r="M51" s="2"/>
      <c r="N51" s="6">
        <f t="shared" si="3"/>
        <v>0.19200346342211347</v>
      </c>
      <c r="O51" s="14"/>
      <c r="P51" s="2">
        <f>SUM(OSRRefP22_10x_0)</f>
        <v>28168.93</v>
      </c>
      <c r="Q51" s="2"/>
      <c r="R51" s="6">
        <f t="shared" si="4"/>
        <v>0</v>
      </c>
      <c r="S51" s="2"/>
      <c r="T51" s="2">
        <f>SUM(OSRRefT22_10x_0)</f>
        <v>22129.19</v>
      </c>
      <c r="U51" s="2"/>
      <c r="V51" s="6">
        <f t="shared" si="5"/>
        <v>0</v>
      </c>
      <c r="W51" s="2"/>
      <c r="X51" s="2">
        <f t="shared" si="6"/>
        <v>6039.7400000000016</v>
      </c>
      <c r="Y51" s="2"/>
      <c r="Z51" s="6">
        <f t="shared" si="7"/>
        <v>0.27293091161493044</v>
      </c>
    </row>
    <row r="52" spans="1:26" s="69" customFormat="1" ht="15" hidden="1" customHeight="1" outlineLevel="2" x14ac:dyDescent="0.3">
      <c r="A52" s="26"/>
      <c r="B52" s="12" t="str">
        <f>CONCATENATE("          ","6371"," - ","COMPUTER SOFTWARE MAINTENANCE")</f>
        <v xml:space="preserve">          6371 - COMPUTER SOFTWARE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1980</v>
      </c>
      <c r="U52" s="3"/>
      <c r="V52" s="7">
        <f t="shared" si="5"/>
        <v>0</v>
      </c>
      <c r="W52" s="3"/>
      <c r="X52" s="8">
        <f t="shared" si="6"/>
        <v>-1980</v>
      </c>
      <c r="Y52" s="3"/>
      <c r="Z52" s="7">
        <f t="shared" si="7"/>
        <v>-1</v>
      </c>
    </row>
    <row r="53" spans="1:26" s="69" customFormat="1" ht="15" hidden="1" customHeight="1" outlineLevel="2" x14ac:dyDescent="0.3">
      <c r="A53" s="26"/>
      <c r="B53" s="12" t="str">
        <f>CONCATENATE("          ","6373"," - ","MAINTENANCE CONTRACTS")</f>
        <v xml:space="preserve">          6373 - MAINTENANCE CONTRACTS</v>
      </c>
      <c r="C53" s="12"/>
      <c r="D53" s="8">
        <v>2643.22</v>
      </c>
      <c r="E53" s="3"/>
      <c r="F53" s="7">
        <f t="shared" si="0"/>
        <v>0</v>
      </c>
      <c r="G53" s="3"/>
      <c r="H53" s="8">
        <v>2217.46</v>
      </c>
      <c r="I53" s="3"/>
      <c r="J53" s="7">
        <f t="shared" si="1"/>
        <v>0</v>
      </c>
      <c r="K53" s="3"/>
      <c r="L53" s="8">
        <f t="shared" si="2"/>
        <v>425.75999999999976</v>
      </c>
      <c r="M53" s="3"/>
      <c r="N53" s="7">
        <f t="shared" si="3"/>
        <v>0.19200346342211347</v>
      </c>
      <c r="O53" s="12"/>
      <c r="P53" s="8">
        <v>28070.94</v>
      </c>
      <c r="Q53" s="3"/>
      <c r="R53" s="7">
        <f t="shared" si="4"/>
        <v>0</v>
      </c>
      <c r="S53" s="3"/>
      <c r="T53" s="8">
        <v>20149.189999999999</v>
      </c>
      <c r="U53" s="3"/>
      <c r="V53" s="7">
        <f t="shared" si="5"/>
        <v>0</v>
      </c>
      <c r="W53" s="3"/>
      <c r="X53" s="8">
        <f t="shared" si="6"/>
        <v>7921.75</v>
      </c>
      <c r="Y53" s="3"/>
      <c r="Z53" s="7">
        <f t="shared" si="7"/>
        <v>0.39315476205246963</v>
      </c>
    </row>
    <row r="54" spans="1:26" s="69" customFormat="1" ht="15" hidden="1" customHeight="1" outlineLevel="2" x14ac:dyDescent="0.3">
      <c r="A54" s="26"/>
      <c r="B54" s="12" t="str">
        <f>CONCATENATE("          ","6375"," - ","OUTSIDE REPAIRS &amp; MAINTENANCE")</f>
        <v xml:space="preserve">          6375 - OUTSIDE REPAIRS &amp; MAINTENANCE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97.99</v>
      </c>
      <c r="Q54" s="3"/>
      <c r="R54" s="7">
        <f t="shared" si="4"/>
        <v>0</v>
      </c>
      <c r="S54" s="3"/>
      <c r="T54" s="8"/>
      <c r="U54" s="3"/>
      <c r="V54" s="7">
        <f t="shared" si="5"/>
        <v>0</v>
      </c>
      <c r="W54" s="3"/>
      <c r="X54" s="8">
        <f t="shared" si="6"/>
        <v>97.99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5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2">
        <f>SUM(OSRRefD22_11x_0)</f>
        <v>3847</v>
      </c>
      <c r="E55" s="2"/>
      <c r="F55" s="6">
        <f t="shared" si="0"/>
        <v>0</v>
      </c>
      <c r="G55" s="2"/>
      <c r="H55" s="2">
        <f>SUM(OSRRefH22_11x_0)</f>
        <v>4668</v>
      </c>
      <c r="I55" s="2"/>
      <c r="J55" s="6">
        <f t="shared" si="1"/>
        <v>0</v>
      </c>
      <c r="K55" s="2"/>
      <c r="L55" s="2">
        <f t="shared" si="2"/>
        <v>-821</v>
      </c>
      <c r="M55" s="2"/>
      <c r="N55" s="6">
        <f t="shared" si="3"/>
        <v>-0.1758783204798629</v>
      </c>
      <c r="O55" s="14"/>
      <c r="P55" s="2">
        <f>SUM(OSRRefP22_11x_0)</f>
        <v>5622</v>
      </c>
      <c r="Q55" s="2"/>
      <c r="R55" s="6">
        <f t="shared" si="4"/>
        <v>0</v>
      </c>
      <c r="S55" s="2"/>
      <c r="T55" s="2">
        <f>SUM(OSRRefT22_11x_0)</f>
        <v>6393</v>
      </c>
      <c r="U55" s="2"/>
      <c r="V55" s="6">
        <f t="shared" si="5"/>
        <v>0</v>
      </c>
      <c r="W55" s="2"/>
      <c r="X55" s="2">
        <f t="shared" si="6"/>
        <v>-771</v>
      </c>
      <c r="Y55" s="2"/>
      <c r="Z55" s="6">
        <f t="shared" si="7"/>
        <v>-0.12060065696855936</v>
      </c>
    </row>
    <row r="56" spans="1:26" s="69" customFormat="1" ht="15" hidden="1" customHeight="1" outlineLevel="2" x14ac:dyDescent="0.3">
      <c r="A56" s="26"/>
      <c r="B56" s="12" t="str">
        <f>CONCATENATE("          ","6258"," - ","MEMBERSHIP DUES")</f>
        <v xml:space="preserve">          6258 - MEMBERSHIP DUES</v>
      </c>
      <c r="C56" s="12"/>
      <c r="D56" s="8">
        <v>3847</v>
      </c>
      <c r="E56" s="3"/>
      <c r="F56" s="7">
        <f t="shared" si="0"/>
        <v>0</v>
      </c>
      <c r="G56" s="3"/>
      <c r="H56" s="8">
        <v>4668</v>
      </c>
      <c r="I56" s="3"/>
      <c r="J56" s="7">
        <f t="shared" si="1"/>
        <v>0</v>
      </c>
      <c r="K56" s="3"/>
      <c r="L56" s="8">
        <f t="shared" si="2"/>
        <v>-821</v>
      </c>
      <c r="M56" s="3"/>
      <c r="N56" s="7">
        <f t="shared" si="3"/>
        <v>-0.1758783204798629</v>
      </c>
      <c r="O56" s="12"/>
      <c r="P56" s="8">
        <v>5622</v>
      </c>
      <c r="Q56" s="3"/>
      <c r="R56" s="7">
        <f t="shared" si="4"/>
        <v>0</v>
      </c>
      <c r="S56" s="3"/>
      <c r="T56" s="8">
        <v>6393</v>
      </c>
      <c r="U56" s="3"/>
      <c r="V56" s="7">
        <f t="shared" si="5"/>
        <v>0</v>
      </c>
      <c r="W56" s="3"/>
      <c r="X56" s="8">
        <f t="shared" si="6"/>
        <v>-771</v>
      </c>
      <c r="Y56" s="3"/>
      <c r="Z56" s="7">
        <f t="shared" si="7"/>
        <v>-0.12060065696855936</v>
      </c>
    </row>
    <row r="57" spans="1:26" s="68" customFormat="1" ht="15" customHeight="1" outlineLevel="1" collapsed="1" x14ac:dyDescent="0.3">
      <c r="A57" s="25"/>
      <c r="B57" s="14" t="str">
        <f>CONCATENATE("     ","Supplies                                          ")</f>
        <v xml:space="preserve">     Supplies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0</v>
      </c>
      <c r="I57" s="2"/>
      <c r="J57" s="6">
        <f t="shared" si="1"/>
        <v>0</v>
      </c>
      <c r="K57" s="2"/>
      <c r="L57" s="2">
        <f t="shared" si="2"/>
        <v>0</v>
      </c>
      <c r="M57" s="2"/>
      <c r="N57" s="6">
        <f t="shared" si="3"/>
        <v>0</v>
      </c>
      <c r="O57" s="14"/>
      <c r="P57" s="2">
        <f>SUM(OSRRefP22_12x_0)</f>
        <v>409.15</v>
      </c>
      <c r="Q57" s="2"/>
      <c r="R57" s="6">
        <f t="shared" si="4"/>
        <v>0</v>
      </c>
      <c r="S57" s="2"/>
      <c r="T57" s="2">
        <f>SUM(OSRRefT22_12x_0)</f>
        <v>643.69000000000005</v>
      </c>
      <c r="U57" s="2"/>
      <c r="V57" s="6">
        <f t="shared" si="5"/>
        <v>0</v>
      </c>
      <c r="W57" s="2"/>
      <c r="X57" s="2">
        <f t="shared" si="6"/>
        <v>-234.54000000000008</v>
      </c>
      <c r="Y57" s="2"/>
      <c r="Z57" s="6">
        <f t="shared" si="7"/>
        <v>-0.36436794108965503</v>
      </c>
    </row>
    <row r="58" spans="1:26" s="69" customFormat="1" ht="15" hidden="1" customHeight="1" outlineLevel="2" x14ac:dyDescent="0.3">
      <c r="A58" s="26"/>
      <c r="B58" s="12" t="str">
        <f>CONCATENATE("          ","6235"," - ","COVID-19 EXPENSES")</f>
        <v xml:space="preserve">          6235 - COVID-19 EXPENSES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/>
      <c r="Q58" s="3"/>
      <c r="R58" s="7">
        <f t="shared" si="4"/>
        <v>0</v>
      </c>
      <c r="S58" s="3"/>
      <c r="T58" s="8">
        <v>106.94</v>
      </c>
      <c r="U58" s="3"/>
      <c r="V58" s="7">
        <f t="shared" si="5"/>
        <v>0</v>
      </c>
      <c r="W58" s="3"/>
      <c r="X58" s="8">
        <f t="shared" si="6"/>
        <v>-106.94</v>
      </c>
      <c r="Y58" s="3"/>
      <c r="Z58" s="7">
        <f t="shared" si="7"/>
        <v>-1</v>
      </c>
    </row>
    <row r="59" spans="1:26" s="69" customFormat="1" ht="15" hidden="1" customHeight="1" outlineLevel="2" x14ac:dyDescent="0.3">
      <c r="A59" s="26"/>
      <c r="B59" s="12" t="str">
        <f>CONCATENATE("          ","6241"," - ","OFFICE EXPENSE")</f>
        <v xml:space="preserve">          6241 - OFFICE EXPENSE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409.15</v>
      </c>
      <c r="Q59" s="3"/>
      <c r="R59" s="7">
        <f t="shared" si="4"/>
        <v>0</v>
      </c>
      <c r="S59" s="3"/>
      <c r="T59" s="8">
        <v>536.75</v>
      </c>
      <c r="U59" s="3"/>
      <c r="V59" s="7">
        <f t="shared" si="5"/>
        <v>0</v>
      </c>
      <c r="W59" s="3"/>
      <c r="X59" s="8">
        <f t="shared" si="6"/>
        <v>-127.60000000000002</v>
      </c>
      <c r="Y59" s="3"/>
      <c r="Z59" s="7">
        <f t="shared" si="7"/>
        <v>-0.23772706101537033</v>
      </c>
    </row>
    <row r="60" spans="1:26" s="68" customFormat="1" ht="15" customHeight="1" outlineLevel="1" collapsed="1" x14ac:dyDescent="0.3">
      <c r="A60" s="25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SUM(OSRRefD22_13x_0)</f>
        <v>453.03</v>
      </c>
      <c r="E60" s="2"/>
      <c r="F60" s="6">
        <f t="shared" si="0"/>
        <v>0</v>
      </c>
      <c r="G60" s="2"/>
      <c r="H60" s="2">
        <f>SUM(OSRRefH22_13x_0)</f>
        <v>245.31</v>
      </c>
      <c r="I60" s="2"/>
      <c r="J60" s="6">
        <f t="shared" si="1"/>
        <v>0</v>
      </c>
      <c r="K60" s="2"/>
      <c r="L60" s="2">
        <f t="shared" si="2"/>
        <v>207.71999999999997</v>
      </c>
      <c r="M60" s="2"/>
      <c r="N60" s="6">
        <f t="shared" si="3"/>
        <v>0.84676531735355254</v>
      </c>
      <c r="O60" s="14"/>
      <c r="P60" s="2">
        <f>SUM(OSRRefP22_13x_0)</f>
        <v>4417.91</v>
      </c>
      <c r="Q60" s="2"/>
      <c r="R60" s="6">
        <f t="shared" si="4"/>
        <v>0</v>
      </c>
      <c r="S60" s="2"/>
      <c r="T60" s="2">
        <f>SUM(OSRRefT22_13x_0)</f>
        <v>3969.62</v>
      </c>
      <c r="U60" s="2"/>
      <c r="V60" s="6">
        <f t="shared" si="5"/>
        <v>0</v>
      </c>
      <c r="W60" s="2"/>
      <c r="X60" s="2">
        <f t="shared" si="6"/>
        <v>448.28999999999996</v>
      </c>
      <c r="Y60" s="2"/>
      <c r="Z60" s="6">
        <f t="shared" si="7"/>
        <v>0.11293020490626306</v>
      </c>
    </row>
    <row r="61" spans="1:26" s="69" customFormat="1" ht="15" hidden="1" customHeight="1" outlineLevel="2" x14ac:dyDescent="0.3">
      <c r="A61" s="26"/>
      <c r="B61" s="12" t="str">
        <f>CONCATENATE("          ","6309"," - ","TELEPHONE")</f>
        <v xml:space="preserve">          6309 - TELEPHONE</v>
      </c>
      <c r="C61" s="12"/>
      <c r="D61" s="8">
        <v>453.03</v>
      </c>
      <c r="E61" s="3"/>
      <c r="F61" s="7">
        <f t="shared" si="0"/>
        <v>0</v>
      </c>
      <c r="G61" s="3"/>
      <c r="H61" s="8">
        <v>245.31</v>
      </c>
      <c r="I61" s="3"/>
      <c r="J61" s="7">
        <f t="shared" si="1"/>
        <v>0</v>
      </c>
      <c r="K61" s="3"/>
      <c r="L61" s="8">
        <f t="shared" si="2"/>
        <v>207.71999999999997</v>
      </c>
      <c r="M61" s="3"/>
      <c r="N61" s="7">
        <f t="shared" si="3"/>
        <v>0.84676531735355254</v>
      </c>
      <c r="O61" s="12"/>
      <c r="P61" s="8">
        <v>4417.91</v>
      </c>
      <c r="Q61" s="3"/>
      <c r="R61" s="7">
        <f t="shared" si="4"/>
        <v>0</v>
      </c>
      <c r="S61" s="3"/>
      <c r="T61" s="8">
        <v>3969.62</v>
      </c>
      <c r="U61" s="3"/>
      <c r="V61" s="7">
        <f t="shared" si="5"/>
        <v>0</v>
      </c>
      <c r="W61" s="3"/>
      <c r="X61" s="8">
        <f t="shared" si="6"/>
        <v>448.28999999999996</v>
      </c>
      <c r="Y61" s="3"/>
      <c r="Z61" s="7">
        <f t="shared" si="7"/>
        <v>0.11293020490626306</v>
      </c>
    </row>
    <row r="62" spans="1:26" s="68" customFormat="1" ht="15" customHeight="1" outlineLevel="1" collapsed="1" x14ac:dyDescent="0.3">
      <c r="A62" s="25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SUM(OSRRefD22_14x_0)</f>
        <v>0</v>
      </c>
      <c r="E62" s="2"/>
      <c r="F62" s="6">
        <f t="shared" si="0"/>
        <v>0</v>
      </c>
      <c r="G62" s="2"/>
      <c r="H62" s="2">
        <f>SUM(OSRRefH22_14x_0)</f>
        <v>3000</v>
      </c>
      <c r="I62" s="2"/>
      <c r="J62" s="6">
        <f t="shared" si="1"/>
        <v>0</v>
      </c>
      <c r="K62" s="2"/>
      <c r="L62" s="2">
        <f t="shared" si="2"/>
        <v>-3000</v>
      </c>
      <c r="M62" s="2"/>
      <c r="N62" s="6">
        <f t="shared" si="3"/>
        <v>-1</v>
      </c>
      <c r="O62" s="14"/>
      <c r="P62" s="2">
        <f>SUM(OSRRefP22_14x_0)</f>
        <v>0</v>
      </c>
      <c r="Q62" s="2"/>
      <c r="R62" s="6">
        <f t="shared" si="4"/>
        <v>0</v>
      </c>
      <c r="S62" s="2"/>
      <c r="T62" s="2">
        <f>SUM(OSRRefT22_14x_0)</f>
        <v>4276.5</v>
      </c>
      <c r="U62" s="2"/>
      <c r="V62" s="6">
        <f t="shared" si="5"/>
        <v>0</v>
      </c>
      <c r="W62" s="2"/>
      <c r="X62" s="2">
        <f t="shared" si="6"/>
        <v>-4276.5</v>
      </c>
      <c r="Y62" s="2"/>
      <c r="Z62" s="6">
        <f t="shared" si="7"/>
        <v>-1</v>
      </c>
    </row>
    <row r="63" spans="1:26" s="69" customFormat="1" ht="15" hidden="1" customHeight="1" outlineLevel="2" x14ac:dyDescent="0.3">
      <c r="A63" s="26"/>
      <c r="B63" s="12" t="str">
        <f>CONCATENATE("          ","6376"," - ","TRAINING")</f>
        <v xml:space="preserve">          6376 - TRAINING</v>
      </c>
      <c r="C63" s="12"/>
      <c r="D63" s="8"/>
      <c r="E63" s="3"/>
      <c r="F63" s="7">
        <f t="shared" si="0"/>
        <v>0</v>
      </c>
      <c r="G63" s="3"/>
      <c r="H63" s="8">
        <v>3000</v>
      </c>
      <c r="I63" s="3"/>
      <c r="J63" s="7">
        <f t="shared" si="1"/>
        <v>0</v>
      </c>
      <c r="K63" s="3"/>
      <c r="L63" s="8">
        <f t="shared" si="2"/>
        <v>-3000</v>
      </c>
      <c r="M63" s="3"/>
      <c r="N63" s="7">
        <f t="shared" si="3"/>
        <v>-1</v>
      </c>
      <c r="O63" s="12"/>
      <c r="P63" s="8">
        <v>0</v>
      </c>
      <c r="Q63" s="3"/>
      <c r="R63" s="7">
        <f t="shared" si="4"/>
        <v>0</v>
      </c>
      <c r="S63" s="3"/>
      <c r="T63" s="8">
        <v>4276.5</v>
      </c>
      <c r="U63" s="3"/>
      <c r="V63" s="7">
        <f t="shared" si="5"/>
        <v>0</v>
      </c>
      <c r="W63" s="3"/>
      <c r="X63" s="8">
        <f t="shared" si="6"/>
        <v>-4276.5</v>
      </c>
      <c r="Y63" s="3"/>
      <c r="Z63" s="7">
        <f t="shared" si="7"/>
        <v>-1</v>
      </c>
    </row>
    <row r="64" spans="1:26" s="64" customFormat="1" ht="15" customHeight="1" x14ac:dyDescent="0.3">
      <c r="A64" s="36"/>
      <c r="B64" s="36"/>
      <c r="C64" s="36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2" customFormat="1" ht="15" customHeight="1" x14ac:dyDescent="0.3">
      <c r="A65" s="11"/>
      <c r="B65" s="27" t="s">
        <v>290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2" customFormat="1" ht="15" customHeight="1" x14ac:dyDescent="0.3">
      <c r="A67" s="11"/>
      <c r="B67" s="28" t="s">
        <v>291</v>
      </c>
      <c r="C67" s="28"/>
      <c r="D67" s="21">
        <f>+D16-D18+D65</f>
        <v>-46916.970000000008</v>
      </c>
      <c r="E67" s="15"/>
      <c r="F67" s="23">
        <f>IF(D$12=0,0,D67/D$12)</f>
        <v>0</v>
      </c>
      <c r="G67" s="15"/>
      <c r="H67" s="21">
        <f>+H16-H18+H65</f>
        <v>-46371.579999999994</v>
      </c>
      <c r="I67" s="15"/>
      <c r="J67" s="23">
        <f>IF(H$12=0,0,H67/H$12)</f>
        <v>0</v>
      </c>
      <c r="K67" s="16"/>
      <c r="L67" s="21">
        <f>+D67-H67</f>
        <v>-545.39000000001397</v>
      </c>
      <c r="M67" s="16"/>
      <c r="N67" s="23">
        <f>IF(H67=0,0,L67/H67)</f>
        <v>1.1761298622993093E-2</v>
      </c>
      <c r="O67" s="27"/>
      <c r="P67" s="21">
        <f>+P16-P18+P65</f>
        <v>-487723.95999999996</v>
      </c>
      <c r="Q67" s="15"/>
      <c r="R67" s="23">
        <f>IF(P$12=0,0,P67/P$12)</f>
        <v>0</v>
      </c>
      <c r="S67" s="15"/>
      <c r="T67" s="21">
        <f>+T16-T18+T65</f>
        <v>-379487.04</v>
      </c>
      <c r="U67" s="15"/>
      <c r="V67" s="23">
        <f>IF(T$12=0,0,T67/T$12)</f>
        <v>0</v>
      </c>
      <c r="W67" s="16"/>
      <c r="X67" s="21">
        <f>+P67-T67</f>
        <v>-108236.91999999998</v>
      </c>
      <c r="Y67" s="16"/>
      <c r="Z67" s="23">
        <f>IF(T67=0,0,X67/T67)</f>
        <v>0.28521901564807056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48"/>
      <c r="B69" s="11" t="s">
        <v>292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8" t="s">
        <v>293</v>
      </c>
      <c r="C71" s="28"/>
      <c r="D71" s="34">
        <f>+D67-D69</f>
        <v>-46916.970000000008</v>
      </c>
      <c r="E71" s="15"/>
      <c r="F71" s="30">
        <f>IF(D$12=0,0,D71/D$12)</f>
        <v>0</v>
      </c>
      <c r="G71" s="15"/>
      <c r="H71" s="34">
        <f>+H67-H69</f>
        <v>-46371.579999999994</v>
      </c>
      <c r="I71" s="15"/>
      <c r="J71" s="30">
        <f>IF(H$12=0,0,H71/H$12)</f>
        <v>0</v>
      </c>
      <c r="K71" s="16"/>
      <c r="L71" s="34">
        <f>D71-H71</f>
        <v>-545.39000000001397</v>
      </c>
      <c r="M71" s="16"/>
      <c r="N71" s="30">
        <f>IF(H71=0,0,L71/H71)</f>
        <v>1.1761298622993093E-2</v>
      </c>
      <c r="O71" s="27"/>
      <c r="P71" s="34">
        <f>+P67-P69</f>
        <v>-487723.95999999996</v>
      </c>
      <c r="Q71" s="15"/>
      <c r="R71" s="30">
        <f>IF(P$12=0,0,P71/P$12)</f>
        <v>0</v>
      </c>
      <c r="S71" s="15"/>
      <c r="T71" s="34">
        <f>+T67-T69</f>
        <v>-379487.04</v>
      </c>
      <c r="U71" s="15"/>
      <c r="V71" s="30">
        <f>IF(T$12=0,0,T71/T$12)</f>
        <v>0</v>
      </c>
      <c r="W71" s="16"/>
      <c r="X71" s="34">
        <f>P71-T71</f>
        <v>-108236.91999999998</v>
      </c>
      <c r="Y71" s="16"/>
      <c r="Z71" s="30">
        <f>IF(T71=0,0,X71/T71)</f>
        <v>0.28521901564807056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2" customFormat="1" ht="15" customHeight="1" x14ac:dyDescent="0.3">
      <c r="A74" s="11"/>
      <c r="B74" s="28" t="s">
        <v>296</v>
      </c>
      <c r="C74" s="28"/>
      <c r="D74" s="29">
        <f>SUM(D71:D73)</f>
        <v>-46916.970000000008</v>
      </c>
      <c r="E74" s="15"/>
      <c r="F74" s="35">
        <f>IF(D$12=0,0,D74/D$12)</f>
        <v>0</v>
      </c>
      <c r="G74" s="15"/>
      <c r="H74" s="29">
        <f>SUM(H71:H73)</f>
        <v>-46371.579999999994</v>
      </c>
      <c r="I74" s="15"/>
      <c r="J74" s="35">
        <f>IF(H$12=0,0,H74/H$12)</f>
        <v>0</v>
      </c>
      <c r="K74" s="16"/>
      <c r="L74" s="29">
        <f>+D74-H74</f>
        <v>-545.39000000001397</v>
      </c>
      <c r="M74" s="16"/>
      <c r="N74" s="35">
        <f>IF(H74=0,0,L74/H74)</f>
        <v>1.1761298622993093E-2</v>
      </c>
      <c r="O74" s="27"/>
      <c r="P74" s="29">
        <f>SUM(P71:P73)</f>
        <v>-487723.95999999996</v>
      </c>
      <c r="Q74" s="15"/>
      <c r="R74" s="35">
        <f>IF(P$12=0,0,P74/P$12)</f>
        <v>0</v>
      </c>
      <c r="S74" s="15"/>
      <c r="T74" s="29">
        <f>SUM(T71:T73)</f>
        <v>-379487.04</v>
      </c>
      <c r="U74" s="15"/>
      <c r="V74" s="35">
        <f>IF(T$12=0,0,T74/T$12)</f>
        <v>0</v>
      </c>
      <c r="W74" s="16"/>
      <c r="X74" s="29">
        <f>+P74-T74</f>
        <v>-108236.91999999998</v>
      </c>
      <c r="Y74" s="16"/>
      <c r="Z74" s="35">
        <f>IF(T74=0,0,X74/T74)</f>
        <v>0.28521901564807056</v>
      </c>
    </row>
    <row r="75" spans="1:26" ht="15" customHeight="1" x14ac:dyDescent="0.3">
      <c r="A75" s="10"/>
      <c r="C75" s="10"/>
      <c r="D75" s="18"/>
      <c r="E75" s="18"/>
      <c r="G75" s="18"/>
      <c r="H75" s="18"/>
      <c r="I75" s="18"/>
      <c r="J75" s="40"/>
      <c r="K75" s="18"/>
      <c r="L75" s="18"/>
      <c r="M75" s="18"/>
      <c r="P75" s="18"/>
      <c r="Q75" s="18"/>
      <c r="R75" s="40"/>
      <c r="S75" s="18"/>
      <c r="T75" s="18"/>
      <c r="U75" s="18"/>
      <c r="V75" s="40"/>
      <c r="W75" s="18"/>
      <c r="X75" s="18"/>
    </row>
    <row r="76" spans="1:26" ht="15" customHeight="1" x14ac:dyDescent="0.3">
      <c r="A76" s="10"/>
      <c r="B76" s="56">
        <v>44694.890829479169</v>
      </c>
      <c r="D76" s="18"/>
      <c r="E76" s="18"/>
      <c r="G76" s="18"/>
      <c r="H76" s="18"/>
      <c r="I76" s="18"/>
      <c r="J76" s="40"/>
      <c r="K76" s="18"/>
      <c r="L76" s="18"/>
      <c r="M76" s="18"/>
      <c r="P76" s="18"/>
      <c r="Q76" s="18"/>
      <c r="R76" s="40"/>
      <c r="S76" s="18"/>
      <c r="T76" s="18"/>
      <c r="U76" s="18"/>
      <c r="V76" s="40"/>
      <c r="W76" s="18"/>
      <c r="X76" s="18"/>
    </row>
    <row r="77" spans="1:26" ht="15" customHeight="1" x14ac:dyDescent="0.3">
      <c r="A77" s="10"/>
      <c r="B77" s="52" t="s">
        <v>297</v>
      </c>
      <c r="D77" s="18"/>
      <c r="E77" s="18"/>
      <c r="G77" s="18"/>
      <c r="H77" s="18"/>
      <c r="I77" s="18"/>
      <c r="J77" s="40"/>
      <c r="K77" s="18"/>
      <c r="L77" s="18"/>
      <c r="M77" s="18"/>
      <c r="P77" s="18"/>
      <c r="Q77" s="18"/>
      <c r="R77" s="40"/>
      <c r="S77" s="18"/>
      <c r="T77" s="18"/>
      <c r="U77" s="18"/>
      <c r="V77" s="40"/>
      <c r="W77" s="18"/>
      <c r="X77" s="18"/>
    </row>
    <row r="78" spans="1:26" ht="15" customHeight="1" x14ac:dyDescent="0.3">
      <c r="A78" s="10"/>
      <c r="B78" s="58"/>
      <c r="D78" s="18"/>
      <c r="E78" s="18"/>
      <c r="G78" s="18"/>
      <c r="H78" s="18"/>
      <c r="I78" s="18"/>
      <c r="J78" s="40"/>
      <c r="K78" s="18"/>
      <c r="L78" s="18"/>
      <c r="M78" s="18"/>
      <c r="P78" s="18"/>
      <c r="Q78" s="18"/>
      <c r="R78" s="40"/>
      <c r="S78" s="18"/>
      <c r="T78" s="18"/>
      <c r="U78" s="18"/>
      <c r="V78" s="40"/>
      <c r="W78" s="18"/>
      <c r="X78" s="18"/>
    </row>
    <row r="79" spans="1:26" ht="15" customHeight="1" x14ac:dyDescent="0.3">
      <c r="D79" s="18"/>
      <c r="E79" s="18"/>
      <c r="G79" s="18"/>
      <c r="H79" s="18"/>
      <c r="I79" s="18"/>
      <c r="J79" s="40"/>
      <c r="K79" s="18"/>
      <c r="L79" s="18"/>
      <c r="M79" s="18"/>
      <c r="P79" s="18"/>
      <c r="Q79" s="18"/>
      <c r="R79" s="40"/>
      <c r="S79" s="18"/>
      <c r="T79" s="18"/>
      <c r="U79" s="18"/>
      <c r="V79" s="40"/>
      <c r="W79" s="18"/>
      <c r="X7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196F1-AE0C-19F6-0DF3-532A2F3CEC44}">
  <sheetPr>
    <tabColor rgb="FF92D050"/>
    <outlinePr summaryBelow="0" summaryRight="0"/>
  </sheetPr>
  <dimension ref="A2:Z7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","202"," - ","Accounting")</f>
        <v>Department 202 - Accounting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41702.979999999996</v>
      </c>
      <c r="E18" s="22"/>
      <c r="F18" s="32">
        <f t="shared" ref="F18:F58" si="0">IF(D$12=0,0,D18/D$12)</f>
        <v>0</v>
      </c>
      <c r="G18" s="22"/>
      <c r="H18" s="22" cm="1">
        <f t="array" ref="H18">SUM(OSRRefH22x_0)</f>
        <v>39295.32</v>
      </c>
      <c r="I18" s="22"/>
      <c r="J18" s="32">
        <f t="shared" ref="J18:J58" si="1">IF(H$12=0,0,H18/H$12)</f>
        <v>0</v>
      </c>
      <c r="K18" s="5"/>
      <c r="L18" s="22">
        <f t="shared" ref="L18:L58" si="2">+D18-H18</f>
        <v>2407.6599999999962</v>
      </c>
      <c r="M18" s="5"/>
      <c r="N18" s="32">
        <f t="shared" ref="N18:N58" si="3">IF(H18=0,0,L18/H18)</f>
        <v>6.1270909614681755E-2</v>
      </c>
      <c r="O18" s="11"/>
      <c r="P18" s="22" cm="1">
        <f t="array" ref="P18">SUM(OSRRefP22x_0)</f>
        <v>450042.3</v>
      </c>
      <c r="Q18" s="22"/>
      <c r="R18" s="32">
        <f t="shared" ref="R18:R58" si="4">IF(P$12=0,0,P18/P$12)</f>
        <v>0</v>
      </c>
      <c r="S18" s="22"/>
      <c r="T18" s="22" cm="1">
        <f t="array" ref="T18">SUM(OSRRefT22x_0)</f>
        <v>417060.2699999999</v>
      </c>
      <c r="U18" s="22"/>
      <c r="V18" s="32">
        <f t="shared" ref="V18:V58" si="5">IF(T$12=0,0,T18/T$12)</f>
        <v>0</v>
      </c>
      <c r="W18" s="5"/>
      <c r="X18" s="22">
        <f t="shared" ref="X18:X58" si="6">+P18-T18</f>
        <v>32982.030000000086</v>
      </c>
      <c r="Y18" s="5"/>
      <c r="Z18" s="32">
        <f t="shared" ref="Z18:Z58" si="7">IF(T18=0,0,X18/T18)</f>
        <v>7.9082167188929534E-2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15602.21</v>
      </c>
      <c r="E19" s="2"/>
      <c r="F19" s="6">
        <f t="shared" si="0"/>
        <v>0</v>
      </c>
      <c r="G19" s="2"/>
      <c r="H19" s="2">
        <f>SUM(OSRRefH22_0x_0)</f>
        <v>14986.869999999999</v>
      </c>
      <c r="I19" s="2"/>
      <c r="J19" s="6">
        <f t="shared" si="1"/>
        <v>0</v>
      </c>
      <c r="K19" s="2"/>
      <c r="L19" s="2">
        <f t="shared" si="2"/>
        <v>615.34000000000015</v>
      </c>
      <c r="M19" s="2"/>
      <c r="N19" s="6">
        <f t="shared" si="3"/>
        <v>4.1058606633673354E-2</v>
      </c>
      <c r="O19" s="14"/>
      <c r="P19" s="2">
        <f>SUM(OSRRefP22_0x_0)</f>
        <v>139301.28999999998</v>
      </c>
      <c r="Q19" s="2"/>
      <c r="R19" s="6">
        <f t="shared" si="4"/>
        <v>0</v>
      </c>
      <c r="S19" s="2"/>
      <c r="T19" s="2">
        <f>SUM(OSRRefT22_0x_0)</f>
        <v>134062.5</v>
      </c>
      <c r="U19" s="2"/>
      <c r="V19" s="6">
        <f t="shared" si="5"/>
        <v>0</v>
      </c>
      <c r="W19" s="2"/>
      <c r="X19" s="2">
        <f t="shared" si="6"/>
        <v>5238.789999999979</v>
      </c>
      <c r="Y19" s="2"/>
      <c r="Z19" s="6">
        <f t="shared" si="7"/>
        <v>3.9077221445221286E-2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2545.5</v>
      </c>
      <c r="E20" s="3"/>
      <c r="F20" s="7">
        <f t="shared" si="0"/>
        <v>0</v>
      </c>
      <c r="G20" s="3"/>
      <c r="H20" s="8">
        <v>2448.02</v>
      </c>
      <c r="I20" s="3"/>
      <c r="J20" s="7">
        <f t="shared" si="1"/>
        <v>0</v>
      </c>
      <c r="K20" s="3"/>
      <c r="L20" s="8">
        <f t="shared" si="2"/>
        <v>97.480000000000018</v>
      </c>
      <c r="M20" s="3"/>
      <c r="N20" s="7">
        <f t="shared" si="3"/>
        <v>3.9819936111633085E-2</v>
      </c>
      <c r="O20" s="12"/>
      <c r="P20" s="8">
        <v>18366.98</v>
      </c>
      <c r="Q20" s="3"/>
      <c r="R20" s="7">
        <f t="shared" si="4"/>
        <v>0</v>
      </c>
      <c r="S20" s="3"/>
      <c r="T20" s="8">
        <v>19139.77</v>
      </c>
      <c r="U20" s="3"/>
      <c r="V20" s="7">
        <f t="shared" si="5"/>
        <v>0</v>
      </c>
      <c r="W20" s="3"/>
      <c r="X20" s="8">
        <f t="shared" si="6"/>
        <v>-772.79000000000087</v>
      </c>
      <c r="Y20" s="3"/>
      <c r="Z20" s="7">
        <f t="shared" si="7"/>
        <v>-4.0376138271254088E-2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290.18</v>
      </c>
      <c r="E21" s="3"/>
      <c r="F21" s="7">
        <f t="shared" si="0"/>
        <v>0</v>
      </c>
      <c r="G21" s="3"/>
      <c r="H21" s="8">
        <v>70.319999999999993</v>
      </c>
      <c r="I21" s="3"/>
      <c r="J21" s="7">
        <f t="shared" si="1"/>
        <v>0</v>
      </c>
      <c r="K21" s="3"/>
      <c r="L21" s="8">
        <f t="shared" si="2"/>
        <v>219.86</v>
      </c>
      <c r="M21" s="3"/>
      <c r="N21" s="7">
        <f t="shared" si="3"/>
        <v>3.126564277588169</v>
      </c>
      <c r="O21" s="12"/>
      <c r="P21" s="8">
        <v>3002.8</v>
      </c>
      <c r="Q21" s="3"/>
      <c r="R21" s="7">
        <f t="shared" si="4"/>
        <v>0</v>
      </c>
      <c r="S21" s="3"/>
      <c r="T21" s="8">
        <v>788.53</v>
      </c>
      <c r="U21" s="3"/>
      <c r="V21" s="7">
        <f t="shared" si="5"/>
        <v>0</v>
      </c>
      <c r="W21" s="3"/>
      <c r="X21" s="8">
        <f t="shared" si="6"/>
        <v>2214.2700000000004</v>
      </c>
      <c r="Y21" s="3"/>
      <c r="Z21" s="7">
        <f t="shared" si="7"/>
        <v>2.8080986138764543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5721.83</v>
      </c>
      <c r="E22" s="3"/>
      <c r="F22" s="7">
        <f t="shared" si="0"/>
        <v>0</v>
      </c>
      <c r="G22" s="3"/>
      <c r="H22" s="8">
        <v>6236.66</v>
      </c>
      <c r="I22" s="3"/>
      <c r="J22" s="7">
        <f t="shared" si="1"/>
        <v>0</v>
      </c>
      <c r="K22" s="3"/>
      <c r="L22" s="8">
        <f t="shared" si="2"/>
        <v>-514.82999999999993</v>
      </c>
      <c r="M22" s="3"/>
      <c r="N22" s="7">
        <f t="shared" si="3"/>
        <v>-8.2548992569740839E-2</v>
      </c>
      <c r="O22" s="12"/>
      <c r="P22" s="8">
        <v>60262.28</v>
      </c>
      <c r="Q22" s="3"/>
      <c r="R22" s="7">
        <f t="shared" si="4"/>
        <v>0</v>
      </c>
      <c r="S22" s="3"/>
      <c r="T22" s="8">
        <v>60387.92</v>
      </c>
      <c r="U22" s="3"/>
      <c r="V22" s="7">
        <f t="shared" si="5"/>
        <v>0</v>
      </c>
      <c r="W22" s="3"/>
      <c r="X22" s="8">
        <f t="shared" si="6"/>
        <v>-125.63999999999942</v>
      </c>
      <c r="Y22" s="3"/>
      <c r="Z22" s="7">
        <f t="shared" si="7"/>
        <v>-2.0805485600431249E-3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58.49</v>
      </c>
      <c r="E23" s="3"/>
      <c r="F23" s="7">
        <f t="shared" si="0"/>
        <v>0</v>
      </c>
      <c r="G23" s="3"/>
      <c r="H23" s="8">
        <v>55.4</v>
      </c>
      <c r="I23" s="3"/>
      <c r="J23" s="7">
        <f t="shared" si="1"/>
        <v>0</v>
      </c>
      <c r="K23" s="3"/>
      <c r="L23" s="8">
        <f t="shared" si="2"/>
        <v>3.0900000000000034</v>
      </c>
      <c r="M23" s="3"/>
      <c r="N23" s="7">
        <f t="shared" si="3"/>
        <v>5.577617328519862E-2</v>
      </c>
      <c r="O23" s="12"/>
      <c r="P23" s="8">
        <v>605.22</v>
      </c>
      <c r="Q23" s="3"/>
      <c r="R23" s="7">
        <f t="shared" si="4"/>
        <v>0</v>
      </c>
      <c r="S23" s="3"/>
      <c r="T23" s="8">
        <v>621.23</v>
      </c>
      <c r="U23" s="3"/>
      <c r="V23" s="7">
        <f t="shared" si="5"/>
        <v>0</v>
      </c>
      <c r="W23" s="3"/>
      <c r="X23" s="8">
        <f t="shared" si="6"/>
        <v>-16.009999999999991</v>
      </c>
      <c r="Y23" s="3"/>
      <c r="Z23" s="7">
        <f t="shared" si="7"/>
        <v>-2.5771453406950712E-2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2787.33</v>
      </c>
      <c r="E24" s="3"/>
      <c r="F24" s="7">
        <f t="shared" si="0"/>
        <v>0</v>
      </c>
      <c r="G24" s="3"/>
      <c r="H24" s="8">
        <v>1978.76</v>
      </c>
      <c r="I24" s="3"/>
      <c r="J24" s="7">
        <f t="shared" si="1"/>
        <v>0</v>
      </c>
      <c r="K24" s="3"/>
      <c r="L24" s="8">
        <f t="shared" si="2"/>
        <v>808.56999999999994</v>
      </c>
      <c r="M24" s="3"/>
      <c r="N24" s="7">
        <f t="shared" si="3"/>
        <v>0.40862459317956695</v>
      </c>
      <c r="O24" s="12"/>
      <c r="P24" s="8">
        <v>21682</v>
      </c>
      <c r="Q24" s="3"/>
      <c r="R24" s="7">
        <f t="shared" si="4"/>
        <v>0</v>
      </c>
      <c r="S24" s="3"/>
      <c r="T24" s="8">
        <v>22617.67</v>
      </c>
      <c r="U24" s="3"/>
      <c r="V24" s="7">
        <f t="shared" si="5"/>
        <v>0</v>
      </c>
      <c r="W24" s="3"/>
      <c r="X24" s="8">
        <f t="shared" si="6"/>
        <v>-935.66999999999825</v>
      </c>
      <c r="Y24" s="3"/>
      <c r="Z24" s="7">
        <f t="shared" si="7"/>
        <v>-4.1368982746675421E-2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2136.3000000000002</v>
      </c>
      <c r="E25" s="3"/>
      <c r="F25" s="7">
        <f t="shared" si="0"/>
        <v>0</v>
      </c>
      <c r="G25" s="3"/>
      <c r="H25" s="8">
        <v>2409.15</v>
      </c>
      <c r="I25" s="3"/>
      <c r="J25" s="7">
        <f t="shared" si="1"/>
        <v>0</v>
      </c>
      <c r="K25" s="3"/>
      <c r="L25" s="8">
        <f t="shared" si="2"/>
        <v>-272.84999999999991</v>
      </c>
      <c r="M25" s="3"/>
      <c r="N25" s="7">
        <f t="shared" si="3"/>
        <v>-0.11325571259572874</v>
      </c>
      <c r="O25" s="12"/>
      <c r="P25" s="8">
        <v>16425.73</v>
      </c>
      <c r="Q25" s="3"/>
      <c r="R25" s="7">
        <f t="shared" si="4"/>
        <v>0</v>
      </c>
      <c r="S25" s="3"/>
      <c r="T25" s="8">
        <v>17325.12</v>
      </c>
      <c r="U25" s="3"/>
      <c r="V25" s="7">
        <f t="shared" si="5"/>
        <v>0</v>
      </c>
      <c r="W25" s="3"/>
      <c r="X25" s="8">
        <f t="shared" si="6"/>
        <v>-899.38999999999942</v>
      </c>
      <c r="Y25" s="3"/>
      <c r="Z25" s="7">
        <f t="shared" si="7"/>
        <v>-5.1912483145859854E-2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1527.87</v>
      </c>
      <c r="E26" s="3"/>
      <c r="F26" s="7">
        <f t="shared" si="0"/>
        <v>0</v>
      </c>
      <c r="G26" s="3"/>
      <c r="H26" s="8">
        <v>1469.13</v>
      </c>
      <c r="I26" s="3"/>
      <c r="J26" s="7">
        <f t="shared" si="1"/>
        <v>0</v>
      </c>
      <c r="K26" s="3"/>
      <c r="L26" s="8">
        <f t="shared" si="2"/>
        <v>58.739999999999782</v>
      </c>
      <c r="M26" s="3"/>
      <c r="N26" s="7">
        <f t="shared" si="3"/>
        <v>3.9982846991076203E-2</v>
      </c>
      <c r="O26" s="12"/>
      <c r="P26" s="8">
        <v>13472.57</v>
      </c>
      <c r="Q26" s="3"/>
      <c r="R26" s="7">
        <f t="shared" si="4"/>
        <v>0</v>
      </c>
      <c r="S26" s="3"/>
      <c r="T26" s="8">
        <v>10773.62</v>
      </c>
      <c r="U26" s="3"/>
      <c r="V26" s="7">
        <f t="shared" si="5"/>
        <v>0</v>
      </c>
      <c r="W26" s="3"/>
      <c r="X26" s="8">
        <f t="shared" si="6"/>
        <v>2698.9499999999989</v>
      </c>
      <c r="Y26" s="3"/>
      <c r="Z26" s="7">
        <f t="shared" si="7"/>
        <v>0.25051468308702168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534.71</v>
      </c>
      <c r="E27" s="3"/>
      <c r="F27" s="7">
        <f t="shared" si="0"/>
        <v>0</v>
      </c>
      <c r="G27" s="3"/>
      <c r="H27" s="8">
        <v>319.43</v>
      </c>
      <c r="I27" s="3"/>
      <c r="J27" s="7">
        <f t="shared" si="1"/>
        <v>0</v>
      </c>
      <c r="K27" s="3"/>
      <c r="L27" s="8">
        <f t="shared" si="2"/>
        <v>215.28000000000003</v>
      </c>
      <c r="M27" s="3"/>
      <c r="N27" s="7">
        <f t="shared" si="3"/>
        <v>0.67395047428231547</v>
      </c>
      <c r="O27" s="12"/>
      <c r="P27" s="8">
        <v>5483.71</v>
      </c>
      <c r="Q27" s="3"/>
      <c r="R27" s="7">
        <f t="shared" si="4"/>
        <v>0</v>
      </c>
      <c r="S27" s="3"/>
      <c r="T27" s="8">
        <v>2408.64</v>
      </c>
      <c r="U27" s="3"/>
      <c r="V27" s="7">
        <f t="shared" si="5"/>
        <v>0</v>
      </c>
      <c r="W27" s="3"/>
      <c r="X27" s="8">
        <f t="shared" si="6"/>
        <v>3075.07</v>
      </c>
      <c r="Y27" s="3"/>
      <c r="Z27" s="7">
        <f t="shared" si="7"/>
        <v>1.2766831074797398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25263.84</v>
      </c>
      <c r="E28" s="2"/>
      <c r="F28" s="6">
        <f t="shared" si="0"/>
        <v>0</v>
      </c>
      <c r="G28" s="2"/>
      <c r="H28" s="2">
        <f>SUM(OSRRefH22_1x_0)</f>
        <v>21432.38</v>
      </c>
      <c r="I28" s="2"/>
      <c r="J28" s="6">
        <f t="shared" si="1"/>
        <v>0</v>
      </c>
      <c r="K28" s="2"/>
      <c r="L28" s="2">
        <f t="shared" si="2"/>
        <v>3831.4599999999991</v>
      </c>
      <c r="M28" s="2"/>
      <c r="N28" s="6">
        <f t="shared" si="3"/>
        <v>0.17876969333317153</v>
      </c>
      <c r="O28" s="14"/>
      <c r="P28" s="2">
        <f>SUM(OSRRefP22_1x_0)</f>
        <v>234405.38</v>
      </c>
      <c r="Q28" s="2"/>
      <c r="R28" s="6">
        <f t="shared" si="4"/>
        <v>0</v>
      </c>
      <c r="S28" s="2"/>
      <c r="T28" s="2">
        <f>SUM(OSRRefT22_1x_0)</f>
        <v>213194.76</v>
      </c>
      <c r="U28" s="2"/>
      <c r="V28" s="6">
        <f t="shared" si="5"/>
        <v>0</v>
      </c>
      <c r="W28" s="2"/>
      <c r="X28" s="2">
        <f t="shared" si="6"/>
        <v>21210.619999999995</v>
      </c>
      <c r="Y28" s="2"/>
      <c r="Z28" s="6">
        <f t="shared" si="7"/>
        <v>9.9489405837179093E-2</v>
      </c>
    </row>
    <row r="29" spans="1:26" s="69" customFormat="1" ht="15" hidden="1" customHeight="1" outlineLevel="2" x14ac:dyDescent="0.3">
      <c r="A29" s="26"/>
      <c r="B29" s="12" t="str">
        <f>CONCATENATE("          ","6002"," - ","STAFF SALARIES")</f>
        <v xml:space="preserve">          6002 - STAFF SALARIES</v>
      </c>
      <c r="C29" s="12"/>
      <c r="D29" s="8">
        <v>24822.799999999999</v>
      </c>
      <c r="E29" s="3"/>
      <c r="F29" s="7">
        <f t="shared" si="0"/>
        <v>0</v>
      </c>
      <c r="G29" s="3"/>
      <c r="H29" s="8">
        <v>21432.38</v>
      </c>
      <c r="I29" s="3"/>
      <c r="J29" s="7">
        <f t="shared" si="1"/>
        <v>0</v>
      </c>
      <c r="K29" s="3"/>
      <c r="L29" s="8">
        <f t="shared" si="2"/>
        <v>3390.4199999999983</v>
      </c>
      <c r="M29" s="3"/>
      <c r="N29" s="7">
        <f t="shared" si="3"/>
        <v>0.15819148410022582</v>
      </c>
      <c r="O29" s="12"/>
      <c r="P29" s="8">
        <v>230128.74</v>
      </c>
      <c r="Q29" s="3"/>
      <c r="R29" s="7">
        <f t="shared" si="4"/>
        <v>0</v>
      </c>
      <c r="S29" s="3"/>
      <c r="T29" s="8">
        <v>212813</v>
      </c>
      <c r="U29" s="3"/>
      <c r="V29" s="7">
        <f t="shared" si="5"/>
        <v>0</v>
      </c>
      <c r="W29" s="3"/>
      <c r="X29" s="8">
        <f t="shared" si="6"/>
        <v>17315.739999999991</v>
      </c>
      <c r="Y29" s="3"/>
      <c r="Z29" s="7">
        <f t="shared" si="7"/>
        <v>8.1365987980057564E-2</v>
      </c>
    </row>
    <row r="30" spans="1:26" s="69" customFormat="1" ht="15" hidden="1" customHeight="1" outlineLevel="2" x14ac:dyDescent="0.3">
      <c r="A30" s="26"/>
      <c r="B30" s="12" t="str">
        <f>CONCATENATE("          ","6005"," - ","TEMPORARY WAGES-HOURLY")</f>
        <v xml:space="preserve">          6005 - TEMPORARY WAGES-HOURLY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265.48</v>
      </c>
      <c r="U30" s="3"/>
      <c r="V30" s="7">
        <f t="shared" si="5"/>
        <v>0</v>
      </c>
      <c r="W30" s="3"/>
      <c r="X30" s="8">
        <f t="shared" si="6"/>
        <v>-265.48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","6007"," - ","STUDENT HOURLY")</f>
        <v xml:space="preserve">          6007 - STUDENT HOURLY</v>
      </c>
      <c r="C31" s="12"/>
      <c r="D31" s="8">
        <v>441.04</v>
      </c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441.04</v>
      </c>
      <c r="M31" s="3"/>
      <c r="N31" s="7">
        <f t="shared" si="3"/>
        <v>0</v>
      </c>
      <c r="O31" s="12"/>
      <c r="P31" s="8">
        <v>4276.6400000000003</v>
      </c>
      <c r="Q31" s="3"/>
      <c r="R31" s="7">
        <f t="shared" si="4"/>
        <v>0</v>
      </c>
      <c r="S31" s="3"/>
      <c r="T31" s="8">
        <v>116.28</v>
      </c>
      <c r="U31" s="3"/>
      <c r="V31" s="7">
        <f t="shared" si="5"/>
        <v>0</v>
      </c>
      <c r="W31" s="3"/>
      <c r="X31" s="8">
        <f t="shared" si="6"/>
        <v>4160.3600000000006</v>
      </c>
      <c r="Y31" s="3"/>
      <c r="Z31" s="7">
        <f t="shared" si="7"/>
        <v>35.77880976952185</v>
      </c>
    </row>
    <row r="32" spans="1:26" s="68" customFormat="1" ht="15" customHeight="1" outlineLevel="1" collapsed="1" x14ac:dyDescent="0.3">
      <c r="A32" s="25"/>
      <c r="B32" s="14" t="str">
        <f>CONCATENATE("     ","Depreciation                                      ")</f>
        <v xml:space="preserve">     Depreciation                                      </v>
      </c>
      <c r="C32" s="14"/>
      <c r="D32" s="2">
        <f>SUM(OSRRefD22_2x_0)</f>
        <v>0</v>
      </c>
      <c r="E32" s="2"/>
      <c r="F32" s="6">
        <f t="shared" si="0"/>
        <v>0</v>
      </c>
      <c r="G32" s="2"/>
      <c r="H32" s="2">
        <f>SUM(OSRRefH22_2x_0)</f>
        <v>1558.88</v>
      </c>
      <c r="I32" s="2"/>
      <c r="J32" s="6">
        <f t="shared" si="1"/>
        <v>0</v>
      </c>
      <c r="K32" s="2"/>
      <c r="L32" s="2">
        <f t="shared" si="2"/>
        <v>-1558.88</v>
      </c>
      <c r="M32" s="2"/>
      <c r="N32" s="6">
        <f t="shared" si="3"/>
        <v>-1</v>
      </c>
      <c r="O32" s="14"/>
      <c r="P32" s="2">
        <f>SUM(OSRRefP22_2x_0)</f>
        <v>12471</v>
      </c>
      <c r="Q32" s="2"/>
      <c r="R32" s="6">
        <f t="shared" si="4"/>
        <v>0</v>
      </c>
      <c r="S32" s="2"/>
      <c r="T32" s="2">
        <f>SUM(OSRRefT22_2x_0)</f>
        <v>15588.8</v>
      </c>
      <c r="U32" s="2"/>
      <c r="V32" s="6">
        <f t="shared" si="5"/>
        <v>0</v>
      </c>
      <c r="W32" s="2"/>
      <c r="X32" s="2">
        <f t="shared" si="6"/>
        <v>-3117.7999999999993</v>
      </c>
      <c r="Y32" s="2"/>
      <c r="Z32" s="6">
        <f t="shared" si="7"/>
        <v>-0.20000256594478083</v>
      </c>
    </row>
    <row r="33" spans="1:26" s="69" customFormat="1" ht="15" hidden="1" customHeight="1" outlineLevel="2" x14ac:dyDescent="0.3">
      <c r="A33" s="26"/>
      <c r="B33" s="12" t="str">
        <f>CONCATENATE("          ","6322"," - ","EQUIPMENT DEPRECIATION EXPENSE")</f>
        <v xml:space="preserve">          6322 - EQUIPMENT DEPRECIATION EXPENSE</v>
      </c>
      <c r="C33" s="12"/>
      <c r="D33" s="8"/>
      <c r="E33" s="3"/>
      <c r="F33" s="7">
        <f t="shared" si="0"/>
        <v>0</v>
      </c>
      <c r="G33" s="3"/>
      <c r="H33" s="8">
        <v>1558.88</v>
      </c>
      <c r="I33" s="3"/>
      <c r="J33" s="7">
        <f t="shared" si="1"/>
        <v>0</v>
      </c>
      <c r="K33" s="3"/>
      <c r="L33" s="8">
        <f t="shared" si="2"/>
        <v>-1558.88</v>
      </c>
      <c r="M33" s="3"/>
      <c r="N33" s="7">
        <f t="shared" si="3"/>
        <v>-1</v>
      </c>
      <c r="O33" s="12"/>
      <c r="P33" s="8">
        <v>12471</v>
      </c>
      <c r="Q33" s="3"/>
      <c r="R33" s="7">
        <f t="shared" si="4"/>
        <v>0</v>
      </c>
      <c r="S33" s="3"/>
      <c r="T33" s="8">
        <v>15588.8</v>
      </c>
      <c r="U33" s="3"/>
      <c r="V33" s="7">
        <f t="shared" si="5"/>
        <v>0</v>
      </c>
      <c r="W33" s="3"/>
      <c r="X33" s="8">
        <f t="shared" si="6"/>
        <v>-3117.7999999999993</v>
      </c>
      <c r="Y33" s="3"/>
      <c r="Z33" s="7">
        <f t="shared" si="7"/>
        <v>-0.20000256594478083</v>
      </c>
    </row>
    <row r="34" spans="1:26" s="68" customFormat="1" ht="15" customHeight="1" outlineLevel="1" collapsed="1" x14ac:dyDescent="0.3">
      <c r="A34" s="25"/>
      <c r="B34" s="14" t="str">
        <f>CONCATENATE("     ","Employees' Appreciation                           ")</f>
        <v xml:space="preserve">     Employees' Appreciation                           </v>
      </c>
      <c r="C34" s="14"/>
      <c r="D34" s="2">
        <f>SUM(OSRRefD22_3x_0)</f>
        <v>0</v>
      </c>
      <c r="E34" s="2"/>
      <c r="F34" s="6">
        <f t="shared" si="0"/>
        <v>0</v>
      </c>
      <c r="G34" s="2"/>
      <c r="H34" s="2">
        <f>SUM(OSRRefH22_3x_0)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SUM(OSRRefP22_3x_0)</f>
        <v>8.02</v>
      </c>
      <c r="Q34" s="2"/>
      <c r="R34" s="6">
        <f t="shared" si="4"/>
        <v>0</v>
      </c>
      <c r="S34" s="2"/>
      <c r="T34" s="2">
        <f>SUM(OSRRefT22_3x_0)</f>
        <v>0</v>
      </c>
      <c r="U34" s="2"/>
      <c r="V34" s="6">
        <f t="shared" si="5"/>
        <v>0</v>
      </c>
      <c r="W34" s="2"/>
      <c r="X34" s="2">
        <f t="shared" si="6"/>
        <v>8.02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","6277"," - ","EMPLOYEE APPRECIATION")</f>
        <v xml:space="preserve">          6277 - EMPLOYEE APPRECIATION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8.02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8.02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","Equipment Rental                                  ")</f>
        <v xml:space="preserve">     Equipment Rental                                  </v>
      </c>
      <c r="C36" s="14"/>
      <c r="D36" s="2">
        <f>SUM(OSRRefD22_4x_0)</f>
        <v>91.26</v>
      </c>
      <c r="E36" s="2"/>
      <c r="F36" s="6">
        <f t="shared" si="0"/>
        <v>0</v>
      </c>
      <c r="G36" s="2"/>
      <c r="H36" s="2">
        <f>SUM(OSRRefH22_4x_0)</f>
        <v>91.26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SUM(OSRRefP22_4x_0)</f>
        <v>912.6</v>
      </c>
      <c r="Q36" s="2"/>
      <c r="R36" s="6">
        <f t="shared" si="4"/>
        <v>0</v>
      </c>
      <c r="S36" s="2"/>
      <c r="T36" s="2">
        <f>SUM(OSRRefT22_4x_0)</f>
        <v>912.6</v>
      </c>
      <c r="U36" s="2"/>
      <c r="V36" s="6">
        <f t="shared" si="5"/>
        <v>0</v>
      </c>
      <c r="W36" s="2"/>
      <c r="X36" s="2">
        <f t="shared" si="6"/>
        <v>0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","6351"," - ","EQUIPMENT RENTAL")</f>
        <v xml:space="preserve">          6351 - EQUIPMENT RENTAL</v>
      </c>
      <c r="C37" s="12"/>
      <c r="D37" s="8">
        <v>91.26</v>
      </c>
      <c r="E37" s="3"/>
      <c r="F37" s="7">
        <f t="shared" si="0"/>
        <v>0</v>
      </c>
      <c r="G37" s="3"/>
      <c r="H37" s="8">
        <v>91.26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912.6</v>
      </c>
      <c r="Q37" s="3"/>
      <c r="R37" s="7">
        <f t="shared" si="4"/>
        <v>0</v>
      </c>
      <c r="S37" s="3"/>
      <c r="T37" s="8">
        <v>912.6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","Freight out/Postage                               ")</f>
        <v xml:space="preserve">     Freight out/Postage                               </v>
      </c>
      <c r="C38" s="14"/>
      <c r="D38" s="2">
        <f>SUM(OSRRefD22_5x_0)</f>
        <v>128.11000000000001</v>
      </c>
      <c r="E38" s="2"/>
      <c r="F38" s="6">
        <f t="shared" si="0"/>
        <v>0</v>
      </c>
      <c r="G38" s="2"/>
      <c r="H38" s="2">
        <f>SUM(OSRRefH22_5x_0)</f>
        <v>84.75</v>
      </c>
      <c r="I38" s="2"/>
      <c r="J38" s="6">
        <f t="shared" si="1"/>
        <v>0</v>
      </c>
      <c r="K38" s="2"/>
      <c r="L38" s="2">
        <f t="shared" si="2"/>
        <v>43.360000000000014</v>
      </c>
      <c r="M38" s="2"/>
      <c r="N38" s="6">
        <f t="shared" si="3"/>
        <v>0.51162241887905624</v>
      </c>
      <c r="O38" s="14"/>
      <c r="P38" s="2">
        <f>SUM(OSRRefP22_5x_0)</f>
        <v>1385.73</v>
      </c>
      <c r="Q38" s="2"/>
      <c r="R38" s="6">
        <f t="shared" si="4"/>
        <v>0</v>
      </c>
      <c r="S38" s="2"/>
      <c r="T38" s="2">
        <f>SUM(OSRRefT22_5x_0)</f>
        <v>899.79</v>
      </c>
      <c r="U38" s="2"/>
      <c r="V38" s="6">
        <f t="shared" si="5"/>
        <v>0</v>
      </c>
      <c r="W38" s="2"/>
      <c r="X38" s="2">
        <f t="shared" si="6"/>
        <v>485.94000000000005</v>
      </c>
      <c r="Y38" s="2"/>
      <c r="Z38" s="6">
        <f t="shared" si="7"/>
        <v>0.54005934718100901</v>
      </c>
    </row>
    <row r="39" spans="1:26" s="69" customFormat="1" ht="15" hidden="1" customHeight="1" outlineLevel="2" x14ac:dyDescent="0.3">
      <c r="A39" s="26"/>
      <c r="B39" s="12" t="str">
        <f>CONCATENATE("          ","6305"," - ","FREIGHT OUT")</f>
        <v xml:space="preserve">          6305 - FREIGHT OUT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5.41</v>
      </c>
      <c r="U39" s="3"/>
      <c r="V39" s="7">
        <f t="shared" si="5"/>
        <v>0</v>
      </c>
      <c r="W39" s="3"/>
      <c r="X39" s="8">
        <f t="shared" si="6"/>
        <v>-5.41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","6307"," - ","POSTAGE")</f>
        <v xml:space="preserve">          6307 - POSTAGE</v>
      </c>
      <c r="C40" s="12"/>
      <c r="D40" s="8">
        <v>128.11000000000001</v>
      </c>
      <c r="E40" s="3"/>
      <c r="F40" s="7">
        <f t="shared" si="0"/>
        <v>0</v>
      </c>
      <c r="G40" s="3"/>
      <c r="H40" s="8">
        <v>84.75</v>
      </c>
      <c r="I40" s="3"/>
      <c r="J40" s="7">
        <f t="shared" si="1"/>
        <v>0</v>
      </c>
      <c r="K40" s="3"/>
      <c r="L40" s="8">
        <f t="shared" si="2"/>
        <v>43.360000000000014</v>
      </c>
      <c r="M40" s="3"/>
      <c r="N40" s="7">
        <f t="shared" si="3"/>
        <v>0.51162241887905624</v>
      </c>
      <c r="O40" s="12"/>
      <c r="P40" s="8">
        <v>1385.73</v>
      </c>
      <c r="Q40" s="3"/>
      <c r="R40" s="7">
        <f t="shared" si="4"/>
        <v>0</v>
      </c>
      <c r="S40" s="3"/>
      <c r="T40" s="8">
        <v>894.38</v>
      </c>
      <c r="U40" s="3"/>
      <c r="V40" s="7">
        <f t="shared" si="5"/>
        <v>0</v>
      </c>
      <c r="W40" s="3"/>
      <c r="X40" s="8">
        <f t="shared" si="6"/>
        <v>491.35</v>
      </c>
      <c r="Y40" s="3"/>
      <c r="Z40" s="7">
        <f t="shared" si="7"/>
        <v>0.54937498602383772</v>
      </c>
    </row>
    <row r="41" spans="1:26" s="68" customFormat="1" ht="15" customHeight="1" outlineLevel="1" collapsed="1" x14ac:dyDescent="0.3">
      <c r="A41" s="25"/>
      <c r="B41" s="14" t="str">
        <f>CONCATENATE("     ","Insurance                                         ")</f>
        <v xml:space="preserve">     Insurance                                         </v>
      </c>
      <c r="C41" s="14"/>
      <c r="D41" s="2">
        <f>SUM(OSRRefD22_6x_0)</f>
        <v>179.64</v>
      </c>
      <c r="E41" s="2"/>
      <c r="F41" s="6">
        <f t="shared" si="0"/>
        <v>0</v>
      </c>
      <c r="G41" s="2"/>
      <c r="H41" s="2">
        <f>SUM(OSRRefH22_6x_0)</f>
        <v>132.16999999999999</v>
      </c>
      <c r="I41" s="2"/>
      <c r="J41" s="6">
        <f t="shared" si="1"/>
        <v>0</v>
      </c>
      <c r="K41" s="2"/>
      <c r="L41" s="2">
        <f t="shared" si="2"/>
        <v>47.47</v>
      </c>
      <c r="M41" s="2"/>
      <c r="N41" s="6">
        <f t="shared" si="3"/>
        <v>0.35915865930241359</v>
      </c>
      <c r="O41" s="14"/>
      <c r="P41" s="2">
        <f>SUM(OSRRefP22_6x_0)</f>
        <v>1796.4</v>
      </c>
      <c r="Q41" s="2"/>
      <c r="R41" s="6">
        <f t="shared" si="4"/>
        <v>0</v>
      </c>
      <c r="S41" s="2"/>
      <c r="T41" s="2">
        <f>SUM(OSRRefT22_6x_0)</f>
        <v>1321.7</v>
      </c>
      <c r="U41" s="2"/>
      <c r="V41" s="6">
        <f t="shared" si="5"/>
        <v>0</v>
      </c>
      <c r="W41" s="2"/>
      <c r="X41" s="2">
        <f t="shared" si="6"/>
        <v>474.70000000000005</v>
      </c>
      <c r="Y41" s="2"/>
      <c r="Z41" s="6">
        <f t="shared" si="7"/>
        <v>0.35915865930241359</v>
      </c>
    </row>
    <row r="42" spans="1:26" s="69" customFormat="1" ht="15" hidden="1" customHeight="1" outlineLevel="2" x14ac:dyDescent="0.3">
      <c r="A42" s="26"/>
      <c r="B42" s="12" t="str">
        <f>CONCATENATE("          ","6314"," - ","LIABILITY INSURANCE")</f>
        <v xml:space="preserve">          6314 - LIABILITY INSURANCE</v>
      </c>
      <c r="C42" s="12"/>
      <c r="D42" s="8">
        <v>179.64</v>
      </c>
      <c r="E42" s="3"/>
      <c r="F42" s="7">
        <f t="shared" si="0"/>
        <v>0</v>
      </c>
      <c r="G42" s="3"/>
      <c r="H42" s="8">
        <v>132.16999999999999</v>
      </c>
      <c r="I42" s="3"/>
      <c r="J42" s="7">
        <f t="shared" si="1"/>
        <v>0</v>
      </c>
      <c r="K42" s="3"/>
      <c r="L42" s="8">
        <f t="shared" si="2"/>
        <v>47.47</v>
      </c>
      <c r="M42" s="3"/>
      <c r="N42" s="7">
        <f t="shared" si="3"/>
        <v>0.35915865930241359</v>
      </c>
      <c r="O42" s="12"/>
      <c r="P42" s="8">
        <v>1796.4</v>
      </c>
      <c r="Q42" s="3"/>
      <c r="R42" s="7">
        <f t="shared" si="4"/>
        <v>0</v>
      </c>
      <c r="S42" s="3"/>
      <c r="T42" s="8">
        <v>1321.7</v>
      </c>
      <c r="U42" s="3"/>
      <c r="V42" s="7">
        <f t="shared" si="5"/>
        <v>0</v>
      </c>
      <c r="W42" s="3"/>
      <c r="X42" s="8">
        <f t="shared" si="6"/>
        <v>474.70000000000005</v>
      </c>
      <c r="Y42" s="3"/>
      <c r="Z42" s="7">
        <f t="shared" si="7"/>
        <v>0.35915865930241359</v>
      </c>
    </row>
    <row r="43" spans="1:26" s="68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SUM(OSRRefD22_7x_0)</f>
        <v>72.320000000000007</v>
      </c>
      <c r="E43" s="2"/>
      <c r="F43" s="6">
        <f t="shared" si="0"/>
        <v>0</v>
      </c>
      <c r="G43" s="2"/>
      <c r="H43" s="2">
        <f>SUM(OSRRefH22_7x_0)</f>
        <v>607.82000000000005</v>
      </c>
      <c r="I43" s="2"/>
      <c r="J43" s="6">
        <f t="shared" si="1"/>
        <v>0</v>
      </c>
      <c r="K43" s="2"/>
      <c r="L43" s="2">
        <f t="shared" si="2"/>
        <v>-535.5</v>
      </c>
      <c r="M43" s="2"/>
      <c r="N43" s="6">
        <f t="shared" si="3"/>
        <v>-0.88101740646902038</v>
      </c>
      <c r="O43" s="14"/>
      <c r="P43" s="2">
        <f>SUM(OSRRefP22_7x_0)</f>
        <v>42548.17</v>
      </c>
      <c r="Q43" s="2"/>
      <c r="R43" s="6">
        <f t="shared" si="4"/>
        <v>0</v>
      </c>
      <c r="S43" s="2"/>
      <c r="T43" s="2">
        <f>SUM(OSRRefT22_7x_0)</f>
        <v>37643.919999999998</v>
      </c>
      <c r="U43" s="2"/>
      <c r="V43" s="6">
        <f t="shared" si="5"/>
        <v>0</v>
      </c>
      <c r="W43" s="2"/>
      <c r="X43" s="2">
        <f t="shared" si="6"/>
        <v>4904.25</v>
      </c>
      <c r="Y43" s="2"/>
      <c r="Z43" s="6">
        <f t="shared" si="7"/>
        <v>0.1302800027202268</v>
      </c>
    </row>
    <row r="44" spans="1:26" s="69" customFormat="1" ht="15" hidden="1" customHeight="1" outlineLevel="2" x14ac:dyDescent="0.3">
      <c r="A44" s="26"/>
      <c r="B44" s="12" t="str">
        <f>CONCATENATE("          ","6371"," - ","COMPUTER SOFTWARE MAINTENANCE")</f>
        <v xml:space="preserve">          6371 - COMPUTER SOFTWARE MAINTENANCE</v>
      </c>
      <c r="C44" s="12"/>
      <c r="D44" s="8">
        <v>59.95</v>
      </c>
      <c r="E44" s="3"/>
      <c r="F44" s="7">
        <f t="shared" si="0"/>
        <v>0</v>
      </c>
      <c r="G44" s="3"/>
      <c r="H44" s="8">
        <v>59.95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35728.370000000003</v>
      </c>
      <c r="Q44" s="3"/>
      <c r="R44" s="7">
        <f t="shared" si="4"/>
        <v>0</v>
      </c>
      <c r="S44" s="3"/>
      <c r="T44" s="8">
        <v>32293.42</v>
      </c>
      <c r="U44" s="3"/>
      <c r="V44" s="7">
        <f t="shared" si="5"/>
        <v>0</v>
      </c>
      <c r="W44" s="3"/>
      <c r="X44" s="8">
        <f t="shared" si="6"/>
        <v>3434.9500000000044</v>
      </c>
      <c r="Y44" s="3"/>
      <c r="Z44" s="7">
        <f t="shared" si="7"/>
        <v>0.10636686978338016</v>
      </c>
    </row>
    <row r="45" spans="1:26" s="69" customFormat="1" ht="15" hidden="1" customHeight="1" outlineLevel="2" x14ac:dyDescent="0.3">
      <c r="A45" s="26"/>
      <c r="B45" s="12" t="str">
        <f>CONCATENATE("          ","6373"," - ","MAINTENANCE CONTRACTS")</f>
        <v xml:space="preserve">          6373 - MAINTENANCE CONTRACTS</v>
      </c>
      <c r="C45" s="12"/>
      <c r="D45" s="8">
        <v>12.37</v>
      </c>
      <c r="E45" s="3"/>
      <c r="F45" s="7">
        <f t="shared" si="0"/>
        <v>0</v>
      </c>
      <c r="G45" s="3"/>
      <c r="H45" s="8">
        <v>497.75</v>
      </c>
      <c r="I45" s="3"/>
      <c r="J45" s="7">
        <f t="shared" si="1"/>
        <v>0</v>
      </c>
      <c r="K45" s="3"/>
      <c r="L45" s="8">
        <f t="shared" si="2"/>
        <v>-485.38</v>
      </c>
      <c r="M45" s="3"/>
      <c r="N45" s="7">
        <f t="shared" si="3"/>
        <v>-0.97514816675037663</v>
      </c>
      <c r="O45" s="12"/>
      <c r="P45" s="8">
        <v>5262.24</v>
      </c>
      <c r="Q45" s="3"/>
      <c r="R45" s="7">
        <f t="shared" si="4"/>
        <v>0</v>
      </c>
      <c r="S45" s="3"/>
      <c r="T45" s="8">
        <v>5173.3599999999997</v>
      </c>
      <c r="U45" s="3"/>
      <c r="V45" s="7">
        <f t="shared" si="5"/>
        <v>0</v>
      </c>
      <c r="W45" s="3"/>
      <c r="X45" s="8">
        <f t="shared" si="6"/>
        <v>88.880000000000109</v>
      </c>
      <c r="Y45" s="3"/>
      <c r="Z45" s="7">
        <f t="shared" si="7"/>
        <v>1.7180323812763874E-2</v>
      </c>
    </row>
    <row r="46" spans="1:26" s="69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8"/>
      <c r="E46" s="3"/>
      <c r="F46" s="7">
        <f t="shared" si="0"/>
        <v>0</v>
      </c>
      <c r="G46" s="3"/>
      <c r="H46" s="8">
        <v>50.12</v>
      </c>
      <c r="I46" s="3"/>
      <c r="J46" s="7">
        <f t="shared" si="1"/>
        <v>0</v>
      </c>
      <c r="K46" s="3"/>
      <c r="L46" s="8">
        <f t="shared" si="2"/>
        <v>-50.12</v>
      </c>
      <c r="M46" s="3"/>
      <c r="N46" s="7">
        <f t="shared" si="3"/>
        <v>-1</v>
      </c>
      <c r="O46" s="12"/>
      <c r="P46" s="8">
        <v>1557.56</v>
      </c>
      <c r="Q46" s="3"/>
      <c r="R46" s="7">
        <f t="shared" si="4"/>
        <v>0</v>
      </c>
      <c r="S46" s="3"/>
      <c r="T46" s="8">
        <v>177.14</v>
      </c>
      <c r="U46" s="3"/>
      <c r="V46" s="7">
        <f t="shared" si="5"/>
        <v>0</v>
      </c>
      <c r="W46" s="3"/>
      <c r="X46" s="8">
        <f t="shared" si="6"/>
        <v>1380.42</v>
      </c>
      <c r="Y46" s="3"/>
      <c r="Z46" s="7">
        <f t="shared" si="7"/>
        <v>7.7928192390199849</v>
      </c>
    </row>
    <row r="47" spans="1:26" s="68" customFormat="1" ht="15" customHeight="1" outlineLevel="1" collapsed="1" x14ac:dyDescent="0.3">
      <c r="A47" s="25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SUM(OSRRefD22_8x_0)</f>
        <v>0</v>
      </c>
      <c r="E47" s="2"/>
      <c r="F47" s="6">
        <f t="shared" si="0"/>
        <v>0</v>
      </c>
      <c r="G47" s="2"/>
      <c r="H47" s="2">
        <f>SUM(OSRRefH22_8x_0)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SUM(OSRRefP22_8x_0)</f>
        <v>8104.68</v>
      </c>
      <c r="Q47" s="2"/>
      <c r="R47" s="6">
        <f t="shared" si="4"/>
        <v>0</v>
      </c>
      <c r="S47" s="2"/>
      <c r="T47" s="2">
        <f>SUM(OSRRefT22_8x_0)</f>
        <v>5580.34</v>
      </c>
      <c r="U47" s="2"/>
      <c r="V47" s="6">
        <f t="shared" si="5"/>
        <v>0</v>
      </c>
      <c r="W47" s="2"/>
      <c r="X47" s="2">
        <f t="shared" si="6"/>
        <v>2524.34</v>
      </c>
      <c r="Y47" s="2"/>
      <c r="Z47" s="6">
        <f t="shared" si="7"/>
        <v>0.45236311765949744</v>
      </c>
    </row>
    <row r="48" spans="1:26" s="69" customFormat="1" ht="15" hidden="1" customHeight="1" outlineLevel="2" x14ac:dyDescent="0.3">
      <c r="A48" s="26"/>
      <c r="B48" s="12" t="str">
        <f>CONCATENATE("          ","6281"," - ","STORAGE FEE")</f>
        <v xml:space="preserve">          6281 - STORAGE FEE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8104.68</v>
      </c>
      <c r="Q48" s="3"/>
      <c r="R48" s="7">
        <f t="shared" si="4"/>
        <v>0</v>
      </c>
      <c r="S48" s="3"/>
      <c r="T48" s="8">
        <v>5580.34</v>
      </c>
      <c r="U48" s="3"/>
      <c r="V48" s="7">
        <f t="shared" si="5"/>
        <v>0</v>
      </c>
      <c r="W48" s="3"/>
      <c r="X48" s="8">
        <f t="shared" si="6"/>
        <v>2524.34</v>
      </c>
      <c r="Y48" s="3"/>
      <c r="Z48" s="7">
        <f t="shared" si="7"/>
        <v>0.45236311765949744</v>
      </c>
    </row>
    <row r="49" spans="1:26" s="68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SUM(OSRRefD22_9x_0)</f>
        <v>0</v>
      </c>
      <c r="E49" s="2"/>
      <c r="F49" s="6">
        <f t="shared" si="0"/>
        <v>0</v>
      </c>
      <c r="G49" s="2"/>
      <c r="H49" s="2">
        <f>SUM(OSRRefH22_9x_0)</f>
        <v>42.19</v>
      </c>
      <c r="I49" s="2"/>
      <c r="J49" s="6">
        <f t="shared" si="1"/>
        <v>0</v>
      </c>
      <c r="K49" s="2"/>
      <c r="L49" s="2">
        <f t="shared" si="2"/>
        <v>-42.19</v>
      </c>
      <c r="M49" s="2"/>
      <c r="N49" s="6">
        <f t="shared" si="3"/>
        <v>-1</v>
      </c>
      <c r="O49" s="14"/>
      <c r="P49" s="2">
        <f>SUM(OSRRefP22_9x_0)</f>
        <v>4391.3600000000006</v>
      </c>
      <c r="Q49" s="2"/>
      <c r="R49" s="6">
        <f t="shared" si="4"/>
        <v>0</v>
      </c>
      <c r="S49" s="2"/>
      <c r="T49" s="2">
        <f>SUM(OSRRefT22_9x_0)</f>
        <v>2067.16</v>
      </c>
      <c r="U49" s="2"/>
      <c r="V49" s="6">
        <f t="shared" si="5"/>
        <v>0</v>
      </c>
      <c r="W49" s="2"/>
      <c r="X49" s="2">
        <f t="shared" si="6"/>
        <v>2324.2000000000007</v>
      </c>
      <c r="Y49" s="2"/>
      <c r="Z49" s="6">
        <f t="shared" si="7"/>
        <v>1.1243445113102037</v>
      </c>
    </row>
    <row r="50" spans="1:26" s="69" customFormat="1" ht="15" hidden="1" customHeight="1" outlineLevel="2" x14ac:dyDescent="0.3">
      <c r="A50" s="26"/>
      <c r="B50" s="12" t="str">
        <f>CONCATENATE("          ","6234"," - ","EXPENDABLE SUPPLIES &amp; EQUIPMEN")</f>
        <v xml:space="preserve">          6234 - EXPENDABLE SUPPLIES &amp; EQUIPMEN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2481.17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2481.17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","6235"," - ","COVID-19 EXPENSES")</f>
        <v xml:space="preserve">          6235 - COVID-19 EXPENSES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/>
      <c r="Q51" s="3"/>
      <c r="R51" s="7">
        <f t="shared" si="4"/>
        <v>0</v>
      </c>
      <c r="S51" s="3"/>
      <c r="T51" s="8">
        <v>426.66</v>
      </c>
      <c r="U51" s="3"/>
      <c r="V51" s="7">
        <f t="shared" si="5"/>
        <v>0</v>
      </c>
      <c r="W51" s="3"/>
      <c r="X51" s="8">
        <f t="shared" si="6"/>
        <v>-426.66</v>
      </c>
      <c r="Y51" s="3"/>
      <c r="Z51" s="7">
        <f t="shared" si="7"/>
        <v>-1</v>
      </c>
    </row>
    <row r="52" spans="1:26" s="69" customFormat="1" ht="15" hidden="1" customHeight="1" outlineLevel="2" x14ac:dyDescent="0.3">
      <c r="A52" s="26"/>
      <c r="B52" s="12" t="str">
        <f>CONCATENATE("          ","6241"," - ","OFFICE EXPENSE")</f>
        <v xml:space="preserve">          6241 - OFFICE EXPENSE</v>
      </c>
      <c r="C52" s="12"/>
      <c r="D52" s="8"/>
      <c r="E52" s="3"/>
      <c r="F52" s="7">
        <f t="shared" si="0"/>
        <v>0</v>
      </c>
      <c r="G52" s="3"/>
      <c r="H52" s="8">
        <v>42.19</v>
      </c>
      <c r="I52" s="3"/>
      <c r="J52" s="7">
        <f t="shared" si="1"/>
        <v>0</v>
      </c>
      <c r="K52" s="3"/>
      <c r="L52" s="8">
        <f t="shared" si="2"/>
        <v>-42.19</v>
      </c>
      <c r="M52" s="3"/>
      <c r="N52" s="7">
        <f t="shared" si="3"/>
        <v>-1</v>
      </c>
      <c r="O52" s="12"/>
      <c r="P52" s="8">
        <v>1910.19</v>
      </c>
      <c r="Q52" s="3"/>
      <c r="R52" s="7">
        <f t="shared" si="4"/>
        <v>0</v>
      </c>
      <c r="S52" s="3"/>
      <c r="T52" s="8">
        <v>1640.5</v>
      </c>
      <c r="U52" s="3"/>
      <c r="V52" s="7">
        <f t="shared" si="5"/>
        <v>0</v>
      </c>
      <c r="W52" s="3"/>
      <c r="X52" s="8">
        <f t="shared" si="6"/>
        <v>269.69000000000005</v>
      </c>
      <c r="Y52" s="3"/>
      <c r="Z52" s="7">
        <f t="shared" si="7"/>
        <v>0.16439500152392567</v>
      </c>
    </row>
    <row r="53" spans="1:26" s="68" customFormat="1" ht="15" customHeight="1" outlineLevel="1" collapsed="1" x14ac:dyDescent="0.3">
      <c r="A53" s="25"/>
      <c r="B53" s="14" t="str">
        <f>CONCATENATE("     ","Telephone/Data Lines                              ")</f>
        <v xml:space="preserve">     Telephone/Data Lines                              </v>
      </c>
      <c r="C53" s="14"/>
      <c r="D53" s="2">
        <f>SUM(OSRRefD22_10x_0)</f>
        <v>365.6</v>
      </c>
      <c r="E53" s="2"/>
      <c r="F53" s="6">
        <f t="shared" si="0"/>
        <v>0</v>
      </c>
      <c r="G53" s="2"/>
      <c r="H53" s="2">
        <f>SUM(OSRRefH22_10x_0)</f>
        <v>345.7</v>
      </c>
      <c r="I53" s="2"/>
      <c r="J53" s="6">
        <f t="shared" si="1"/>
        <v>0</v>
      </c>
      <c r="K53" s="2"/>
      <c r="L53" s="2">
        <f t="shared" si="2"/>
        <v>19.900000000000034</v>
      </c>
      <c r="M53" s="2"/>
      <c r="N53" s="6">
        <f t="shared" si="3"/>
        <v>5.7564362163725874E-2</v>
      </c>
      <c r="O53" s="14"/>
      <c r="P53" s="2">
        <f>SUM(OSRRefP22_10x_0)</f>
        <v>4092.27</v>
      </c>
      <c r="Q53" s="2"/>
      <c r="R53" s="6">
        <f t="shared" si="4"/>
        <v>0</v>
      </c>
      <c r="S53" s="2"/>
      <c r="T53" s="2">
        <f>SUM(OSRRefT22_10x_0)</f>
        <v>5151.9799999999996</v>
      </c>
      <c r="U53" s="2"/>
      <c r="V53" s="6">
        <f t="shared" si="5"/>
        <v>0</v>
      </c>
      <c r="W53" s="2"/>
      <c r="X53" s="2">
        <f t="shared" si="6"/>
        <v>-1059.7099999999996</v>
      </c>
      <c r="Y53" s="2"/>
      <c r="Z53" s="6">
        <f t="shared" si="7"/>
        <v>-0.20568985128047851</v>
      </c>
    </row>
    <row r="54" spans="1:26" s="69" customFormat="1" ht="15" hidden="1" customHeight="1" outlineLevel="2" x14ac:dyDescent="0.3">
      <c r="A54" s="26"/>
      <c r="B54" s="12" t="str">
        <f>CONCATENATE("          ","6309"," - ","TELEPHONE")</f>
        <v xml:space="preserve">          6309 - TELEPHONE</v>
      </c>
      <c r="C54" s="12"/>
      <c r="D54" s="8">
        <v>365.6</v>
      </c>
      <c r="E54" s="3"/>
      <c r="F54" s="7">
        <f t="shared" si="0"/>
        <v>0</v>
      </c>
      <c r="G54" s="3"/>
      <c r="H54" s="8">
        <v>345.7</v>
      </c>
      <c r="I54" s="3"/>
      <c r="J54" s="7">
        <f t="shared" si="1"/>
        <v>0</v>
      </c>
      <c r="K54" s="3"/>
      <c r="L54" s="8">
        <f t="shared" si="2"/>
        <v>19.900000000000034</v>
      </c>
      <c r="M54" s="3"/>
      <c r="N54" s="7">
        <f t="shared" si="3"/>
        <v>5.7564362163725874E-2</v>
      </c>
      <c r="O54" s="12"/>
      <c r="P54" s="8">
        <v>4092.27</v>
      </c>
      <c r="Q54" s="3"/>
      <c r="R54" s="7">
        <f t="shared" si="4"/>
        <v>0</v>
      </c>
      <c r="S54" s="3"/>
      <c r="T54" s="8">
        <v>5151.9799999999996</v>
      </c>
      <c r="U54" s="3"/>
      <c r="V54" s="7">
        <f t="shared" si="5"/>
        <v>0</v>
      </c>
      <c r="W54" s="3"/>
      <c r="X54" s="8">
        <f t="shared" si="6"/>
        <v>-1059.7099999999996</v>
      </c>
      <c r="Y54" s="3"/>
      <c r="Z54" s="7">
        <f t="shared" si="7"/>
        <v>-0.20568985128047851</v>
      </c>
    </row>
    <row r="55" spans="1:26" s="68" customFormat="1" ht="15" customHeight="1" outlineLevel="1" collapsed="1" x14ac:dyDescent="0.3">
      <c r="A55" s="25"/>
      <c r="B55" s="14" t="str">
        <f>CONCATENATE("     ","Training                                          ")</f>
        <v xml:space="preserve">     Training                                          </v>
      </c>
      <c r="C55" s="14"/>
      <c r="D55" s="2">
        <f>SUM(OSRRefD22_11x_0)</f>
        <v>0</v>
      </c>
      <c r="E55" s="2"/>
      <c r="F55" s="6">
        <f t="shared" si="0"/>
        <v>0</v>
      </c>
      <c r="G55" s="2"/>
      <c r="H55" s="2">
        <f>SUM(OSRRefH22_11x_0)</f>
        <v>0</v>
      </c>
      <c r="I55" s="2"/>
      <c r="J55" s="6">
        <f t="shared" si="1"/>
        <v>0</v>
      </c>
      <c r="K55" s="2"/>
      <c r="L55" s="2">
        <f t="shared" si="2"/>
        <v>0</v>
      </c>
      <c r="M55" s="2"/>
      <c r="N55" s="6">
        <f t="shared" si="3"/>
        <v>0</v>
      </c>
      <c r="O55" s="14"/>
      <c r="P55" s="2">
        <f>SUM(OSRRefP22_11x_0)</f>
        <v>595</v>
      </c>
      <c r="Q55" s="2"/>
      <c r="R55" s="6">
        <f t="shared" si="4"/>
        <v>0</v>
      </c>
      <c r="S55" s="2"/>
      <c r="T55" s="2">
        <f>SUM(OSRRefT22_11x_0)</f>
        <v>548</v>
      </c>
      <c r="U55" s="2"/>
      <c r="V55" s="6">
        <f t="shared" si="5"/>
        <v>0</v>
      </c>
      <c r="W55" s="2"/>
      <c r="X55" s="2">
        <f t="shared" si="6"/>
        <v>47</v>
      </c>
      <c r="Y55" s="2"/>
      <c r="Z55" s="6">
        <f t="shared" si="7"/>
        <v>8.576642335766424E-2</v>
      </c>
    </row>
    <row r="56" spans="1:26" s="69" customFormat="1" ht="15" hidden="1" customHeight="1" outlineLevel="2" x14ac:dyDescent="0.3">
      <c r="A56" s="26"/>
      <c r="B56" s="12" t="str">
        <f>CONCATENATE("          ","6376"," - ","TRAINING")</f>
        <v xml:space="preserve">          6376 - TRAINING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595</v>
      </c>
      <c r="Q56" s="3"/>
      <c r="R56" s="7">
        <f t="shared" si="4"/>
        <v>0</v>
      </c>
      <c r="S56" s="3"/>
      <c r="T56" s="8">
        <v>548</v>
      </c>
      <c r="U56" s="3"/>
      <c r="V56" s="7">
        <f t="shared" si="5"/>
        <v>0</v>
      </c>
      <c r="W56" s="3"/>
      <c r="X56" s="8">
        <f t="shared" si="6"/>
        <v>47</v>
      </c>
      <c r="Y56" s="3"/>
      <c r="Z56" s="7">
        <f t="shared" si="7"/>
        <v>8.576642335766424E-2</v>
      </c>
    </row>
    <row r="57" spans="1:26" s="68" customFormat="1" ht="15" customHeight="1" outlineLevel="1" collapsed="1" x14ac:dyDescent="0.3">
      <c r="A57" s="25"/>
      <c r="B57" s="14" t="str">
        <f>CONCATENATE("     ","Travel                                            ")</f>
        <v xml:space="preserve">     Travel                                            </v>
      </c>
      <c r="C57" s="14"/>
      <c r="D57" s="2">
        <f>SUM(OSRRefD22_12x_0)</f>
        <v>0</v>
      </c>
      <c r="E57" s="2"/>
      <c r="F57" s="6">
        <f t="shared" si="0"/>
        <v>0</v>
      </c>
      <c r="G57" s="2"/>
      <c r="H57" s="2">
        <f>SUM(OSRRefH22_12x_0)</f>
        <v>13.3</v>
      </c>
      <c r="I57" s="2"/>
      <c r="J57" s="6">
        <f t="shared" si="1"/>
        <v>0</v>
      </c>
      <c r="K57" s="2"/>
      <c r="L57" s="2">
        <f t="shared" si="2"/>
        <v>-13.3</v>
      </c>
      <c r="M57" s="2"/>
      <c r="N57" s="6">
        <f t="shared" si="3"/>
        <v>-1</v>
      </c>
      <c r="O57" s="14"/>
      <c r="P57" s="2">
        <f>SUM(OSRRefP22_12x_0)</f>
        <v>30.4</v>
      </c>
      <c r="Q57" s="2"/>
      <c r="R57" s="6">
        <f t="shared" si="4"/>
        <v>0</v>
      </c>
      <c r="S57" s="2"/>
      <c r="T57" s="2">
        <f>SUM(OSRRefT22_12x_0)</f>
        <v>88.72</v>
      </c>
      <c r="U57" s="2"/>
      <c r="V57" s="6">
        <f t="shared" si="5"/>
        <v>0</v>
      </c>
      <c r="W57" s="2"/>
      <c r="X57" s="2">
        <f t="shared" si="6"/>
        <v>-58.32</v>
      </c>
      <c r="Y57" s="2"/>
      <c r="Z57" s="6">
        <f t="shared" si="7"/>
        <v>-0.65734896302975654</v>
      </c>
    </row>
    <row r="58" spans="1:26" s="69" customFormat="1" ht="15" hidden="1" customHeight="1" outlineLevel="2" x14ac:dyDescent="0.3">
      <c r="A58" s="26"/>
      <c r="B58" s="12" t="str">
        <f>CONCATENATE("          ","6294"," - ","TRAVEL OPERATIONAL")</f>
        <v xml:space="preserve">          6294 - TRAVEL OPERATIONAL</v>
      </c>
      <c r="C58" s="12"/>
      <c r="D58" s="8"/>
      <c r="E58" s="3"/>
      <c r="F58" s="7">
        <f t="shared" si="0"/>
        <v>0</v>
      </c>
      <c r="G58" s="3"/>
      <c r="H58" s="8">
        <v>13.3</v>
      </c>
      <c r="I58" s="3"/>
      <c r="J58" s="7">
        <f t="shared" si="1"/>
        <v>0</v>
      </c>
      <c r="K58" s="3"/>
      <c r="L58" s="8">
        <f t="shared" si="2"/>
        <v>-13.3</v>
      </c>
      <c r="M58" s="3"/>
      <c r="N58" s="7">
        <f t="shared" si="3"/>
        <v>-1</v>
      </c>
      <c r="O58" s="12"/>
      <c r="P58" s="8">
        <v>30.4</v>
      </c>
      <c r="Q58" s="3"/>
      <c r="R58" s="7">
        <f t="shared" si="4"/>
        <v>0</v>
      </c>
      <c r="S58" s="3"/>
      <c r="T58" s="8">
        <v>88.72</v>
      </c>
      <c r="U58" s="3"/>
      <c r="V58" s="7">
        <f t="shared" si="5"/>
        <v>0</v>
      </c>
      <c r="W58" s="3"/>
      <c r="X58" s="8">
        <f t="shared" si="6"/>
        <v>-58.32</v>
      </c>
      <c r="Y58" s="3"/>
      <c r="Z58" s="7">
        <f t="shared" si="7"/>
        <v>-0.65734896302975654</v>
      </c>
    </row>
    <row r="59" spans="1:26" s="64" customFormat="1" ht="15" customHeight="1" x14ac:dyDescent="0.3">
      <c r="A59" s="36"/>
      <c r="B59" s="36"/>
      <c r="C59" s="36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3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62" customFormat="1" ht="15" customHeight="1" x14ac:dyDescent="0.3">
      <c r="A60" s="11"/>
      <c r="B60" s="27" t="s">
        <v>290</v>
      </c>
      <c r="C60" s="11"/>
      <c r="D60" s="5">
        <f>SUM(0)</f>
        <v>0</v>
      </c>
      <c r="E60" s="5"/>
      <c r="F60" s="13">
        <f>IF(D$12=0,0,D60/D$12)</f>
        <v>0</v>
      </c>
      <c r="G60" s="5"/>
      <c r="H60" s="5">
        <f>SUM(0)</f>
        <v>0</v>
      </c>
      <c r="I60" s="5"/>
      <c r="J60" s="13">
        <f>IF(H$12=0,0,H60/H$12)</f>
        <v>0</v>
      </c>
      <c r="K60" s="5"/>
      <c r="L60" s="5">
        <f>+D60-H60</f>
        <v>0</v>
      </c>
      <c r="M60" s="5"/>
      <c r="N60" s="13">
        <f>IF(H60=0,0,L60/H60)</f>
        <v>0</v>
      </c>
      <c r="O60" s="11"/>
      <c r="P60" s="5">
        <f>SUM(0)</f>
        <v>0</v>
      </c>
      <c r="Q60" s="5"/>
      <c r="R60" s="13">
        <f>IF(P$12=0,0,P60/P$12)</f>
        <v>0</v>
      </c>
      <c r="S60" s="5"/>
      <c r="T60" s="5">
        <f>SUM(0)</f>
        <v>0</v>
      </c>
      <c r="U60" s="5"/>
      <c r="V60" s="13">
        <f>IF(T$12=0,0,T60/T$12)</f>
        <v>0</v>
      </c>
      <c r="W60" s="5"/>
      <c r="X60" s="5">
        <f>+P60-T60</f>
        <v>0</v>
      </c>
      <c r="Y60" s="5"/>
      <c r="Z60" s="13">
        <f>IF(T60=0,0,X60/T60)</f>
        <v>0</v>
      </c>
    </row>
    <row r="61" spans="1:26" ht="15" customHeight="1" x14ac:dyDescent="0.3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2" customFormat="1" ht="15" customHeight="1" x14ac:dyDescent="0.3">
      <c r="A62" s="11"/>
      <c r="B62" s="28" t="s">
        <v>291</v>
      </c>
      <c r="C62" s="28"/>
      <c r="D62" s="21">
        <f>+D16-D18+D60</f>
        <v>-41702.979999999996</v>
      </c>
      <c r="E62" s="15"/>
      <c r="F62" s="23">
        <f>IF(D$12=0,0,D62/D$12)</f>
        <v>0</v>
      </c>
      <c r="G62" s="15"/>
      <c r="H62" s="21">
        <f>+H16-H18+H60</f>
        <v>-39295.32</v>
      </c>
      <c r="I62" s="15"/>
      <c r="J62" s="23">
        <f>IF(H$12=0,0,H62/H$12)</f>
        <v>0</v>
      </c>
      <c r="K62" s="16"/>
      <c r="L62" s="21">
        <f>+D62-H62</f>
        <v>-2407.6599999999962</v>
      </c>
      <c r="M62" s="16"/>
      <c r="N62" s="23">
        <f>IF(H62=0,0,L62/H62)</f>
        <v>6.1270909614681755E-2</v>
      </c>
      <c r="O62" s="27"/>
      <c r="P62" s="21">
        <f>+P16-P18+P60</f>
        <v>-450042.3</v>
      </c>
      <c r="Q62" s="15"/>
      <c r="R62" s="23">
        <f>IF(P$12=0,0,P62/P$12)</f>
        <v>0</v>
      </c>
      <c r="S62" s="15"/>
      <c r="T62" s="21">
        <f>+T16-T18+T60</f>
        <v>-417060.2699999999</v>
      </c>
      <c r="U62" s="15"/>
      <c r="V62" s="23">
        <f>IF(T$12=0,0,T62/T$12)</f>
        <v>0</v>
      </c>
      <c r="W62" s="16"/>
      <c r="X62" s="21">
        <f>+P62-T62</f>
        <v>-32982.030000000086</v>
      </c>
      <c r="Y62" s="16"/>
      <c r="Z62" s="23">
        <f>IF(T62=0,0,X62/T62)</f>
        <v>7.9082167188929534E-2</v>
      </c>
    </row>
    <row r="63" spans="1:26" ht="15" customHeight="1" x14ac:dyDescent="0.3">
      <c r="A63" s="10"/>
      <c r="B63" s="11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48"/>
      <c r="B64" s="11" t="s">
        <v>292</v>
      </c>
      <c r="C64" s="11"/>
      <c r="D64" s="5"/>
      <c r="E64" s="5"/>
      <c r="F64" s="13">
        <f>IF(D$12=0,0,D64/D$12)</f>
        <v>0</v>
      </c>
      <c r="G64" s="5"/>
      <c r="H64" s="5"/>
      <c r="I64" s="5"/>
      <c r="J64" s="13">
        <f>IF(H$12=0,0,H64/H$12)</f>
        <v>0</v>
      </c>
      <c r="K64" s="5"/>
      <c r="L64" s="5">
        <f>+D64-H64</f>
        <v>0</v>
      </c>
      <c r="M64" s="5"/>
      <c r="N64" s="13">
        <f>IF(H64=0,0,L64/H64)</f>
        <v>0</v>
      </c>
      <c r="O64" s="11"/>
      <c r="P64" s="5"/>
      <c r="Q64" s="5"/>
      <c r="R64" s="13">
        <f>IF(P$12=0,0,P64/P$12)</f>
        <v>0</v>
      </c>
      <c r="S64" s="5"/>
      <c r="T64" s="5"/>
      <c r="U64" s="5"/>
      <c r="V64" s="13">
        <f>IF(T$12=0,0,T64/T$12)</f>
        <v>0</v>
      </c>
      <c r="W64" s="5"/>
      <c r="X64" s="5">
        <f>+P64-T64</f>
        <v>0</v>
      </c>
      <c r="Y64" s="5"/>
      <c r="Z64" s="13">
        <f>IF(T64=0,0,X64/T64)</f>
        <v>0</v>
      </c>
    </row>
    <row r="65" spans="1:26" ht="15" customHeight="1" x14ac:dyDescent="0.3">
      <c r="A65" s="10"/>
      <c r="B65" s="11"/>
      <c r="C65" s="11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O65" s="11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8" t="s">
        <v>293</v>
      </c>
      <c r="C66" s="28"/>
      <c r="D66" s="34">
        <f>+D62-D64</f>
        <v>-41702.979999999996</v>
      </c>
      <c r="E66" s="15"/>
      <c r="F66" s="30">
        <f>IF(D$12=0,0,D66/D$12)</f>
        <v>0</v>
      </c>
      <c r="G66" s="15"/>
      <c r="H66" s="34">
        <f>+H62-H64</f>
        <v>-39295.32</v>
      </c>
      <c r="I66" s="15"/>
      <c r="J66" s="30">
        <f>IF(H$12=0,0,H66/H$12)</f>
        <v>0</v>
      </c>
      <c r="K66" s="16"/>
      <c r="L66" s="34">
        <f>D66-H66</f>
        <v>-2407.6599999999962</v>
      </c>
      <c r="M66" s="16"/>
      <c r="N66" s="30">
        <f>IF(H66=0,0,L66/H66)</f>
        <v>6.1270909614681755E-2</v>
      </c>
      <c r="O66" s="27"/>
      <c r="P66" s="34">
        <f>+P62-P64</f>
        <v>-450042.3</v>
      </c>
      <c r="Q66" s="15"/>
      <c r="R66" s="30">
        <f>IF(P$12=0,0,P66/P$12)</f>
        <v>0</v>
      </c>
      <c r="S66" s="15"/>
      <c r="T66" s="34">
        <f>+T62-T64</f>
        <v>-417060.2699999999</v>
      </c>
      <c r="U66" s="15"/>
      <c r="V66" s="30">
        <f>IF(T$12=0,0,T66/T$12)</f>
        <v>0</v>
      </c>
      <c r="W66" s="16"/>
      <c r="X66" s="34">
        <f>P66-T66</f>
        <v>-32982.030000000086</v>
      </c>
      <c r="Y66" s="16"/>
      <c r="Z66" s="30">
        <f>IF(T66=0,0,X66/T66)</f>
        <v>7.9082167188929534E-2</v>
      </c>
    </row>
    <row r="67" spans="1:26" ht="15" customHeight="1" x14ac:dyDescent="0.3">
      <c r="A67" s="10"/>
      <c r="B67" s="10"/>
      <c r="C67" s="10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ht="15" customHeight="1" x14ac:dyDescent="0.3">
      <c r="A68" s="10"/>
      <c r="B68" s="10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8" t="s">
        <v>296</v>
      </c>
      <c r="C69" s="28"/>
      <c r="D69" s="29">
        <f>SUM(D66:D68)</f>
        <v>-41702.979999999996</v>
      </c>
      <c r="E69" s="15"/>
      <c r="F69" s="35">
        <f>IF(D$12=0,0,D69/D$12)</f>
        <v>0</v>
      </c>
      <c r="G69" s="15"/>
      <c r="H69" s="29">
        <f>SUM(H66:H68)</f>
        <v>-39295.32</v>
      </c>
      <c r="I69" s="15"/>
      <c r="J69" s="35">
        <f>IF(H$12=0,0,H69/H$12)</f>
        <v>0</v>
      </c>
      <c r="K69" s="16"/>
      <c r="L69" s="29">
        <f>+D69-H69</f>
        <v>-2407.6599999999962</v>
      </c>
      <c r="M69" s="16"/>
      <c r="N69" s="35">
        <f>IF(H69=0,0,L69/H69)</f>
        <v>6.1270909614681755E-2</v>
      </c>
      <c r="O69" s="27"/>
      <c r="P69" s="29">
        <f>SUM(P66:P68)</f>
        <v>-450042.3</v>
      </c>
      <c r="Q69" s="15"/>
      <c r="R69" s="35">
        <f>IF(P$12=0,0,P69/P$12)</f>
        <v>0</v>
      </c>
      <c r="S69" s="15"/>
      <c r="T69" s="29">
        <f>SUM(T66:T68)</f>
        <v>-417060.2699999999</v>
      </c>
      <c r="U69" s="15"/>
      <c r="V69" s="35">
        <f>IF(T$12=0,0,T69/T$12)</f>
        <v>0</v>
      </c>
      <c r="W69" s="16"/>
      <c r="X69" s="29">
        <f>+P69-T69</f>
        <v>-32982.030000000086</v>
      </c>
      <c r="Y69" s="16"/>
      <c r="Z69" s="35">
        <f>IF(T69=0,0,X69/T69)</f>
        <v>7.9082167188929534E-2</v>
      </c>
    </row>
    <row r="70" spans="1:26" ht="15" customHeight="1" x14ac:dyDescent="0.3">
      <c r="A70" s="10"/>
      <c r="C70" s="10"/>
      <c r="D70" s="18"/>
      <c r="E70" s="18"/>
      <c r="G70" s="18"/>
      <c r="H70" s="18"/>
      <c r="I70" s="18"/>
      <c r="J70" s="40"/>
      <c r="K70" s="18"/>
      <c r="L70" s="18"/>
      <c r="M70" s="18"/>
      <c r="P70" s="18"/>
      <c r="Q70" s="18"/>
      <c r="R70" s="40"/>
      <c r="S70" s="18"/>
      <c r="T70" s="18"/>
      <c r="U70" s="18"/>
      <c r="V70" s="40"/>
      <c r="W70" s="18"/>
      <c r="X70" s="18"/>
    </row>
    <row r="71" spans="1:26" ht="15" customHeight="1" x14ac:dyDescent="0.3">
      <c r="A71" s="10"/>
      <c r="B71" s="56">
        <v>44694.890829479169</v>
      </c>
      <c r="D71" s="18"/>
      <c r="E71" s="18"/>
      <c r="G71" s="18"/>
      <c r="H71" s="18"/>
      <c r="I71" s="18"/>
      <c r="J71" s="40"/>
      <c r="K71" s="18"/>
      <c r="L71" s="18"/>
      <c r="M71" s="18"/>
      <c r="P71" s="18"/>
      <c r="Q71" s="18"/>
      <c r="R71" s="40"/>
      <c r="S71" s="18"/>
      <c r="T71" s="18"/>
      <c r="U71" s="18"/>
      <c r="V71" s="40"/>
      <c r="W71" s="18"/>
      <c r="X71" s="18"/>
    </row>
    <row r="72" spans="1:26" ht="15" customHeight="1" x14ac:dyDescent="0.3">
      <c r="A72" s="10"/>
      <c r="B72" s="52" t="s">
        <v>297</v>
      </c>
      <c r="D72" s="18"/>
      <c r="E72" s="18"/>
      <c r="G72" s="18"/>
      <c r="H72" s="18"/>
      <c r="I72" s="18"/>
      <c r="J72" s="40"/>
      <c r="K72" s="18"/>
      <c r="L72" s="18"/>
      <c r="M72" s="18"/>
      <c r="P72" s="18"/>
      <c r="Q72" s="18"/>
      <c r="R72" s="40"/>
      <c r="S72" s="18"/>
      <c r="T72" s="18"/>
      <c r="U72" s="18"/>
      <c r="V72" s="40"/>
      <c r="W72" s="18"/>
      <c r="X72" s="18"/>
    </row>
    <row r="73" spans="1:26" ht="15" customHeight="1" x14ac:dyDescent="0.3">
      <c r="A73" s="10"/>
      <c r="B73" s="58"/>
      <c r="D73" s="18"/>
      <c r="E73" s="18"/>
      <c r="G73" s="18"/>
      <c r="H73" s="18"/>
      <c r="I73" s="18"/>
      <c r="J73" s="40"/>
      <c r="K73" s="18"/>
      <c r="L73" s="18"/>
      <c r="M73" s="18"/>
      <c r="P73" s="18"/>
      <c r="Q73" s="18"/>
      <c r="R73" s="40"/>
      <c r="S73" s="18"/>
      <c r="T73" s="18"/>
      <c r="U73" s="18"/>
      <c r="V73" s="40"/>
      <c r="W73" s="18"/>
      <c r="X73" s="18"/>
    </row>
    <row r="74" spans="1:26" ht="15" customHeight="1" x14ac:dyDescent="0.3">
      <c r="D74" s="18"/>
      <c r="E74" s="18"/>
      <c r="G74" s="18"/>
      <c r="H74" s="18"/>
      <c r="I74" s="18"/>
      <c r="J74" s="40"/>
      <c r="K74" s="18"/>
      <c r="L74" s="18"/>
      <c r="M74" s="18"/>
      <c r="P74" s="18"/>
      <c r="Q74" s="18"/>
      <c r="R74" s="40"/>
      <c r="S74" s="18"/>
      <c r="T74" s="18"/>
      <c r="U74" s="18"/>
      <c r="V74" s="40"/>
      <c r="W74" s="18"/>
      <c r="X7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9A7F3-2CF4-C48D-B2AB-1B760D9CE287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","203"," - ","Human Resources")</f>
        <v>Department 203 - Human Resources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68880.219999999987</v>
      </c>
      <c r="E18" s="22"/>
      <c r="F18" s="32">
        <f t="shared" ref="F18:F65" si="0">IF(D$12=0,0,D18/D$12)</f>
        <v>0</v>
      </c>
      <c r="G18" s="22"/>
      <c r="H18" s="22" cm="1">
        <f t="array" ref="H18">SUM(OSRRefH22x_0)</f>
        <v>43462.69</v>
      </c>
      <c r="I18" s="22"/>
      <c r="J18" s="32">
        <f t="shared" ref="J18:J65" si="1">IF(H$12=0,0,H18/H$12)</f>
        <v>0</v>
      </c>
      <c r="K18" s="5"/>
      <c r="L18" s="22">
        <f t="shared" ref="L18:L65" si="2">+D18-H18</f>
        <v>25417.529999999984</v>
      </c>
      <c r="M18" s="5"/>
      <c r="N18" s="32">
        <f t="shared" ref="N18:N65" si="3">IF(H18=0,0,L18/H18)</f>
        <v>0.5848126289468043</v>
      </c>
      <c r="O18" s="11"/>
      <c r="P18" s="22" cm="1">
        <f t="array" ref="P18">SUM(OSRRefP22x_0)</f>
        <v>568219.54000000015</v>
      </c>
      <c r="Q18" s="22"/>
      <c r="R18" s="32">
        <f t="shared" ref="R18:R65" si="4">IF(P$12=0,0,P18/P$12)</f>
        <v>0</v>
      </c>
      <c r="S18" s="22"/>
      <c r="T18" s="22" cm="1">
        <f t="array" ref="T18">SUM(OSRRefT22x_0)</f>
        <v>450007.96000000014</v>
      </c>
      <c r="U18" s="22"/>
      <c r="V18" s="32">
        <f t="shared" ref="V18:V65" si="5">IF(T$12=0,0,T18/T$12)</f>
        <v>0</v>
      </c>
      <c r="W18" s="5"/>
      <c r="X18" s="22">
        <f t="shared" ref="X18:X65" si="6">+P18-T18</f>
        <v>118211.58000000002</v>
      </c>
      <c r="Y18" s="5"/>
      <c r="Z18" s="32">
        <f t="shared" ref="Z18:Z65" si="7">IF(T18=0,0,X18/T18)</f>
        <v>0.26268775334551858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25067.250000000004</v>
      </c>
      <c r="E19" s="2"/>
      <c r="F19" s="6">
        <f t="shared" si="0"/>
        <v>0</v>
      </c>
      <c r="G19" s="2"/>
      <c r="H19" s="2">
        <f>SUM(OSRRefH22_0x_0)</f>
        <v>13891.150000000001</v>
      </c>
      <c r="I19" s="2"/>
      <c r="J19" s="6">
        <f t="shared" si="1"/>
        <v>0</v>
      </c>
      <c r="K19" s="2"/>
      <c r="L19" s="2">
        <f t="shared" si="2"/>
        <v>11176.100000000002</v>
      </c>
      <c r="M19" s="2"/>
      <c r="N19" s="6">
        <f t="shared" si="3"/>
        <v>0.80454821954985734</v>
      </c>
      <c r="O19" s="14"/>
      <c r="P19" s="2">
        <f>SUM(OSRRefP22_0x_0)</f>
        <v>159449.65000000002</v>
      </c>
      <c r="Q19" s="2"/>
      <c r="R19" s="6">
        <f t="shared" si="4"/>
        <v>0</v>
      </c>
      <c r="S19" s="2"/>
      <c r="T19" s="2">
        <f>SUM(OSRRefT22_0x_0)</f>
        <v>124171.91000000002</v>
      </c>
      <c r="U19" s="2"/>
      <c r="V19" s="6">
        <f t="shared" si="5"/>
        <v>0</v>
      </c>
      <c r="W19" s="2"/>
      <c r="X19" s="2">
        <f t="shared" si="6"/>
        <v>35277.740000000005</v>
      </c>
      <c r="Y19" s="2"/>
      <c r="Z19" s="6">
        <f t="shared" si="7"/>
        <v>0.28410402964728498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3416.23</v>
      </c>
      <c r="E20" s="3"/>
      <c r="F20" s="7">
        <f t="shared" si="0"/>
        <v>0</v>
      </c>
      <c r="G20" s="3"/>
      <c r="H20" s="8">
        <v>2692.57</v>
      </c>
      <c r="I20" s="3"/>
      <c r="J20" s="7">
        <f t="shared" si="1"/>
        <v>0</v>
      </c>
      <c r="K20" s="3"/>
      <c r="L20" s="8">
        <f t="shared" si="2"/>
        <v>723.65999999999985</v>
      </c>
      <c r="M20" s="3"/>
      <c r="N20" s="7">
        <f t="shared" si="3"/>
        <v>0.2687618149203177</v>
      </c>
      <c r="O20" s="12"/>
      <c r="P20" s="8">
        <v>24371.93</v>
      </c>
      <c r="Q20" s="3"/>
      <c r="R20" s="7">
        <f t="shared" si="4"/>
        <v>0</v>
      </c>
      <c r="S20" s="3"/>
      <c r="T20" s="8">
        <v>21566.17</v>
      </c>
      <c r="U20" s="3"/>
      <c r="V20" s="7">
        <f t="shared" si="5"/>
        <v>0</v>
      </c>
      <c r="W20" s="3"/>
      <c r="X20" s="8">
        <f t="shared" si="6"/>
        <v>2805.760000000002</v>
      </c>
      <c r="Y20" s="3"/>
      <c r="Z20" s="7">
        <f t="shared" si="7"/>
        <v>0.13010005949132378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381.59</v>
      </c>
      <c r="E21" s="3"/>
      <c r="F21" s="7">
        <f t="shared" si="0"/>
        <v>0</v>
      </c>
      <c r="G21" s="3"/>
      <c r="H21" s="8">
        <v>75.95</v>
      </c>
      <c r="I21" s="3"/>
      <c r="J21" s="7">
        <f t="shared" si="1"/>
        <v>0</v>
      </c>
      <c r="K21" s="3"/>
      <c r="L21" s="8">
        <f t="shared" si="2"/>
        <v>305.64</v>
      </c>
      <c r="M21" s="3"/>
      <c r="N21" s="7">
        <f t="shared" si="3"/>
        <v>4.0242264647794599</v>
      </c>
      <c r="O21" s="12"/>
      <c r="P21" s="8">
        <v>3889.53</v>
      </c>
      <c r="Q21" s="3"/>
      <c r="R21" s="7">
        <f t="shared" si="4"/>
        <v>0</v>
      </c>
      <c r="S21" s="3"/>
      <c r="T21" s="8">
        <v>897.27</v>
      </c>
      <c r="U21" s="3"/>
      <c r="V21" s="7">
        <f t="shared" si="5"/>
        <v>0</v>
      </c>
      <c r="W21" s="3"/>
      <c r="X21" s="8">
        <f t="shared" si="6"/>
        <v>2992.26</v>
      </c>
      <c r="Y21" s="3"/>
      <c r="Z21" s="7">
        <f t="shared" si="7"/>
        <v>3.3348490420943531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5574.36</v>
      </c>
      <c r="E22" s="3"/>
      <c r="F22" s="7">
        <f t="shared" si="0"/>
        <v>0</v>
      </c>
      <c r="G22" s="3"/>
      <c r="H22" s="8">
        <v>6028.29</v>
      </c>
      <c r="I22" s="3"/>
      <c r="J22" s="7">
        <f t="shared" si="1"/>
        <v>0</v>
      </c>
      <c r="K22" s="3"/>
      <c r="L22" s="8">
        <f t="shared" si="2"/>
        <v>-453.93000000000029</v>
      </c>
      <c r="M22" s="3"/>
      <c r="N22" s="7">
        <f t="shared" si="3"/>
        <v>-7.5299960685368539E-2</v>
      </c>
      <c r="O22" s="12"/>
      <c r="P22" s="8">
        <v>58624.83</v>
      </c>
      <c r="Q22" s="3"/>
      <c r="R22" s="7">
        <f t="shared" si="4"/>
        <v>0</v>
      </c>
      <c r="S22" s="3"/>
      <c r="T22" s="8">
        <v>60663.18</v>
      </c>
      <c r="U22" s="3"/>
      <c r="V22" s="7">
        <f t="shared" si="5"/>
        <v>0</v>
      </c>
      <c r="W22" s="3"/>
      <c r="X22" s="8">
        <f t="shared" si="6"/>
        <v>-2038.3499999999985</v>
      </c>
      <c r="Y22" s="3"/>
      <c r="Z22" s="7">
        <f t="shared" si="7"/>
        <v>-3.3601106964718935E-2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76.91</v>
      </c>
      <c r="E23" s="3"/>
      <c r="F23" s="7">
        <f t="shared" si="0"/>
        <v>0</v>
      </c>
      <c r="G23" s="3"/>
      <c r="H23" s="8">
        <v>59.84</v>
      </c>
      <c r="I23" s="3"/>
      <c r="J23" s="7">
        <f t="shared" si="1"/>
        <v>0</v>
      </c>
      <c r="K23" s="3"/>
      <c r="L23" s="8">
        <f t="shared" si="2"/>
        <v>17.069999999999993</v>
      </c>
      <c r="M23" s="3"/>
      <c r="N23" s="7">
        <f t="shared" si="3"/>
        <v>0.28526069518716562</v>
      </c>
      <c r="O23" s="12"/>
      <c r="P23" s="8">
        <v>783.94</v>
      </c>
      <c r="Q23" s="3"/>
      <c r="R23" s="7">
        <f t="shared" si="4"/>
        <v>0</v>
      </c>
      <c r="S23" s="3"/>
      <c r="T23" s="8">
        <v>706.94</v>
      </c>
      <c r="U23" s="3"/>
      <c r="V23" s="7">
        <f t="shared" si="5"/>
        <v>0</v>
      </c>
      <c r="W23" s="3"/>
      <c r="X23" s="8">
        <f t="shared" si="6"/>
        <v>77</v>
      </c>
      <c r="Y23" s="3"/>
      <c r="Z23" s="7">
        <f t="shared" si="7"/>
        <v>0.10892013466489375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1866.94</v>
      </c>
      <c r="E24" s="3"/>
      <c r="F24" s="7">
        <f t="shared" si="0"/>
        <v>0</v>
      </c>
      <c r="G24" s="3"/>
      <c r="H24" s="8">
        <v>1091.48</v>
      </c>
      <c r="I24" s="3"/>
      <c r="J24" s="7">
        <f t="shared" si="1"/>
        <v>0</v>
      </c>
      <c r="K24" s="3"/>
      <c r="L24" s="8">
        <f t="shared" si="2"/>
        <v>775.46</v>
      </c>
      <c r="M24" s="3"/>
      <c r="N24" s="7">
        <f t="shared" si="3"/>
        <v>0.71046652251988129</v>
      </c>
      <c r="O24" s="12"/>
      <c r="P24" s="8">
        <v>13875.73</v>
      </c>
      <c r="Q24" s="3"/>
      <c r="R24" s="7">
        <f t="shared" si="4"/>
        <v>0</v>
      </c>
      <c r="S24" s="3"/>
      <c r="T24" s="8">
        <v>13283.32</v>
      </c>
      <c r="U24" s="3"/>
      <c r="V24" s="7">
        <f t="shared" si="5"/>
        <v>0</v>
      </c>
      <c r="W24" s="3"/>
      <c r="X24" s="8">
        <f t="shared" si="6"/>
        <v>592.40999999999985</v>
      </c>
      <c r="Y24" s="3"/>
      <c r="Z24" s="7">
        <f t="shared" si="7"/>
        <v>4.4598037237678523E-2</v>
      </c>
    </row>
    <row r="25" spans="1:26" s="69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>
        <v>2219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2219</v>
      </c>
      <c r="M25" s="3"/>
      <c r="N25" s="7">
        <f t="shared" si="3"/>
        <v>0</v>
      </c>
      <c r="O25" s="12"/>
      <c r="P25" s="8">
        <v>4855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4855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7512.05</v>
      </c>
      <c r="E26" s="3"/>
      <c r="F26" s="7">
        <f t="shared" si="0"/>
        <v>0</v>
      </c>
      <c r="G26" s="3"/>
      <c r="H26" s="8">
        <v>491.79</v>
      </c>
      <c r="I26" s="3"/>
      <c r="J26" s="7">
        <f t="shared" si="1"/>
        <v>0</v>
      </c>
      <c r="K26" s="3"/>
      <c r="L26" s="8">
        <f t="shared" si="2"/>
        <v>7020.26</v>
      </c>
      <c r="M26" s="3"/>
      <c r="N26" s="7">
        <f t="shared" si="3"/>
        <v>14.274914089347078</v>
      </c>
      <c r="O26" s="12"/>
      <c r="P26" s="8">
        <v>16837.05</v>
      </c>
      <c r="Q26" s="3"/>
      <c r="R26" s="7">
        <f t="shared" si="4"/>
        <v>0</v>
      </c>
      <c r="S26" s="3"/>
      <c r="T26" s="8">
        <v>6131.5</v>
      </c>
      <c r="U26" s="3"/>
      <c r="V26" s="7">
        <f t="shared" si="5"/>
        <v>0</v>
      </c>
      <c r="W26" s="3"/>
      <c r="X26" s="8">
        <f t="shared" si="6"/>
        <v>10705.55</v>
      </c>
      <c r="Y26" s="3"/>
      <c r="Z26" s="7">
        <f t="shared" si="7"/>
        <v>1.7459920084807958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1763.74</v>
      </c>
      <c r="E27" s="3"/>
      <c r="F27" s="7">
        <f t="shared" si="0"/>
        <v>0</v>
      </c>
      <c r="G27" s="3"/>
      <c r="H27" s="8">
        <v>2089.0500000000002</v>
      </c>
      <c r="I27" s="3"/>
      <c r="J27" s="7">
        <f t="shared" si="1"/>
        <v>0</v>
      </c>
      <c r="K27" s="3"/>
      <c r="L27" s="8">
        <f t="shared" si="2"/>
        <v>-325.31000000000017</v>
      </c>
      <c r="M27" s="3"/>
      <c r="N27" s="7">
        <f t="shared" si="3"/>
        <v>-0.15572150020344183</v>
      </c>
      <c r="O27" s="12"/>
      <c r="P27" s="8">
        <v>18178.96</v>
      </c>
      <c r="Q27" s="3"/>
      <c r="R27" s="7">
        <f t="shared" si="4"/>
        <v>0</v>
      </c>
      <c r="S27" s="3"/>
      <c r="T27" s="8">
        <v>10594.38</v>
      </c>
      <c r="U27" s="3"/>
      <c r="V27" s="7">
        <f t="shared" si="5"/>
        <v>0</v>
      </c>
      <c r="W27" s="3"/>
      <c r="X27" s="8">
        <f t="shared" si="6"/>
        <v>7584.58</v>
      </c>
      <c r="Y27" s="3"/>
      <c r="Z27" s="7">
        <f t="shared" si="7"/>
        <v>0.71590598034052022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1859.79</v>
      </c>
      <c r="E28" s="3"/>
      <c r="F28" s="7">
        <f t="shared" si="0"/>
        <v>0</v>
      </c>
      <c r="G28" s="3"/>
      <c r="H28" s="8">
        <v>1362.18</v>
      </c>
      <c r="I28" s="3"/>
      <c r="J28" s="7">
        <f t="shared" si="1"/>
        <v>0</v>
      </c>
      <c r="K28" s="3"/>
      <c r="L28" s="8">
        <f t="shared" si="2"/>
        <v>497.6099999999999</v>
      </c>
      <c r="M28" s="3"/>
      <c r="N28" s="7">
        <f t="shared" si="3"/>
        <v>0.36530414482667478</v>
      </c>
      <c r="O28" s="12"/>
      <c r="P28" s="8">
        <v>15442.79</v>
      </c>
      <c r="Q28" s="3"/>
      <c r="R28" s="7">
        <f t="shared" si="4"/>
        <v>0</v>
      </c>
      <c r="S28" s="3"/>
      <c r="T28" s="8">
        <v>9989.32</v>
      </c>
      <c r="U28" s="3"/>
      <c r="V28" s="7">
        <f t="shared" si="5"/>
        <v>0</v>
      </c>
      <c r="W28" s="3"/>
      <c r="X28" s="8">
        <f t="shared" si="6"/>
        <v>5453.4700000000012</v>
      </c>
      <c r="Y28" s="3"/>
      <c r="Z28" s="7">
        <f t="shared" si="7"/>
        <v>0.54593005329692124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396.64</v>
      </c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396.64</v>
      </c>
      <c r="M29" s="3"/>
      <c r="N29" s="7">
        <f t="shared" si="3"/>
        <v>0</v>
      </c>
      <c r="O29" s="12"/>
      <c r="P29" s="8">
        <v>2589.89</v>
      </c>
      <c r="Q29" s="3"/>
      <c r="R29" s="7">
        <f t="shared" si="4"/>
        <v>0</v>
      </c>
      <c r="S29" s="3"/>
      <c r="T29" s="8">
        <v>339.83</v>
      </c>
      <c r="U29" s="3"/>
      <c r="V29" s="7">
        <f t="shared" si="5"/>
        <v>0</v>
      </c>
      <c r="W29" s="3"/>
      <c r="X29" s="8">
        <f t="shared" si="6"/>
        <v>2250.06</v>
      </c>
      <c r="Y29" s="3"/>
      <c r="Z29" s="7">
        <f t="shared" si="7"/>
        <v>6.6211340964599952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33053.9</v>
      </c>
      <c r="E30" s="2"/>
      <c r="F30" s="6">
        <f t="shared" si="0"/>
        <v>0</v>
      </c>
      <c r="G30" s="2"/>
      <c r="H30" s="2">
        <f>SUM(OSRRefH22_1x_0)</f>
        <v>23553.25</v>
      </c>
      <c r="I30" s="2"/>
      <c r="J30" s="6">
        <f t="shared" si="1"/>
        <v>0</v>
      </c>
      <c r="K30" s="2"/>
      <c r="L30" s="2">
        <f t="shared" si="2"/>
        <v>9500.6500000000015</v>
      </c>
      <c r="M30" s="2"/>
      <c r="N30" s="6">
        <f t="shared" si="3"/>
        <v>0.40336896182055559</v>
      </c>
      <c r="O30" s="14"/>
      <c r="P30" s="2">
        <f>SUM(OSRRefP22_1x_0)</f>
        <v>297855.55000000005</v>
      </c>
      <c r="Q30" s="2"/>
      <c r="R30" s="6">
        <f t="shared" si="4"/>
        <v>0</v>
      </c>
      <c r="S30" s="2"/>
      <c r="T30" s="2">
        <f>SUM(OSRRefT22_1x_0)</f>
        <v>259727.05</v>
      </c>
      <c r="U30" s="2"/>
      <c r="V30" s="6">
        <f t="shared" si="5"/>
        <v>0</v>
      </c>
      <c r="W30" s="2"/>
      <c r="X30" s="2">
        <f t="shared" si="6"/>
        <v>38128.500000000058</v>
      </c>
      <c r="Y30" s="2"/>
      <c r="Z30" s="6">
        <f t="shared" si="7"/>
        <v>0.14680219099242864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13608.66</v>
      </c>
      <c r="E31" s="3"/>
      <c r="F31" s="7">
        <f t="shared" si="0"/>
        <v>0</v>
      </c>
      <c r="G31" s="3"/>
      <c r="H31" s="8">
        <v>8410.14</v>
      </c>
      <c r="I31" s="3"/>
      <c r="J31" s="7">
        <f t="shared" si="1"/>
        <v>0</v>
      </c>
      <c r="K31" s="3"/>
      <c r="L31" s="8">
        <f t="shared" si="2"/>
        <v>5198.5200000000004</v>
      </c>
      <c r="M31" s="3"/>
      <c r="N31" s="7">
        <f t="shared" si="3"/>
        <v>0.61812526307528781</v>
      </c>
      <c r="O31" s="12"/>
      <c r="P31" s="8">
        <v>118795.54</v>
      </c>
      <c r="Q31" s="3"/>
      <c r="R31" s="7">
        <f t="shared" si="4"/>
        <v>0</v>
      </c>
      <c r="S31" s="3"/>
      <c r="T31" s="8">
        <v>100161.28</v>
      </c>
      <c r="U31" s="3"/>
      <c r="V31" s="7">
        <f t="shared" si="5"/>
        <v>0</v>
      </c>
      <c r="W31" s="3"/>
      <c r="X31" s="8">
        <f t="shared" si="6"/>
        <v>18634.259999999995</v>
      </c>
      <c r="Y31" s="3"/>
      <c r="Z31" s="7">
        <f t="shared" si="7"/>
        <v>0.1860425505744335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18.5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18.5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20482.61</v>
      </c>
      <c r="E33" s="3"/>
      <c r="F33" s="7">
        <f t="shared" si="0"/>
        <v>0</v>
      </c>
      <c r="G33" s="3"/>
      <c r="H33" s="8">
        <v>13245.9</v>
      </c>
      <c r="I33" s="3"/>
      <c r="J33" s="7">
        <f t="shared" si="1"/>
        <v>0</v>
      </c>
      <c r="K33" s="3"/>
      <c r="L33" s="8">
        <f t="shared" si="2"/>
        <v>7236.7100000000009</v>
      </c>
      <c r="M33" s="3"/>
      <c r="N33" s="7">
        <f t="shared" si="3"/>
        <v>0.54633584731879303</v>
      </c>
      <c r="O33" s="12"/>
      <c r="P33" s="8">
        <v>157724.42000000001</v>
      </c>
      <c r="Q33" s="3"/>
      <c r="R33" s="7">
        <f t="shared" si="4"/>
        <v>0</v>
      </c>
      <c r="S33" s="3"/>
      <c r="T33" s="8">
        <v>106497.37</v>
      </c>
      <c r="U33" s="3"/>
      <c r="V33" s="7">
        <f t="shared" si="5"/>
        <v>0</v>
      </c>
      <c r="W33" s="3"/>
      <c r="X33" s="8">
        <f t="shared" si="6"/>
        <v>51227.050000000017</v>
      </c>
      <c r="Y33" s="3"/>
      <c r="Z33" s="7">
        <f t="shared" si="7"/>
        <v>0.48101704295608444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3139.63</v>
      </c>
      <c r="E34" s="3"/>
      <c r="F34" s="7">
        <f t="shared" si="0"/>
        <v>0</v>
      </c>
      <c r="G34" s="3"/>
      <c r="H34" s="8">
        <v>5393.21</v>
      </c>
      <c r="I34" s="3"/>
      <c r="J34" s="7">
        <f t="shared" si="1"/>
        <v>0</v>
      </c>
      <c r="K34" s="3"/>
      <c r="L34" s="8">
        <f t="shared" si="2"/>
        <v>-2253.58</v>
      </c>
      <c r="M34" s="3"/>
      <c r="N34" s="7">
        <f t="shared" si="3"/>
        <v>-0.41785504365674614</v>
      </c>
      <c r="O34" s="12"/>
      <c r="P34" s="8">
        <v>21317.09</v>
      </c>
      <c r="Q34" s="3"/>
      <c r="R34" s="7">
        <f t="shared" si="4"/>
        <v>0</v>
      </c>
      <c r="S34" s="3"/>
      <c r="T34" s="8">
        <v>53068.4</v>
      </c>
      <c r="U34" s="3"/>
      <c r="V34" s="7">
        <f t="shared" si="5"/>
        <v>0</v>
      </c>
      <c r="W34" s="3"/>
      <c r="X34" s="8">
        <f t="shared" si="6"/>
        <v>-31751.31</v>
      </c>
      <c r="Y34" s="3"/>
      <c r="Z34" s="7">
        <f t="shared" si="7"/>
        <v>-0.59830916326853645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-4177</v>
      </c>
      <c r="E35" s="3"/>
      <c r="F35" s="7">
        <f t="shared" si="0"/>
        <v>0</v>
      </c>
      <c r="G35" s="3"/>
      <c r="H35" s="8">
        <v>-3496</v>
      </c>
      <c r="I35" s="3"/>
      <c r="J35" s="7">
        <f t="shared" si="1"/>
        <v>0</v>
      </c>
      <c r="K35" s="3"/>
      <c r="L35" s="8">
        <f t="shared" si="2"/>
        <v>-681</v>
      </c>
      <c r="M35" s="3"/>
      <c r="N35" s="7">
        <f t="shared" si="3"/>
        <v>0.19479405034324943</v>
      </c>
      <c r="O35" s="12"/>
      <c r="P35" s="8">
        <v>0</v>
      </c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231.53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231.53</v>
      </c>
      <c r="M36" s="2"/>
      <c r="N36" s="6">
        <f t="shared" si="3"/>
        <v>0</v>
      </c>
      <c r="O36" s="14"/>
      <c r="P36" s="2">
        <f>SUM(OSRRefP22_2x_0)</f>
        <v>646.46</v>
      </c>
      <c r="Q36" s="2"/>
      <c r="R36" s="6">
        <f t="shared" si="4"/>
        <v>0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646.46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","6362"," - ","ADVERTISING EXPENSE")</f>
        <v xml:space="preserve">          6362 - ADVERTISING EXPENSE</v>
      </c>
      <c r="C37" s="12"/>
      <c r="D37" s="8">
        <v>231.53</v>
      </c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231.53</v>
      </c>
      <c r="M37" s="3"/>
      <c r="N37" s="7">
        <f t="shared" si="3"/>
        <v>0</v>
      </c>
      <c r="O37" s="12"/>
      <c r="P37" s="8">
        <v>646.46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646.46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","Employees' Appreciation                           ")</f>
        <v xml:space="preserve">     Employees' Appreciation                           </v>
      </c>
      <c r="C38" s="14"/>
      <c r="D38" s="2">
        <f>SUM(OSRRefD22_3x_0)</f>
        <v>0</v>
      </c>
      <c r="E38" s="2"/>
      <c r="F38" s="6">
        <f t="shared" si="0"/>
        <v>0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0</v>
      </c>
      <c r="M38" s="2"/>
      <c r="N38" s="6">
        <f t="shared" si="3"/>
        <v>0</v>
      </c>
      <c r="O38" s="14"/>
      <c r="P38" s="2">
        <f>SUM(OSRRefP22_3x_0)</f>
        <v>114.87</v>
      </c>
      <c r="Q38" s="2"/>
      <c r="R38" s="6">
        <f t="shared" si="4"/>
        <v>0</v>
      </c>
      <c r="S38" s="2"/>
      <c r="T38" s="2">
        <f>SUM(OSRRefT22_3x_0)</f>
        <v>81.56</v>
      </c>
      <c r="U38" s="2"/>
      <c r="V38" s="6">
        <f t="shared" si="5"/>
        <v>0</v>
      </c>
      <c r="W38" s="2"/>
      <c r="X38" s="2">
        <f t="shared" si="6"/>
        <v>33.31</v>
      </c>
      <c r="Y38" s="2"/>
      <c r="Z38" s="6">
        <f t="shared" si="7"/>
        <v>0.40841098577734186</v>
      </c>
    </row>
    <row r="39" spans="1:26" s="69" customFormat="1" ht="15" hidden="1" customHeight="1" outlineLevel="2" x14ac:dyDescent="0.3">
      <c r="A39" s="26"/>
      <c r="B39" s="12" t="str">
        <f>CONCATENATE("          ","6277"," - ","EMPLOYEE APPRECIATION")</f>
        <v xml:space="preserve">          6277 - EMPLOYEE APPRECIATION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>
        <v>114.87</v>
      </c>
      <c r="Q39" s="3"/>
      <c r="R39" s="7">
        <f t="shared" si="4"/>
        <v>0</v>
      </c>
      <c r="S39" s="3"/>
      <c r="T39" s="8">
        <v>81.56</v>
      </c>
      <c r="U39" s="3"/>
      <c r="V39" s="7">
        <f t="shared" si="5"/>
        <v>0</v>
      </c>
      <c r="W39" s="3"/>
      <c r="X39" s="8">
        <f t="shared" si="6"/>
        <v>33.31</v>
      </c>
      <c r="Y39" s="3"/>
      <c r="Z39" s="7">
        <f t="shared" si="7"/>
        <v>0.40841098577734186</v>
      </c>
    </row>
    <row r="40" spans="1:26" s="68" customFormat="1" ht="15" customHeight="1" outlineLevel="1" collapsed="1" x14ac:dyDescent="0.3">
      <c r="A40" s="25"/>
      <c r="B40" s="14" t="str">
        <f>CONCATENATE("     ","Freight out/Postage                               ")</f>
        <v xml:space="preserve">     Freight out/Postage                               </v>
      </c>
      <c r="C40" s="14"/>
      <c r="D40" s="2">
        <f>SUM(OSRRefD22_4x_0)</f>
        <v>1.79</v>
      </c>
      <c r="E40" s="2"/>
      <c r="F40" s="6">
        <f t="shared" si="0"/>
        <v>0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1.79</v>
      </c>
      <c r="M40" s="2"/>
      <c r="N40" s="6">
        <f t="shared" si="3"/>
        <v>0</v>
      </c>
      <c r="O40" s="14"/>
      <c r="P40" s="2">
        <f>SUM(OSRRefP22_4x_0)</f>
        <v>209.61</v>
      </c>
      <c r="Q40" s="2"/>
      <c r="R40" s="6">
        <f t="shared" si="4"/>
        <v>0</v>
      </c>
      <c r="S40" s="2"/>
      <c r="T40" s="2">
        <f>SUM(OSRRefT22_4x_0)</f>
        <v>116.77</v>
      </c>
      <c r="U40" s="2"/>
      <c r="V40" s="6">
        <f t="shared" si="5"/>
        <v>0</v>
      </c>
      <c r="W40" s="2"/>
      <c r="X40" s="2">
        <f t="shared" si="6"/>
        <v>92.840000000000018</v>
      </c>
      <c r="Y40" s="2"/>
      <c r="Z40" s="6">
        <f t="shared" si="7"/>
        <v>0.79506722617110581</v>
      </c>
    </row>
    <row r="41" spans="1:26" s="69" customFormat="1" ht="15" hidden="1" customHeight="1" outlineLevel="2" x14ac:dyDescent="0.3">
      <c r="A41" s="26"/>
      <c r="B41" s="12" t="str">
        <f>CONCATENATE("          ","6307"," - ","POSTAGE")</f>
        <v xml:space="preserve">          6307 - POSTAGE</v>
      </c>
      <c r="C41" s="12"/>
      <c r="D41" s="8">
        <v>1.79</v>
      </c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1.79</v>
      </c>
      <c r="M41" s="3"/>
      <c r="N41" s="7">
        <f t="shared" si="3"/>
        <v>0</v>
      </c>
      <c r="O41" s="12"/>
      <c r="P41" s="8">
        <v>209.61</v>
      </c>
      <c r="Q41" s="3"/>
      <c r="R41" s="7">
        <f t="shared" si="4"/>
        <v>0</v>
      </c>
      <c r="S41" s="3"/>
      <c r="T41" s="8">
        <v>116.77</v>
      </c>
      <c r="U41" s="3"/>
      <c r="V41" s="7">
        <f t="shared" si="5"/>
        <v>0</v>
      </c>
      <c r="W41" s="3"/>
      <c r="X41" s="8">
        <f t="shared" si="6"/>
        <v>92.840000000000018</v>
      </c>
      <c r="Y41" s="3"/>
      <c r="Z41" s="7">
        <f t="shared" si="7"/>
        <v>0.79506722617110581</v>
      </c>
    </row>
    <row r="42" spans="1:26" s="68" customFormat="1" ht="15" customHeight="1" outlineLevel="1" collapsed="1" x14ac:dyDescent="0.3">
      <c r="A42" s="25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SUM(OSRRefD22_5x_0)</f>
        <v>52.5</v>
      </c>
      <c r="E42" s="2"/>
      <c r="F42" s="6">
        <f t="shared" si="0"/>
        <v>0</v>
      </c>
      <c r="G42" s="2"/>
      <c r="H42" s="2">
        <f>SUM(OSRRefH22_5x_0)</f>
        <v>52</v>
      </c>
      <c r="I42" s="2"/>
      <c r="J42" s="6">
        <f t="shared" si="1"/>
        <v>0</v>
      </c>
      <c r="K42" s="2"/>
      <c r="L42" s="2">
        <f t="shared" si="2"/>
        <v>0.5</v>
      </c>
      <c r="M42" s="2"/>
      <c r="N42" s="6">
        <f t="shared" si="3"/>
        <v>9.6153846153846159E-3</v>
      </c>
      <c r="O42" s="14"/>
      <c r="P42" s="2">
        <f>SUM(OSRRefP22_5x_0)</f>
        <v>2895.25</v>
      </c>
      <c r="Q42" s="2"/>
      <c r="R42" s="6">
        <f t="shared" si="4"/>
        <v>0</v>
      </c>
      <c r="S42" s="2"/>
      <c r="T42" s="2">
        <f>SUM(OSRRefT22_5x_0)</f>
        <v>281.14</v>
      </c>
      <c r="U42" s="2"/>
      <c r="V42" s="6">
        <f t="shared" si="5"/>
        <v>0</v>
      </c>
      <c r="W42" s="2"/>
      <c r="X42" s="2">
        <f t="shared" si="6"/>
        <v>2614.11</v>
      </c>
      <c r="Y42" s="2"/>
      <c r="Z42" s="6">
        <f t="shared" si="7"/>
        <v>9.2982499822152676</v>
      </c>
    </row>
    <row r="43" spans="1:26" s="69" customFormat="1" ht="15" hidden="1" customHeight="1" outlineLevel="2" x14ac:dyDescent="0.3">
      <c r="A43" s="26"/>
      <c r="B43" s="12" t="str">
        <f>CONCATENATE("          ","6279"," - ","GENERAL EXPENSE")</f>
        <v xml:space="preserve">          6279 - GENERAL EXPENSE</v>
      </c>
      <c r="C43" s="12"/>
      <c r="D43" s="8">
        <v>52.5</v>
      </c>
      <c r="E43" s="3"/>
      <c r="F43" s="7">
        <f t="shared" si="0"/>
        <v>0</v>
      </c>
      <c r="G43" s="3"/>
      <c r="H43" s="8">
        <v>52</v>
      </c>
      <c r="I43" s="3"/>
      <c r="J43" s="7">
        <f t="shared" si="1"/>
        <v>0</v>
      </c>
      <c r="K43" s="3"/>
      <c r="L43" s="8">
        <f t="shared" si="2"/>
        <v>0.5</v>
      </c>
      <c r="M43" s="3"/>
      <c r="N43" s="7">
        <f t="shared" si="3"/>
        <v>9.6153846153846159E-3</v>
      </c>
      <c r="O43" s="12"/>
      <c r="P43" s="8">
        <v>2895.25</v>
      </c>
      <c r="Q43" s="3"/>
      <c r="R43" s="7">
        <f t="shared" si="4"/>
        <v>0</v>
      </c>
      <c r="S43" s="3"/>
      <c r="T43" s="8">
        <v>281.14</v>
      </c>
      <c r="U43" s="3"/>
      <c r="V43" s="7">
        <f t="shared" si="5"/>
        <v>0</v>
      </c>
      <c r="W43" s="3"/>
      <c r="X43" s="8">
        <f t="shared" si="6"/>
        <v>2614.11</v>
      </c>
      <c r="Y43" s="3"/>
      <c r="Z43" s="7">
        <f t="shared" si="7"/>
        <v>9.2982499822152676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SUM(OSRRefD22_6x_0)</f>
        <v>88.99</v>
      </c>
      <c r="E44" s="2"/>
      <c r="F44" s="6">
        <f t="shared" si="0"/>
        <v>0</v>
      </c>
      <c r="G44" s="2"/>
      <c r="H44" s="2">
        <f>SUM(OSRRefH22_6x_0)</f>
        <v>65.47</v>
      </c>
      <c r="I44" s="2"/>
      <c r="J44" s="6">
        <f t="shared" si="1"/>
        <v>0</v>
      </c>
      <c r="K44" s="2"/>
      <c r="L44" s="2">
        <f t="shared" si="2"/>
        <v>23.519999999999996</v>
      </c>
      <c r="M44" s="2"/>
      <c r="N44" s="6">
        <f t="shared" si="3"/>
        <v>0.35924851076829079</v>
      </c>
      <c r="O44" s="14"/>
      <c r="P44" s="2">
        <f>SUM(OSRRefP22_6x_0)</f>
        <v>889.9</v>
      </c>
      <c r="Q44" s="2"/>
      <c r="R44" s="6">
        <f t="shared" si="4"/>
        <v>0</v>
      </c>
      <c r="S44" s="2"/>
      <c r="T44" s="2">
        <f>SUM(OSRRefT22_6x_0)</f>
        <v>654.70000000000005</v>
      </c>
      <c r="U44" s="2"/>
      <c r="V44" s="6">
        <f t="shared" si="5"/>
        <v>0</v>
      </c>
      <c r="W44" s="2"/>
      <c r="X44" s="2">
        <f t="shared" si="6"/>
        <v>235.19999999999993</v>
      </c>
      <c r="Y44" s="2"/>
      <c r="Z44" s="6">
        <f t="shared" si="7"/>
        <v>0.35924851076829067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88.99</v>
      </c>
      <c r="E45" s="3"/>
      <c r="F45" s="7">
        <f t="shared" si="0"/>
        <v>0</v>
      </c>
      <c r="G45" s="3"/>
      <c r="H45" s="8">
        <v>65.47</v>
      </c>
      <c r="I45" s="3"/>
      <c r="J45" s="7">
        <f t="shared" si="1"/>
        <v>0</v>
      </c>
      <c r="K45" s="3"/>
      <c r="L45" s="8">
        <f t="shared" si="2"/>
        <v>23.519999999999996</v>
      </c>
      <c r="M45" s="3"/>
      <c r="N45" s="7">
        <f t="shared" si="3"/>
        <v>0.35924851076829079</v>
      </c>
      <c r="O45" s="12"/>
      <c r="P45" s="8">
        <v>889.9</v>
      </c>
      <c r="Q45" s="3"/>
      <c r="R45" s="7">
        <f t="shared" si="4"/>
        <v>0</v>
      </c>
      <c r="S45" s="3"/>
      <c r="T45" s="8">
        <v>654.70000000000005</v>
      </c>
      <c r="U45" s="3"/>
      <c r="V45" s="7">
        <f t="shared" si="5"/>
        <v>0</v>
      </c>
      <c r="W45" s="3"/>
      <c r="X45" s="8">
        <f t="shared" si="6"/>
        <v>235.19999999999993</v>
      </c>
      <c r="Y45" s="3"/>
      <c r="Z45" s="7">
        <f t="shared" si="7"/>
        <v>0.35924851076829067</v>
      </c>
    </row>
    <row r="46" spans="1:26" s="68" customFormat="1" ht="15" customHeight="1" outlineLevel="1" collapsed="1" x14ac:dyDescent="0.3">
      <c r="A46" s="25"/>
      <c r="B46" s="14" t="str">
        <f>CONCATENATE("     ","Professional Services                             ")</f>
        <v xml:space="preserve">     Professional Services                             </v>
      </c>
      <c r="C46" s="14"/>
      <c r="D46" s="2">
        <f>SUM(OSRRefD22_7x_0)</f>
        <v>386.88</v>
      </c>
      <c r="E46" s="2"/>
      <c r="F46" s="6">
        <f t="shared" si="0"/>
        <v>0</v>
      </c>
      <c r="G46" s="2"/>
      <c r="H46" s="2">
        <f>SUM(OSRRefH22_7x_0)</f>
        <v>1655</v>
      </c>
      <c r="I46" s="2"/>
      <c r="J46" s="6">
        <f t="shared" si="1"/>
        <v>0</v>
      </c>
      <c r="K46" s="2"/>
      <c r="L46" s="2">
        <f t="shared" si="2"/>
        <v>-1268.1199999999999</v>
      </c>
      <c r="M46" s="2"/>
      <c r="N46" s="6">
        <f t="shared" si="3"/>
        <v>-0.76623564954682777</v>
      </c>
      <c r="O46" s="14"/>
      <c r="P46" s="2">
        <f>SUM(OSRRefP22_7x_0)</f>
        <v>11562.89</v>
      </c>
      <c r="Q46" s="2"/>
      <c r="R46" s="6">
        <f t="shared" si="4"/>
        <v>0</v>
      </c>
      <c r="S46" s="2"/>
      <c r="T46" s="2">
        <f>SUM(OSRRefT22_7x_0)</f>
        <v>10474.880000000001</v>
      </c>
      <c r="U46" s="2"/>
      <c r="V46" s="6">
        <f t="shared" si="5"/>
        <v>0</v>
      </c>
      <c r="W46" s="2"/>
      <c r="X46" s="2">
        <f t="shared" si="6"/>
        <v>1088.0099999999984</v>
      </c>
      <c r="Y46" s="2"/>
      <c r="Z46" s="6">
        <f t="shared" si="7"/>
        <v>0.10386849300421563</v>
      </c>
    </row>
    <row r="47" spans="1:26" s="69" customFormat="1" ht="15" hidden="1" customHeight="1" outlineLevel="2" x14ac:dyDescent="0.3">
      <c r="A47" s="26"/>
      <c r="B47" s="12" t="str">
        <f>CONCATENATE("          ","6334"," - ","LEGAL COUNCIL EXPENSE")</f>
        <v xml:space="preserve">          6334 - LEGAL COUNCIL EXPENSE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3255</v>
      </c>
      <c r="Q47" s="3"/>
      <c r="R47" s="7">
        <f t="shared" si="4"/>
        <v>0</v>
      </c>
      <c r="S47" s="3"/>
      <c r="T47" s="8">
        <v>2450</v>
      </c>
      <c r="U47" s="3"/>
      <c r="V47" s="7">
        <f t="shared" si="5"/>
        <v>0</v>
      </c>
      <c r="W47" s="3"/>
      <c r="X47" s="8">
        <f t="shared" si="6"/>
        <v>805</v>
      </c>
      <c r="Y47" s="3"/>
      <c r="Z47" s="7">
        <f t="shared" si="7"/>
        <v>0.32857142857142857</v>
      </c>
    </row>
    <row r="48" spans="1:26" s="69" customFormat="1" ht="15" hidden="1" customHeight="1" outlineLevel="2" x14ac:dyDescent="0.3">
      <c r="A48" s="26"/>
      <c r="B48" s="12" t="str">
        <f>CONCATENATE("          ","6336"," - ","PROFESSIONAL SERVICES")</f>
        <v xml:space="preserve">          6336 - PROFESSIONAL SERVICES</v>
      </c>
      <c r="C48" s="12"/>
      <c r="D48" s="8">
        <v>386.88</v>
      </c>
      <c r="E48" s="3"/>
      <c r="F48" s="7">
        <f t="shared" si="0"/>
        <v>0</v>
      </c>
      <c r="G48" s="3"/>
      <c r="H48" s="8">
        <v>1655</v>
      </c>
      <c r="I48" s="3"/>
      <c r="J48" s="7">
        <f t="shared" si="1"/>
        <v>0</v>
      </c>
      <c r="K48" s="3"/>
      <c r="L48" s="8">
        <f t="shared" si="2"/>
        <v>-1268.1199999999999</v>
      </c>
      <c r="M48" s="3"/>
      <c r="N48" s="7">
        <f t="shared" si="3"/>
        <v>-0.76623564954682777</v>
      </c>
      <c r="O48" s="12"/>
      <c r="P48" s="8">
        <v>8307.89</v>
      </c>
      <c r="Q48" s="3"/>
      <c r="R48" s="7">
        <f t="shared" si="4"/>
        <v>0</v>
      </c>
      <c r="S48" s="3"/>
      <c r="T48" s="8">
        <v>8024.88</v>
      </c>
      <c r="U48" s="3"/>
      <c r="V48" s="7">
        <f t="shared" si="5"/>
        <v>0</v>
      </c>
      <c r="W48" s="3"/>
      <c r="X48" s="8">
        <f t="shared" si="6"/>
        <v>283.00999999999931</v>
      </c>
      <c r="Y48" s="3"/>
      <c r="Z48" s="7">
        <f t="shared" si="7"/>
        <v>3.5266570964300935E-2</v>
      </c>
    </row>
    <row r="49" spans="1:26" s="68" customFormat="1" ht="15" customHeight="1" outlineLevel="1" collapsed="1" x14ac:dyDescent="0.3">
      <c r="A49" s="25"/>
      <c r="B49" s="14" t="str">
        <f>CONCATENATE("     ","Repair and Maintenance                            ")</f>
        <v xml:space="preserve">     Repair and Maintenance                            </v>
      </c>
      <c r="C49" s="14"/>
      <c r="D49" s="2">
        <f>SUM(OSRRefD22_8x_0)</f>
        <v>7927.75</v>
      </c>
      <c r="E49" s="2"/>
      <c r="F49" s="6">
        <f t="shared" si="0"/>
        <v>0</v>
      </c>
      <c r="G49" s="2"/>
      <c r="H49" s="2">
        <f>SUM(OSRRefH22_8x_0)</f>
        <v>3821.76</v>
      </c>
      <c r="I49" s="2"/>
      <c r="J49" s="6">
        <f t="shared" si="1"/>
        <v>0</v>
      </c>
      <c r="K49" s="2"/>
      <c r="L49" s="2">
        <f t="shared" si="2"/>
        <v>4105.99</v>
      </c>
      <c r="M49" s="2"/>
      <c r="N49" s="6">
        <f t="shared" si="3"/>
        <v>1.0743714937620361</v>
      </c>
      <c r="O49" s="14"/>
      <c r="P49" s="2">
        <f>SUM(OSRRefP22_8x_0)</f>
        <v>67742.94</v>
      </c>
      <c r="Q49" s="2"/>
      <c r="R49" s="6">
        <f t="shared" si="4"/>
        <v>0</v>
      </c>
      <c r="S49" s="2"/>
      <c r="T49" s="2">
        <f>SUM(OSRRefT22_8x_0)</f>
        <v>46935.34</v>
      </c>
      <c r="U49" s="2"/>
      <c r="V49" s="6">
        <f t="shared" si="5"/>
        <v>0</v>
      </c>
      <c r="W49" s="2"/>
      <c r="X49" s="2">
        <f t="shared" si="6"/>
        <v>20807.600000000006</v>
      </c>
      <c r="Y49" s="2"/>
      <c r="Z49" s="6">
        <f t="shared" si="7"/>
        <v>0.44332479534610825</v>
      </c>
    </row>
    <row r="50" spans="1:26" s="69" customFormat="1" ht="15" hidden="1" customHeight="1" outlineLevel="2" x14ac:dyDescent="0.3">
      <c r="A50" s="26"/>
      <c r="B50" s="12" t="str">
        <f>CONCATENATE("          ","6371"," - ","COMPUTER SOFTWARE MAINTENANCE")</f>
        <v xml:space="preserve">          6371 - COMPUTER SOFTWARE MAINTENANCE</v>
      </c>
      <c r="C50" s="12"/>
      <c r="D50" s="8">
        <v>7927.75</v>
      </c>
      <c r="E50" s="3"/>
      <c r="F50" s="7">
        <f t="shared" si="0"/>
        <v>0</v>
      </c>
      <c r="G50" s="3"/>
      <c r="H50" s="8">
        <v>3821.76</v>
      </c>
      <c r="I50" s="3"/>
      <c r="J50" s="7">
        <f t="shared" si="1"/>
        <v>0</v>
      </c>
      <c r="K50" s="3"/>
      <c r="L50" s="8">
        <f t="shared" si="2"/>
        <v>4105.99</v>
      </c>
      <c r="M50" s="3"/>
      <c r="N50" s="7">
        <f t="shared" si="3"/>
        <v>1.0743714937620361</v>
      </c>
      <c r="O50" s="12"/>
      <c r="P50" s="8">
        <v>67310.31</v>
      </c>
      <c r="Q50" s="3"/>
      <c r="R50" s="7">
        <f t="shared" si="4"/>
        <v>0</v>
      </c>
      <c r="S50" s="3"/>
      <c r="T50" s="8">
        <v>46829.32</v>
      </c>
      <c r="U50" s="3"/>
      <c r="V50" s="7">
        <f t="shared" si="5"/>
        <v>0</v>
      </c>
      <c r="W50" s="3"/>
      <c r="X50" s="8">
        <f t="shared" si="6"/>
        <v>20480.989999999998</v>
      </c>
      <c r="Y50" s="3"/>
      <c r="Z50" s="7">
        <f t="shared" si="7"/>
        <v>0.43735399104663486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432.63</v>
      </c>
      <c r="Q51" s="3"/>
      <c r="R51" s="7">
        <f t="shared" si="4"/>
        <v>0</v>
      </c>
      <c r="S51" s="3"/>
      <c r="T51" s="8">
        <v>106.02</v>
      </c>
      <c r="U51" s="3"/>
      <c r="V51" s="7">
        <f t="shared" si="5"/>
        <v>0</v>
      </c>
      <c r="W51" s="3"/>
      <c r="X51" s="8">
        <f t="shared" si="6"/>
        <v>326.61</v>
      </c>
      <c r="Y51" s="3"/>
      <c r="Z51" s="7">
        <f t="shared" si="7"/>
        <v>3.080645161290323</v>
      </c>
    </row>
    <row r="52" spans="1:26" s="68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SUM(OSRRefD22_9x_0)</f>
        <v>0</v>
      </c>
      <c r="E52" s="2"/>
      <c r="F52" s="6">
        <f t="shared" si="0"/>
        <v>0</v>
      </c>
      <c r="G52" s="2"/>
      <c r="H52" s="2">
        <f>SUM(OSRRefH22_9x_0)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SUM(OSRRefP22_9x_0)</f>
        <v>2730.9</v>
      </c>
      <c r="Q52" s="2"/>
      <c r="R52" s="6">
        <f t="shared" si="4"/>
        <v>0</v>
      </c>
      <c r="S52" s="2"/>
      <c r="T52" s="2">
        <f>SUM(OSRRefT22_9x_0)</f>
        <v>1329.99</v>
      </c>
      <c r="U52" s="2"/>
      <c r="V52" s="6">
        <f t="shared" si="5"/>
        <v>0</v>
      </c>
      <c r="W52" s="2"/>
      <c r="X52" s="2">
        <f t="shared" si="6"/>
        <v>1400.91</v>
      </c>
      <c r="Y52" s="2"/>
      <c r="Z52" s="6">
        <f t="shared" si="7"/>
        <v>1.0533237092008212</v>
      </c>
    </row>
    <row r="53" spans="1:26" s="69" customFormat="1" ht="15" hidden="1" customHeight="1" outlineLevel="2" x14ac:dyDescent="0.3">
      <c r="A53" s="26"/>
      <c r="B53" s="12" t="str">
        <f>CONCATENATE("          ","6258"," - ","MEMBERSHIP DUES")</f>
        <v xml:space="preserve">          6258 - MEMBERSHIP DUES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1452</v>
      </c>
      <c r="Q53" s="3"/>
      <c r="R53" s="7">
        <f t="shared" si="4"/>
        <v>0</v>
      </c>
      <c r="S53" s="3"/>
      <c r="T53" s="8">
        <v>1329.99</v>
      </c>
      <c r="U53" s="3"/>
      <c r="V53" s="7">
        <f t="shared" si="5"/>
        <v>0</v>
      </c>
      <c r="W53" s="3"/>
      <c r="X53" s="8">
        <f t="shared" si="6"/>
        <v>122.00999999999999</v>
      </c>
      <c r="Y53" s="3"/>
      <c r="Z53" s="7">
        <f t="shared" si="7"/>
        <v>9.1737531861141808E-2</v>
      </c>
    </row>
    <row r="54" spans="1:26" s="69" customFormat="1" ht="15" hidden="1" customHeight="1" outlineLevel="2" x14ac:dyDescent="0.3">
      <c r="A54" s="26"/>
      <c r="B54" s="12" t="str">
        <f>CONCATENATE("          ","6275"," - ","SUBSCRIPTIONS")</f>
        <v xml:space="preserve">          6275 - SUBSCRIPTIONS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1278.9000000000001</v>
      </c>
      <c r="Q54" s="3"/>
      <c r="R54" s="7">
        <f t="shared" si="4"/>
        <v>0</v>
      </c>
      <c r="S54" s="3"/>
      <c r="T54" s="8"/>
      <c r="U54" s="3"/>
      <c r="V54" s="7">
        <f t="shared" si="5"/>
        <v>0</v>
      </c>
      <c r="W54" s="3"/>
      <c r="X54" s="8">
        <f t="shared" si="6"/>
        <v>1278.9000000000001</v>
      </c>
      <c r="Y54" s="3"/>
      <c r="Z54" s="7">
        <f t="shared" si="7"/>
        <v>0</v>
      </c>
    </row>
    <row r="55" spans="1:26" s="68" customFormat="1" ht="15" customHeight="1" outlineLevel="1" collapsed="1" x14ac:dyDescent="0.3">
      <c r="A55" s="25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SUM(OSRRefD22_10x_0)</f>
        <v>1188.9299999999998</v>
      </c>
      <c r="E55" s="2"/>
      <c r="F55" s="6">
        <f t="shared" si="0"/>
        <v>0</v>
      </c>
      <c r="G55" s="2"/>
      <c r="H55" s="2">
        <f>SUM(OSRRefH22_10x_0)</f>
        <v>149.11000000000001</v>
      </c>
      <c r="I55" s="2"/>
      <c r="J55" s="6">
        <f t="shared" si="1"/>
        <v>0</v>
      </c>
      <c r="K55" s="2"/>
      <c r="L55" s="2">
        <f t="shared" si="2"/>
        <v>1039.8199999999997</v>
      </c>
      <c r="M55" s="2"/>
      <c r="N55" s="6">
        <f t="shared" si="3"/>
        <v>6.973509489638519</v>
      </c>
      <c r="O55" s="14"/>
      <c r="P55" s="2">
        <f>SUM(OSRRefP22_10x_0)</f>
        <v>18214.620000000003</v>
      </c>
      <c r="Q55" s="2"/>
      <c r="R55" s="6">
        <f t="shared" si="4"/>
        <v>0</v>
      </c>
      <c r="S55" s="2"/>
      <c r="T55" s="2">
        <f>SUM(OSRRefT22_10x_0)</f>
        <v>2537.37</v>
      </c>
      <c r="U55" s="2"/>
      <c r="V55" s="6">
        <f t="shared" si="5"/>
        <v>0</v>
      </c>
      <c r="W55" s="2"/>
      <c r="X55" s="2">
        <f t="shared" si="6"/>
        <v>15677.250000000004</v>
      </c>
      <c r="Y55" s="2"/>
      <c r="Z55" s="6">
        <f t="shared" si="7"/>
        <v>6.178543137185355</v>
      </c>
    </row>
    <row r="56" spans="1:26" s="69" customFormat="1" ht="15" hidden="1" customHeight="1" outlineLevel="2" x14ac:dyDescent="0.3">
      <c r="A56" s="26"/>
      <c r="B56" s="12" t="str">
        <f>CONCATENATE("          ","6235"," - ","COVID-19 EXPENSES")</f>
        <v xml:space="preserve">          6235 - COVID-19 EXPENSES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2636.13</v>
      </c>
      <c r="Q56" s="3"/>
      <c r="R56" s="7">
        <f t="shared" si="4"/>
        <v>0</v>
      </c>
      <c r="S56" s="3"/>
      <c r="T56" s="8">
        <v>210.58</v>
      </c>
      <c r="U56" s="3"/>
      <c r="V56" s="7">
        <f t="shared" si="5"/>
        <v>0</v>
      </c>
      <c r="W56" s="3"/>
      <c r="X56" s="8">
        <f t="shared" si="6"/>
        <v>2425.5500000000002</v>
      </c>
      <c r="Y56" s="3"/>
      <c r="Z56" s="7">
        <f t="shared" si="7"/>
        <v>11.518425301548106</v>
      </c>
    </row>
    <row r="57" spans="1:26" s="69" customFormat="1" ht="15" hidden="1" customHeight="1" outlineLevel="2" x14ac:dyDescent="0.3">
      <c r="A57" s="26"/>
      <c r="B57" s="12" t="str">
        <f>CONCATENATE("          ","6241"," - ","OFFICE EXPENSE")</f>
        <v xml:space="preserve">          6241 - OFFICE EXPENSE</v>
      </c>
      <c r="C57" s="12"/>
      <c r="D57" s="8">
        <v>117.79</v>
      </c>
      <c r="E57" s="3"/>
      <c r="F57" s="7">
        <f t="shared" si="0"/>
        <v>0</v>
      </c>
      <c r="G57" s="3"/>
      <c r="H57" s="8">
        <v>149.11000000000001</v>
      </c>
      <c r="I57" s="3"/>
      <c r="J57" s="7">
        <f t="shared" si="1"/>
        <v>0</v>
      </c>
      <c r="K57" s="3"/>
      <c r="L57" s="8">
        <f t="shared" si="2"/>
        <v>-31.320000000000007</v>
      </c>
      <c r="M57" s="3"/>
      <c r="N57" s="7">
        <f t="shared" si="3"/>
        <v>-0.21004627456240363</v>
      </c>
      <c r="O57" s="12"/>
      <c r="P57" s="8">
        <v>2571.06</v>
      </c>
      <c r="Q57" s="3"/>
      <c r="R57" s="7">
        <f t="shared" si="4"/>
        <v>0</v>
      </c>
      <c r="S57" s="3"/>
      <c r="T57" s="8">
        <v>2104.08</v>
      </c>
      <c r="U57" s="3"/>
      <c r="V57" s="7">
        <f t="shared" si="5"/>
        <v>0</v>
      </c>
      <c r="W57" s="3"/>
      <c r="X57" s="8">
        <f t="shared" si="6"/>
        <v>466.98</v>
      </c>
      <c r="Y57" s="3"/>
      <c r="Z57" s="7">
        <f t="shared" si="7"/>
        <v>0.22194023040949015</v>
      </c>
    </row>
    <row r="58" spans="1:26" s="69" customFormat="1" ht="15" hidden="1" customHeight="1" outlineLevel="2" x14ac:dyDescent="0.3">
      <c r="A58" s="26"/>
      <c r="B58" s="12" t="str">
        <f>CONCATENATE("          ","6244"," - ","SAFETY SUPPLY EXPENSE")</f>
        <v xml:space="preserve">          6244 - SAFETY SUPPLY EXPENSE</v>
      </c>
      <c r="C58" s="12"/>
      <c r="D58" s="8">
        <v>511.27</v>
      </c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511.27</v>
      </c>
      <c r="M58" s="3"/>
      <c r="N58" s="7">
        <f t="shared" si="3"/>
        <v>0</v>
      </c>
      <c r="O58" s="12"/>
      <c r="P58" s="8">
        <v>1161.27</v>
      </c>
      <c r="Q58" s="3"/>
      <c r="R58" s="7">
        <f t="shared" si="4"/>
        <v>0</v>
      </c>
      <c r="S58" s="3"/>
      <c r="T58" s="8">
        <v>222.71</v>
      </c>
      <c r="U58" s="3"/>
      <c r="V58" s="7">
        <f t="shared" si="5"/>
        <v>0</v>
      </c>
      <c r="W58" s="3"/>
      <c r="X58" s="8">
        <f t="shared" si="6"/>
        <v>938.56</v>
      </c>
      <c r="Y58" s="3"/>
      <c r="Z58" s="7">
        <f t="shared" si="7"/>
        <v>4.2142696780566649</v>
      </c>
    </row>
    <row r="59" spans="1:26" s="69" customFormat="1" ht="15" hidden="1" customHeight="1" outlineLevel="2" x14ac:dyDescent="0.3">
      <c r="A59" s="26"/>
      <c r="B59" s="12" t="str">
        <f>CONCATENATE("          ","6248"," - ","UNIFORMS")</f>
        <v xml:space="preserve">          6248 - UNIFORMS</v>
      </c>
      <c r="C59" s="12"/>
      <c r="D59" s="8">
        <v>559.87</v>
      </c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559.87</v>
      </c>
      <c r="M59" s="3"/>
      <c r="N59" s="7">
        <f t="shared" si="3"/>
        <v>0</v>
      </c>
      <c r="O59" s="12"/>
      <c r="P59" s="8">
        <v>11846.16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11846.16</v>
      </c>
      <c r="Y59" s="3"/>
      <c r="Z59" s="7">
        <f t="shared" si="7"/>
        <v>0</v>
      </c>
    </row>
    <row r="60" spans="1:26" s="68" customFormat="1" ht="15" customHeight="1" outlineLevel="1" collapsed="1" x14ac:dyDescent="0.3">
      <c r="A60" s="25"/>
      <c r="B60" s="14" t="str">
        <f>CONCATENATE("     ","Telephone/Data Lines                              ")</f>
        <v xml:space="preserve">     Telephone/Data Lines                              </v>
      </c>
      <c r="C60" s="14"/>
      <c r="D60" s="2">
        <f>SUM(OSRRefD22_11x_0)</f>
        <v>880.7</v>
      </c>
      <c r="E60" s="2"/>
      <c r="F60" s="6">
        <f t="shared" si="0"/>
        <v>0</v>
      </c>
      <c r="G60" s="2"/>
      <c r="H60" s="2">
        <f>SUM(OSRRefH22_11x_0)</f>
        <v>274.95</v>
      </c>
      <c r="I60" s="2"/>
      <c r="J60" s="6">
        <f t="shared" si="1"/>
        <v>0</v>
      </c>
      <c r="K60" s="2"/>
      <c r="L60" s="2">
        <f t="shared" si="2"/>
        <v>605.75</v>
      </c>
      <c r="M60" s="2"/>
      <c r="N60" s="6">
        <f t="shared" si="3"/>
        <v>2.2031278414257138</v>
      </c>
      <c r="O60" s="14"/>
      <c r="P60" s="2">
        <f>SUM(OSRRefP22_11x_0)</f>
        <v>5431.9</v>
      </c>
      <c r="Q60" s="2"/>
      <c r="R60" s="6">
        <f t="shared" si="4"/>
        <v>0</v>
      </c>
      <c r="S60" s="2"/>
      <c r="T60" s="2">
        <f>SUM(OSRRefT22_11x_0)</f>
        <v>3074.25</v>
      </c>
      <c r="U60" s="2"/>
      <c r="V60" s="6">
        <f t="shared" si="5"/>
        <v>0</v>
      </c>
      <c r="W60" s="2"/>
      <c r="X60" s="2">
        <f t="shared" si="6"/>
        <v>2357.6499999999996</v>
      </c>
      <c r="Y60" s="2"/>
      <c r="Z60" s="6">
        <f t="shared" si="7"/>
        <v>0.76690249654387233</v>
      </c>
    </row>
    <row r="61" spans="1:26" s="69" customFormat="1" ht="15" hidden="1" customHeight="1" outlineLevel="2" x14ac:dyDescent="0.3">
      <c r="A61" s="26"/>
      <c r="B61" s="12" t="str">
        <f>CONCATENATE("          ","6309"," - ","TELEPHONE")</f>
        <v xml:space="preserve">          6309 - TELEPHONE</v>
      </c>
      <c r="C61" s="12"/>
      <c r="D61" s="8">
        <v>880.7</v>
      </c>
      <c r="E61" s="3"/>
      <c r="F61" s="7">
        <f t="shared" si="0"/>
        <v>0</v>
      </c>
      <c r="G61" s="3"/>
      <c r="H61" s="8">
        <v>274.95</v>
      </c>
      <c r="I61" s="3"/>
      <c r="J61" s="7">
        <f t="shared" si="1"/>
        <v>0</v>
      </c>
      <c r="K61" s="3"/>
      <c r="L61" s="8">
        <f t="shared" si="2"/>
        <v>605.75</v>
      </c>
      <c r="M61" s="3"/>
      <c r="N61" s="7">
        <f t="shared" si="3"/>
        <v>2.2031278414257138</v>
      </c>
      <c r="O61" s="12"/>
      <c r="P61" s="8">
        <v>5431.9</v>
      </c>
      <c r="Q61" s="3"/>
      <c r="R61" s="7">
        <f t="shared" si="4"/>
        <v>0</v>
      </c>
      <c r="S61" s="3"/>
      <c r="T61" s="8">
        <v>3074.25</v>
      </c>
      <c r="U61" s="3"/>
      <c r="V61" s="7">
        <f t="shared" si="5"/>
        <v>0</v>
      </c>
      <c r="W61" s="3"/>
      <c r="X61" s="8">
        <f t="shared" si="6"/>
        <v>2357.6499999999996</v>
      </c>
      <c r="Y61" s="3"/>
      <c r="Z61" s="7">
        <f t="shared" si="7"/>
        <v>0.76690249654387233</v>
      </c>
    </row>
    <row r="62" spans="1:26" s="68" customFormat="1" ht="15" customHeight="1" outlineLevel="1" collapsed="1" x14ac:dyDescent="0.3">
      <c r="A62" s="25"/>
      <c r="B62" s="14" t="str">
        <f>CONCATENATE("     ","Training                                          ")</f>
        <v xml:space="preserve">     Training                                          </v>
      </c>
      <c r="C62" s="14"/>
      <c r="D62" s="2">
        <f>SUM(OSRRefD22_12x_0)</f>
        <v>0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SUM(OSRRefP22_12x_0)</f>
        <v>475</v>
      </c>
      <c r="Q62" s="2"/>
      <c r="R62" s="6">
        <f t="shared" si="4"/>
        <v>0</v>
      </c>
      <c r="S62" s="2"/>
      <c r="T62" s="2">
        <f>SUM(OSRRefT22_12x_0)</f>
        <v>-97</v>
      </c>
      <c r="U62" s="2"/>
      <c r="V62" s="6">
        <f t="shared" si="5"/>
        <v>0</v>
      </c>
      <c r="W62" s="2"/>
      <c r="X62" s="2">
        <f t="shared" si="6"/>
        <v>572</v>
      </c>
      <c r="Y62" s="2"/>
      <c r="Z62" s="6">
        <f t="shared" si="7"/>
        <v>-5.8969072164948457</v>
      </c>
    </row>
    <row r="63" spans="1:26" s="69" customFormat="1" ht="15" hidden="1" customHeight="1" outlineLevel="2" x14ac:dyDescent="0.3">
      <c r="A63" s="26"/>
      <c r="B63" s="12" t="str">
        <f>CONCATENATE("          ","6376"," - ","TRAINING")</f>
        <v xml:space="preserve">          6376 - TRAINING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>
        <v>475</v>
      </c>
      <c r="Q63" s="3"/>
      <c r="R63" s="7">
        <f t="shared" si="4"/>
        <v>0</v>
      </c>
      <c r="S63" s="3"/>
      <c r="T63" s="8">
        <v>-97</v>
      </c>
      <c r="U63" s="3"/>
      <c r="V63" s="7">
        <f t="shared" si="5"/>
        <v>0</v>
      </c>
      <c r="W63" s="3"/>
      <c r="X63" s="8">
        <f t="shared" si="6"/>
        <v>572</v>
      </c>
      <c r="Y63" s="3"/>
      <c r="Z63" s="7">
        <f t="shared" si="7"/>
        <v>-5.8969072164948457</v>
      </c>
    </row>
    <row r="64" spans="1:26" s="68" customFormat="1" ht="15" customHeight="1" outlineLevel="1" collapsed="1" x14ac:dyDescent="0.3">
      <c r="A64" s="25"/>
      <c r="B64" s="14" t="str">
        <f>CONCATENATE("     ","Travel                                            ")</f>
        <v xml:space="preserve">     Travel                                            </v>
      </c>
      <c r="C64" s="14"/>
      <c r="D64" s="2">
        <f>SUM(OSRRefD22_13x_0)</f>
        <v>0</v>
      </c>
      <c r="E64" s="2"/>
      <c r="F64" s="6">
        <f t="shared" si="0"/>
        <v>0</v>
      </c>
      <c r="G64" s="2"/>
      <c r="H64" s="2">
        <f>SUM(OSRRefH22_13x_0)</f>
        <v>0</v>
      </c>
      <c r="I64" s="2"/>
      <c r="J64" s="6">
        <f t="shared" si="1"/>
        <v>0</v>
      </c>
      <c r="K64" s="2"/>
      <c r="L64" s="2">
        <f t="shared" si="2"/>
        <v>0</v>
      </c>
      <c r="M64" s="2"/>
      <c r="N64" s="6">
        <f t="shared" si="3"/>
        <v>0</v>
      </c>
      <c r="O64" s="14"/>
      <c r="P64" s="2">
        <f>SUM(OSRRefP22_13x_0)</f>
        <v>0</v>
      </c>
      <c r="Q64" s="2"/>
      <c r="R64" s="6">
        <f t="shared" si="4"/>
        <v>0</v>
      </c>
      <c r="S64" s="2"/>
      <c r="T64" s="2">
        <f>SUM(OSRRefT22_13x_0)</f>
        <v>720</v>
      </c>
      <c r="U64" s="2"/>
      <c r="V64" s="6">
        <f t="shared" si="5"/>
        <v>0</v>
      </c>
      <c r="W64" s="2"/>
      <c r="X64" s="2">
        <f t="shared" si="6"/>
        <v>-720</v>
      </c>
      <c r="Y64" s="2"/>
      <c r="Z64" s="6">
        <f t="shared" si="7"/>
        <v>-1</v>
      </c>
    </row>
    <row r="65" spans="1:26" s="69" customFormat="1" ht="15" hidden="1" customHeight="1" outlineLevel="2" x14ac:dyDescent="0.3">
      <c r="A65" s="26"/>
      <c r="B65" s="12" t="str">
        <f>CONCATENATE("          ","6292"," - ","TRAVEL/CONFERENCE")</f>
        <v xml:space="preserve">          6292 - TRAVEL/CONFERENCE</v>
      </c>
      <c r="C65" s="12"/>
      <c r="D65" s="8"/>
      <c r="E65" s="3"/>
      <c r="F65" s="7">
        <f t="shared" si="0"/>
        <v>0</v>
      </c>
      <c r="G65" s="3"/>
      <c r="H65" s="8"/>
      <c r="I65" s="3"/>
      <c r="J65" s="7">
        <f t="shared" si="1"/>
        <v>0</v>
      </c>
      <c r="K65" s="3"/>
      <c r="L65" s="8">
        <f t="shared" si="2"/>
        <v>0</v>
      </c>
      <c r="M65" s="3"/>
      <c r="N65" s="7">
        <f t="shared" si="3"/>
        <v>0</v>
      </c>
      <c r="O65" s="12"/>
      <c r="P65" s="8"/>
      <c r="Q65" s="3"/>
      <c r="R65" s="7">
        <f t="shared" si="4"/>
        <v>0</v>
      </c>
      <c r="S65" s="3"/>
      <c r="T65" s="8">
        <v>720</v>
      </c>
      <c r="U65" s="3"/>
      <c r="V65" s="7">
        <f t="shared" si="5"/>
        <v>0</v>
      </c>
      <c r="W65" s="3"/>
      <c r="X65" s="8">
        <f t="shared" si="6"/>
        <v>-720</v>
      </c>
      <c r="Y65" s="3"/>
      <c r="Z65" s="7">
        <f t="shared" si="7"/>
        <v>-1</v>
      </c>
    </row>
    <row r="66" spans="1:26" s="64" customFormat="1" ht="15" customHeight="1" x14ac:dyDescent="0.3">
      <c r="A66" s="36"/>
      <c r="B66" s="36"/>
      <c r="C66" s="36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3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62" customFormat="1" ht="15" customHeight="1" x14ac:dyDescent="0.3">
      <c r="A67" s="11"/>
      <c r="B67" s="27" t="s">
        <v>290</v>
      </c>
      <c r="C67" s="11"/>
      <c r="D67" s="5">
        <f>SUM(0)</f>
        <v>0</v>
      </c>
      <c r="E67" s="5"/>
      <c r="F67" s="13">
        <f>IF(D$12=0,0,D67/D$12)</f>
        <v>0</v>
      </c>
      <c r="G67" s="5"/>
      <c r="H67" s="5">
        <f>SUM(0)</f>
        <v>0</v>
      </c>
      <c r="I67" s="5"/>
      <c r="J67" s="13">
        <f>IF(H$12=0,0,H67/H$12)</f>
        <v>0</v>
      </c>
      <c r="K67" s="5"/>
      <c r="L67" s="5">
        <f>+D67-H67</f>
        <v>0</v>
      </c>
      <c r="M67" s="5"/>
      <c r="N67" s="13">
        <f>IF(H67=0,0,L67/H67)</f>
        <v>0</v>
      </c>
      <c r="O67" s="11"/>
      <c r="P67" s="5">
        <f>SUM(0)</f>
        <v>0</v>
      </c>
      <c r="Q67" s="5"/>
      <c r="R67" s="13">
        <f>IF(P$12=0,0,P67/P$12)</f>
        <v>0</v>
      </c>
      <c r="S67" s="5"/>
      <c r="T67" s="5">
        <f>SUM(0)</f>
        <v>0</v>
      </c>
      <c r="U67" s="5"/>
      <c r="V67" s="13">
        <f>IF(T$12=0,0,T67/T$12)</f>
        <v>0</v>
      </c>
      <c r="W67" s="5"/>
      <c r="X67" s="5">
        <f>+P67-T67</f>
        <v>0</v>
      </c>
      <c r="Y67" s="5"/>
      <c r="Z67" s="13">
        <f>IF(T67=0,0,X67/T67)</f>
        <v>0</v>
      </c>
    </row>
    <row r="68" spans="1:26" ht="15" customHeight="1" x14ac:dyDescent="0.3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8" t="s">
        <v>291</v>
      </c>
      <c r="C69" s="28"/>
      <c r="D69" s="21">
        <f>+D16-D18+D67</f>
        <v>-68880.219999999987</v>
      </c>
      <c r="E69" s="15"/>
      <c r="F69" s="23">
        <f>IF(D$12=0,0,D69/D$12)</f>
        <v>0</v>
      </c>
      <c r="G69" s="15"/>
      <c r="H69" s="21">
        <f>+H16-H18+H67</f>
        <v>-43462.69</v>
      </c>
      <c r="I69" s="15"/>
      <c r="J69" s="23">
        <f>IF(H$12=0,0,H69/H$12)</f>
        <v>0</v>
      </c>
      <c r="K69" s="16"/>
      <c r="L69" s="21">
        <f>+D69-H69</f>
        <v>-25417.529999999984</v>
      </c>
      <c r="M69" s="16"/>
      <c r="N69" s="23">
        <f>IF(H69=0,0,L69/H69)</f>
        <v>0.5848126289468043</v>
      </c>
      <c r="O69" s="27"/>
      <c r="P69" s="21">
        <f>+P16-P18+P67</f>
        <v>-568219.54000000015</v>
      </c>
      <c r="Q69" s="15"/>
      <c r="R69" s="23">
        <f>IF(P$12=0,0,P69/P$12)</f>
        <v>0</v>
      </c>
      <c r="S69" s="15"/>
      <c r="T69" s="21">
        <f>+T16-T18+T67</f>
        <v>-450007.96000000014</v>
      </c>
      <c r="U69" s="15"/>
      <c r="V69" s="23">
        <f>IF(T$12=0,0,T69/T$12)</f>
        <v>0</v>
      </c>
      <c r="W69" s="16"/>
      <c r="X69" s="21">
        <f>+P69-T69</f>
        <v>-118211.58000000002</v>
      </c>
      <c r="Y69" s="16"/>
      <c r="Z69" s="23">
        <f>IF(T69=0,0,X69/T69)</f>
        <v>0.26268775334551858</v>
      </c>
    </row>
    <row r="70" spans="1:26" ht="15" customHeight="1" x14ac:dyDescent="0.3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3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8" t="s">
        <v>293</v>
      </c>
      <c r="C73" s="28"/>
      <c r="D73" s="34">
        <f>+D69-D71</f>
        <v>-68880.219999999987</v>
      </c>
      <c r="E73" s="15"/>
      <c r="F73" s="30">
        <f>IF(D$12=0,0,D73/D$12)</f>
        <v>0</v>
      </c>
      <c r="G73" s="15"/>
      <c r="H73" s="34">
        <f>+H69-H71</f>
        <v>-43462.69</v>
      </c>
      <c r="I73" s="15"/>
      <c r="J73" s="30">
        <f>IF(H$12=0,0,H73/H$12)</f>
        <v>0</v>
      </c>
      <c r="K73" s="16"/>
      <c r="L73" s="34">
        <f>D73-H73</f>
        <v>-25417.529999999984</v>
      </c>
      <c r="M73" s="16"/>
      <c r="N73" s="30">
        <f>IF(H73=0,0,L73/H73)</f>
        <v>0.5848126289468043</v>
      </c>
      <c r="O73" s="27"/>
      <c r="P73" s="34">
        <f>+P69-P71</f>
        <v>-568219.54000000015</v>
      </c>
      <c r="Q73" s="15"/>
      <c r="R73" s="30">
        <f>IF(P$12=0,0,P73/P$12)</f>
        <v>0</v>
      </c>
      <c r="S73" s="15"/>
      <c r="T73" s="34">
        <f>+T69-T71</f>
        <v>-450007.96000000014</v>
      </c>
      <c r="U73" s="15"/>
      <c r="V73" s="30">
        <f>IF(T$12=0,0,T73/T$12)</f>
        <v>0</v>
      </c>
      <c r="W73" s="16"/>
      <c r="X73" s="34">
        <f>P73-T73</f>
        <v>-118211.58000000002</v>
      </c>
      <c r="Y73" s="16"/>
      <c r="Z73" s="30">
        <f>IF(T73=0,0,X73/T73)</f>
        <v>0.26268775334551858</v>
      </c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3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296</v>
      </c>
      <c r="C76" s="28"/>
      <c r="D76" s="29">
        <f>SUM(D73:D75)</f>
        <v>-68880.219999999987</v>
      </c>
      <c r="E76" s="15"/>
      <c r="F76" s="35">
        <f>IF(D$12=0,0,D76/D$12)</f>
        <v>0</v>
      </c>
      <c r="G76" s="15"/>
      <c r="H76" s="29">
        <f>SUM(H73:H75)</f>
        <v>-43462.69</v>
      </c>
      <c r="I76" s="15"/>
      <c r="J76" s="35">
        <f>IF(H$12=0,0,H76/H$12)</f>
        <v>0</v>
      </c>
      <c r="K76" s="16"/>
      <c r="L76" s="29">
        <f>+D76-H76</f>
        <v>-25417.529999999984</v>
      </c>
      <c r="M76" s="16"/>
      <c r="N76" s="35">
        <f>IF(H76=0,0,L76/H76)</f>
        <v>0.5848126289468043</v>
      </c>
      <c r="O76" s="27"/>
      <c r="P76" s="29">
        <f>SUM(P73:P75)</f>
        <v>-568219.54000000015</v>
      </c>
      <c r="Q76" s="15"/>
      <c r="R76" s="35">
        <f>IF(P$12=0,0,P76/P$12)</f>
        <v>0</v>
      </c>
      <c r="S76" s="15"/>
      <c r="T76" s="29">
        <f>SUM(T73:T75)</f>
        <v>-450007.96000000014</v>
      </c>
      <c r="U76" s="15"/>
      <c r="V76" s="35">
        <f>IF(T$12=0,0,T76/T$12)</f>
        <v>0</v>
      </c>
      <c r="W76" s="16"/>
      <c r="X76" s="29">
        <f>+P76-T76</f>
        <v>-118211.58000000002</v>
      </c>
      <c r="Y76" s="16"/>
      <c r="Z76" s="35">
        <f>IF(T76=0,0,X76/T76)</f>
        <v>0.26268775334551858</v>
      </c>
    </row>
    <row r="77" spans="1:26" ht="15" customHeight="1" x14ac:dyDescent="0.3">
      <c r="A77" s="10"/>
      <c r="C77" s="10"/>
      <c r="D77" s="18"/>
      <c r="E77" s="18"/>
      <c r="G77" s="18"/>
      <c r="H77" s="18"/>
      <c r="I77" s="18"/>
      <c r="J77" s="40"/>
      <c r="K77" s="18"/>
      <c r="L77" s="18"/>
      <c r="M77" s="18"/>
      <c r="P77" s="18"/>
      <c r="Q77" s="18"/>
      <c r="R77" s="40"/>
      <c r="S77" s="18"/>
      <c r="T77" s="18"/>
      <c r="U77" s="18"/>
      <c r="V77" s="40"/>
      <c r="W77" s="18"/>
      <c r="X77" s="18"/>
    </row>
    <row r="78" spans="1:26" ht="15" customHeight="1" x14ac:dyDescent="0.3">
      <c r="A78" s="10"/>
      <c r="B78" s="56">
        <v>44694.890829479169</v>
      </c>
      <c r="D78" s="18"/>
      <c r="E78" s="18"/>
      <c r="G78" s="18"/>
      <c r="H78" s="18"/>
      <c r="I78" s="18"/>
      <c r="J78" s="40"/>
      <c r="K78" s="18"/>
      <c r="L78" s="18"/>
      <c r="M78" s="18"/>
      <c r="P78" s="18"/>
      <c r="Q78" s="18"/>
      <c r="R78" s="40"/>
      <c r="S78" s="18"/>
      <c r="T78" s="18"/>
      <c r="U78" s="18"/>
      <c r="V78" s="40"/>
      <c r="W78" s="18"/>
      <c r="X78" s="18"/>
    </row>
    <row r="79" spans="1:26" ht="15" customHeight="1" x14ac:dyDescent="0.3">
      <c r="A79" s="10"/>
      <c r="B79" s="52" t="s">
        <v>297</v>
      </c>
      <c r="D79" s="18"/>
      <c r="E79" s="18"/>
      <c r="G79" s="18"/>
      <c r="H79" s="18"/>
      <c r="I79" s="18"/>
      <c r="J79" s="40"/>
      <c r="K79" s="18"/>
      <c r="L79" s="18"/>
      <c r="M79" s="18"/>
      <c r="P79" s="18"/>
      <c r="Q79" s="18"/>
      <c r="R79" s="40"/>
      <c r="S79" s="18"/>
      <c r="T79" s="18"/>
      <c r="U79" s="18"/>
      <c r="V79" s="40"/>
      <c r="W79" s="18"/>
      <c r="X79" s="18"/>
    </row>
    <row r="80" spans="1:26" ht="15" customHeight="1" x14ac:dyDescent="0.3">
      <c r="A80" s="10"/>
      <c r="B80" s="58"/>
      <c r="D80" s="18"/>
      <c r="E80" s="18"/>
      <c r="G80" s="18"/>
      <c r="H80" s="18"/>
      <c r="I80" s="18"/>
      <c r="J80" s="40"/>
      <c r="K80" s="18"/>
      <c r="L80" s="18"/>
      <c r="M80" s="18"/>
      <c r="P80" s="18"/>
      <c r="Q80" s="18"/>
      <c r="R80" s="40"/>
      <c r="S80" s="18"/>
      <c r="T80" s="18"/>
      <c r="U80" s="18"/>
      <c r="V80" s="40"/>
      <c r="W80" s="18"/>
      <c r="X80" s="18"/>
    </row>
    <row r="81" spans="4:24" ht="15" customHeight="1" x14ac:dyDescent="0.3">
      <c r="D81" s="18"/>
      <c r="E81" s="18"/>
      <c r="G81" s="18"/>
      <c r="H81" s="18"/>
      <c r="I81" s="18"/>
      <c r="J81" s="40"/>
      <c r="K81" s="18"/>
      <c r="L81" s="18"/>
      <c r="M81" s="18"/>
      <c r="P81" s="18"/>
      <c r="Q81" s="18"/>
      <c r="R81" s="40"/>
      <c r="S81" s="18"/>
      <c r="T81" s="18"/>
      <c r="U81" s="18"/>
      <c r="V81" s="40"/>
      <c r="W81" s="18"/>
      <c r="X8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BFA05-5822-3531-D4AB-6EF20E6CAD4B}">
  <sheetPr>
    <tabColor rgb="FF92D050"/>
    <outlinePr summaryBelow="0" summaryRight="0"/>
  </sheetPr>
  <dimension ref="A2:Z6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","204"," - ","Information Technology")</f>
        <v>Department 204 - Information Technology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47564.81</v>
      </c>
      <c r="E18" s="22"/>
      <c r="F18" s="32">
        <f t="shared" ref="F18:F52" si="0">IF(D$12=0,0,D18/D$12)</f>
        <v>0</v>
      </c>
      <c r="G18" s="22"/>
      <c r="H18" s="22" cm="1">
        <f t="array" ref="H18">SUM(OSRRefH22x_0)</f>
        <v>52587.89</v>
      </c>
      <c r="I18" s="22"/>
      <c r="J18" s="32">
        <f t="shared" ref="J18:J52" si="1">IF(H$12=0,0,H18/H$12)</f>
        <v>0</v>
      </c>
      <c r="K18" s="5"/>
      <c r="L18" s="22">
        <f t="shared" ref="L18:L52" si="2">+D18-H18</f>
        <v>-5023.0800000000017</v>
      </c>
      <c r="M18" s="5"/>
      <c r="N18" s="32">
        <f t="shared" ref="N18:N52" si="3">IF(H18=0,0,L18/H18)</f>
        <v>-9.5517808377556163E-2</v>
      </c>
      <c r="O18" s="11"/>
      <c r="P18" s="22" cm="1">
        <f t="array" ref="P18">SUM(OSRRefP22x_0)</f>
        <v>456629.43000000005</v>
      </c>
      <c r="Q18" s="22"/>
      <c r="R18" s="32">
        <f t="shared" ref="R18:R52" si="4">IF(P$12=0,0,P18/P$12)</f>
        <v>0</v>
      </c>
      <c r="S18" s="22"/>
      <c r="T18" s="22" cm="1">
        <f t="array" ref="T18">SUM(OSRRefT22x_0)</f>
        <v>508748.49</v>
      </c>
      <c r="U18" s="22"/>
      <c r="V18" s="32">
        <f t="shared" ref="V18:V52" si="5">IF(T$12=0,0,T18/T$12)</f>
        <v>0</v>
      </c>
      <c r="W18" s="5"/>
      <c r="X18" s="22">
        <f t="shared" ref="X18:X52" si="6">+P18-T18</f>
        <v>-52119.059999999939</v>
      </c>
      <c r="Y18" s="5"/>
      <c r="Z18" s="32">
        <f t="shared" ref="Z18:Z52" si="7">IF(T18=0,0,X18/T18)</f>
        <v>-0.10244563084600003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13244.4</v>
      </c>
      <c r="E19" s="2"/>
      <c r="F19" s="6">
        <f t="shared" si="0"/>
        <v>0</v>
      </c>
      <c r="G19" s="2"/>
      <c r="H19" s="2">
        <f>SUM(OSRRefH22_0x_0)</f>
        <v>12334.470000000001</v>
      </c>
      <c r="I19" s="2"/>
      <c r="J19" s="6">
        <f t="shared" si="1"/>
        <v>0</v>
      </c>
      <c r="K19" s="2"/>
      <c r="L19" s="2">
        <f t="shared" si="2"/>
        <v>909.92999999999847</v>
      </c>
      <c r="M19" s="2"/>
      <c r="N19" s="6">
        <f t="shared" si="3"/>
        <v>7.3771309184747974E-2</v>
      </c>
      <c r="O19" s="14"/>
      <c r="P19" s="2">
        <f>SUM(OSRRefP22_0x_0)</f>
        <v>115372.12999999999</v>
      </c>
      <c r="Q19" s="2"/>
      <c r="R19" s="6">
        <f t="shared" si="4"/>
        <v>0</v>
      </c>
      <c r="S19" s="2"/>
      <c r="T19" s="2">
        <f>SUM(OSRRefT22_0x_0)</f>
        <v>121362.69</v>
      </c>
      <c r="U19" s="2"/>
      <c r="V19" s="6">
        <f t="shared" si="5"/>
        <v>0</v>
      </c>
      <c r="W19" s="2"/>
      <c r="X19" s="2">
        <f t="shared" si="6"/>
        <v>-5990.5600000000122</v>
      </c>
      <c r="Y19" s="2"/>
      <c r="Z19" s="6">
        <f t="shared" si="7"/>
        <v>-4.9360804379006529E-2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2221.14</v>
      </c>
      <c r="E20" s="3"/>
      <c r="F20" s="7">
        <f t="shared" si="0"/>
        <v>0</v>
      </c>
      <c r="G20" s="3"/>
      <c r="H20" s="8">
        <v>2134.3200000000002</v>
      </c>
      <c r="I20" s="3"/>
      <c r="J20" s="7">
        <f t="shared" si="1"/>
        <v>0</v>
      </c>
      <c r="K20" s="3"/>
      <c r="L20" s="8">
        <f t="shared" si="2"/>
        <v>86.819999999999709</v>
      </c>
      <c r="M20" s="3"/>
      <c r="N20" s="7">
        <f t="shared" si="3"/>
        <v>4.0678061396603932E-2</v>
      </c>
      <c r="O20" s="12"/>
      <c r="P20" s="8">
        <v>15988.11</v>
      </c>
      <c r="Q20" s="3"/>
      <c r="R20" s="7">
        <f t="shared" si="4"/>
        <v>0</v>
      </c>
      <c r="S20" s="3"/>
      <c r="T20" s="8">
        <v>17676.310000000001</v>
      </c>
      <c r="U20" s="3"/>
      <c r="V20" s="7">
        <f t="shared" si="5"/>
        <v>0</v>
      </c>
      <c r="W20" s="3"/>
      <c r="X20" s="8">
        <f t="shared" si="6"/>
        <v>-1688.2000000000007</v>
      </c>
      <c r="Y20" s="3"/>
      <c r="Z20" s="7">
        <f t="shared" si="7"/>
        <v>-9.5506358510345238E-2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248.65</v>
      </c>
      <c r="E21" s="3"/>
      <c r="F21" s="7">
        <f t="shared" si="0"/>
        <v>0</v>
      </c>
      <c r="G21" s="3"/>
      <c r="H21" s="8">
        <v>61.13</v>
      </c>
      <c r="I21" s="3"/>
      <c r="J21" s="7">
        <f t="shared" si="1"/>
        <v>0</v>
      </c>
      <c r="K21" s="3"/>
      <c r="L21" s="8">
        <f t="shared" si="2"/>
        <v>187.52</v>
      </c>
      <c r="M21" s="3"/>
      <c r="N21" s="7">
        <f t="shared" si="3"/>
        <v>3.0675609357107803</v>
      </c>
      <c r="O21" s="12"/>
      <c r="P21" s="8">
        <v>2562.91</v>
      </c>
      <c r="Q21" s="3"/>
      <c r="R21" s="7">
        <f t="shared" si="4"/>
        <v>0</v>
      </c>
      <c r="S21" s="3"/>
      <c r="T21" s="8">
        <v>783.98</v>
      </c>
      <c r="U21" s="3"/>
      <c r="V21" s="7">
        <f t="shared" si="5"/>
        <v>0</v>
      </c>
      <c r="W21" s="3"/>
      <c r="X21" s="8">
        <f t="shared" si="6"/>
        <v>1778.9299999999998</v>
      </c>
      <c r="Y21" s="3"/>
      <c r="Z21" s="7">
        <f t="shared" si="7"/>
        <v>2.2691012525829737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4446.67</v>
      </c>
      <c r="E22" s="3"/>
      <c r="F22" s="7">
        <f t="shared" si="0"/>
        <v>0</v>
      </c>
      <c r="G22" s="3"/>
      <c r="H22" s="8">
        <v>4844.5200000000004</v>
      </c>
      <c r="I22" s="3"/>
      <c r="J22" s="7">
        <f t="shared" si="1"/>
        <v>0</v>
      </c>
      <c r="K22" s="3"/>
      <c r="L22" s="8">
        <f t="shared" si="2"/>
        <v>-397.85000000000036</v>
      </c>
      <c r="M22" s="3"/>
      <c r="N22" s="7">
        <f t="shared" si="3"/>
        <v>-8.2123719171352444E-2</v>
      </c>
      <c r="O22" s="12"/>
      <c r="P22" s="8">
        <v>46820.05</v>
      </c>
      <c r="Q22" s="3"/>
      <c r="R22" s="7">
        <f t="shared" si="4"/>
        <v>0</v>
      </c>
      <c r="S22" s="3"/>
      <c r="T22" s="8">
        <v>52758.46</v>
      </c>
      <c r="U22" s="3"/>
      <c r="V22" s="7">
        <f t="shared" si="5"/>
        <v>0</v>
      </c>
      <c r="W22" s="3"/>
      <c r="X22" s="8">
        <f t="shared" si="6"/>
        <v>-5938.4099999999962</v>
      </c>
      <c r="Y22" s="3"/>
      <c r="Z22" s="7">
        <f t="shared" si="7"/>
        <v>-0.1125584408642708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50.12</v>
      </c>
      <c r="E23" s="3"/>
      <c r="F23" s="7">
        <f t="shared" si="0"/>
        <v>0</v>
      </c>
      <c r="G23" s="3"/>
      <c r="H23" s="8">
        <v>48.16</v>
      </c>
      <c r="I23" s="3"/>
      <c r="J23" s="7">
        <f t="shared" si="1"/>
        <v>0</v>
      </c>
      <c r="K23" s="3"/>
      <c r="L23" s="8">
        <f t="shared" si="2"/>
        <v>1.9600000000000009</v>
      </c>
      <c r="M23" s="3"/>
      <c r="N23" s="7">
        <f t="shared" si="3"/>
        <v>4.0697674418604675E-2</v>
      </c>
      <c r="O23" s="12"/>
      <c r="P23" s="8">
        <v>516.55999999999995</v>
      </c>
      <c r="Q23" s="3"/>
      <c r="R23" s="7">
        <f t="shared" si="4"/>
        <v>0</v>
      </c>
      <c r="S23" s="3"/>
      <c r="T23" s="8">
        <v>578.5</v>
      </c>
      <c r="U23" s="3"/>
      <c r="V23" s="7">
        <f t="shared" si="5"/>
        <v>0</v>
      </c>
      <c r="W23" s="3"/>
      <c r="X23" s="8">
        <f t="shared" si="6"/>
        <v>-61.940000000000055</v>
      </c>
      <c r="Y23" s="3"/>
      <c r="Z23" s="7">
        <f t="shared" si="7"/>
        <v>-0.10707000864304245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2336.54</v>
      </c>
      <c r="E24" s="3"/>
      <c r="F24" s="7">
        <f t="shared" si="0"/>
        <v>0</v>
      </c>
      <c r="G24" s="3"/>
      <c r="H24" s="8">
        <v>1861.21</v>
      </c>
      <c r="I24" s="3"/>
      <c r="J24" s="7">
        <f t="shared" si="1"/>
        <v>0</v>
      </c>
      <c r="K24" s="3"/>
      <c r="L24" s="8">
        <f t="shared" si="2"/>
        <v>475.32999999999993</v>
      </c>
      <c r="M24" s="3"/>
      <c r="N24" s="7">
        <f t="shared" si="3"/>
        <v>0.25538762417996891</v>
      </c>
      <c r="O24" s="12"/>
      <c r="P24" s="8">
        <v>20108.5</v>
      </c>
      <c r="Q24" s="3"/>
      <c r="R24" s="7">
        <f t="shared" si="4"/>
        <v>0</v>
      </c>
      <c r="S24" s="3"/>
      <c r="T24" s="8">
        <v>21928.53</v>
      </c>
      <c r="U24" s="3"/>
      <c r="V24" s="7">
        <f t="shared" si="5"/>
        <v>0</v>
      </c>
      <c r="W24" s="3"/>
      <c r="X24" s="8">
        <f t="shared" si="6"/>
        <v>-1820.0299999999988</v>
      </c>
      <c r="Y24" s="3"/>
      <c r="Z24" s="7">
        <f t="shared" si="7"/>
        <v>-8.2998267553730187E-2</v>
      </c>
    </row>
    <row r="25" spans="1:26" s="69" customFormat="1" ht="15" hidden="1" customHeight="1" outlineLevel="2" x14ac:dyDescent="0.3">
      <c r="A25" s="26"/>
      <c r="B25" s="12" t="str">
        <f>CONCATENATE("          ","6117"," - ","RETIREMENT STAFF HOURLY")</f>
        <v xml:space="preserve">          6117 - RETIREMENT STAFF HOURLY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912.28</v>
      </c>
      <c r="U25" s="3"/>
      <c r="V25" s="7">
        <f t="shared" si="5"/>
        <v>0</v>
      </c>
      <c r="W25" s="3"/>
      <c r="X25" s="8">
        <f t="shared" si="6"/>
        <v>-912.28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2240.94</v>
      </c>
      <c r="E26" s="3"/>
      <c r="F26" s="7">
        <f t="shared" si="0"/>
        <v>0</v>
      </c>
      <c r="G26" s="3"/>
      <c r="H26" s="8">
        <v>2017.92</v>
      </c>
      <c r="I26" s="3"/>
      <c r="J26" s="7">
        <f t="shared" si="1"/>
        <v>0</v>
      </c>
      <c r="K26" s="3"/>
      <c r="L26" s="8">
        <f t="shared" si="2"/>
        <v>223.01999999999998</v>
      </c>
      <c r="M26" s="3"/>
      <c r="N26" s="7">
        <f t="shared" si="3"/>
        <v>0.11051974310180779</v>
      </c>
      <c r="O26" s="12"/>
      <c r="P26" s="8">
        <v>16435.21</v>
      </c>
      <c r="Q26" s="3"/>
      <c r="R26" s="7">
        <f t="shared" si="4"/>
        <v>0</v>
      </c>
      <c r="S26" s="3"/>
      <c r="T26" s="8">
        <v>15089.66</v>
      </c>
      <c r="U26" s="3"/>
      <c r="V26" s="7">
        <f t="shared" si="5"/>
        <v>0</v>
      </c>
      <c r="W26" s="3"/>
      <c r="X26" s="8">
        <f t="shared" si="6"/>
        <v>1345.5499999999993</v>
      </c>
      <c r="Y26" s="3"/>
      <c r="Z26" s="7">
        <f t="shared" si="7"/>
        <v>8.9170332532343285E-2</v>
      </c>
    </row>
    <row r="27" spans="1:26" s="69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1316.76</v>
      </c>
      <c r="E27" s="3"/>
      <c r="F27" s="7">
        <f t="shared" si="0"/>
        <v>0</v>
      </c>
      <c r="G27" s="3"/>
      <c r="H27" s="8">
        <v>1266.0899999999999</v>
      </c>
      <c r="I27" s="3"/>
      <c r="J27" s="7">
        <f t="shared" si="1"/>
        <v>0</v>
      </c>
      <c r="K27" s="3"/>
      <c r="L27" s="8">
        <f t="shared" si="2"/>
        <v>50.670000000000073</v>
      </c>
      <c r="M27" s="3"/>
      <c r="N27" s="7">
        <f t="shared" si="3"/>
        <v>4.0020851598227672E-2</v>
      </c>
      <c r="O27" s="12"/>
      <c r="P27" s="8">
        <v>10399.59</v>
      </c>
      <c r="Q27" s="3"/>
      <c r="R27" s="7">
        <f t="shared" si="4"/>
        <v>0</v>
      </c>
      <c r="S27" s="3"/>
      <c r="T27" s="8">
        <v>10059.56</v>
      </c>
      <c r="U27" s="3"/>
      <c r="V27" s="7">
        <f t="shared" si="5"/>
        <v>0</v>
      </c>
      <c r="W27" s="3"/>
      <c r="X27" s="8">
        <f t="shared" si="6"/>
        <v>340.03000000000065</v>
      </c>
      <c r="Y27" s="3"/>
      <c r="Z27" s="7">
        <f t="shared" si="7"/>
        <v>3.3801677210534127E-2</v>
      </c>
    </row>
    <row r="28" spans="1:26" s="69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383.58</v>
      </c>
      <c r="E28" s="3"/>
      <c r="F28" s="7">
        <f t="shared" si="0"/>
        <v>0</v>
      </c>
      <c r="G28" s="3"/>
      <c r="H28" s="8">
        <v>101.12</v>
      </c>
      <c r="I28" s="3"/>
      <c r="J28" s="7">
        <f t="shared" si="1"/>
        <v>0</v>
      </c>
      <c r="K28" s="3"/>
      <c r="L28" s="8">
        <f t="shared" si="2"/>
        <v>282.45999999999998</v>
      </c>
      <c r="M28" s="3"/>
      <c r="N28" s="7">
        <f t="shared" si="3"/>
        <v>2.7933148734177213</v>
      </c>
      <c r="O28" s="12"/>
      <c r="P28" s="8">
        <v>2541.1999999999998</v>
      </c>
      <c r="Q28" s="3"/>
      <c r="R28" s="7">
        <f t="shared" si="4"/>
        <v>0</v>
      </c>
      <c r="S28" s="3"/>
      <c r="T28" s="8">
        <v>1575.41</v>
      </c>
      <c r="U28" s="3"/>
      <c r="V28" s="7">
        <f t="shared" si="5"/>
        <v>0</v>
      </c>
      <c r="W28" s="3"/>
      <c r="X28" s="8">
        <f t="shared" si="6"/>
        <v>965.78999999999974</v>
      </c>
      <c r="Y28" s="3"/>
      <c r="Z28" s="7">
        <f t="shared" si="7"/>
        <v>0.61304041487612726</v>
      </c>
    </row>
    <row r="29" spans="1:26" s="68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20755.439999999999</v>
      </c>
      <c r="E29" s="2"/>
      <c r="F29" s="6">
        <f t="shared" si="0"/>
        <v>0</v>
      </c>
      <c r="G29" s="2"/>
      <c r="H29" s="2">
        <f>SUM(OSRRefH22_1x_0)</f>
        <v>20593.09</v>
      </c>
      <c r="I29" s="2"/>
      <c r="J29" s="6">
        <f t="shared" si="1"/>
        <v>0</v>
      </c>
      <c r="K29" s="2"/>
      <c r="L29" s="2">
        <f t="shared" si="2"/>
        <v>162.34999999999854</v>
      </c>
      <c r="M29" s="2"/>
      <c r="N29" s="6">
        <f t="shared" si="3"/>
        <v>7.8837124491758417E-3</v>
      </c>
      <c r="O29" s="14"/>
      <c r="P29" s="2">
        <f>SUM(OSRRefP22_1x_0)</f>
        <v>189515.64</v>
      </c>
      <c r="Q29" s="2"/>
      <c r="R29" s="6">
        <f t="shared" si="4"/>
        <v>0</v>
      </c>
      <c r="S29" s="2"/>
      <c r="T29" s="2">
        <f>SUM(OSRRefT22_1x_0)</f>
        <v>201726.91999999998</v>
      </c>
      <c r="U29" s="2"/>
      <c r="V29" s="6">
        <f t="shared" si="5"/>
        <v>0</v>
      </c>
      <c r="W29" s="2"/>
      <c r="X29" s="2">
        <f t="shared" si="6"/>
        <v>-12211.27999999997</v>
      </c>
      <c r="Y29" s="2"/>
      <c r="Z29" s="6">
        <f t="shared" si="7"/>
        <v>-6.053371557945747E-2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20755.439999999999</v>
      </c>
      <c r="E30" s="3"/>
      <c r="F30" s="7">
        <f t="shared" si="0"/>
        <v>0</v>
      </c>
      <c r="G30" s="3"/>
      <c r="H30" s="8">
        <v>20593.09</v>
      </c>
      <c r="I30" s="3"/>
      <c r="J30" s="7">
        <f t="shared" si="1"/>
        <v>0</v>
      </c>
      <c r="K30" s="3"/>
      <c r="L30" s="8">
        <f t="shared" si="2"/>
        <v>162.34999999999854</v>
      </c>
      <c r="M30" s="3"/>
      <c r="N30" s="7">
        <f t="shared" si="3"/>
        <v>7.8837124491758417E-3</v>
      </c>
      <c r="O30" s="12"/>
      <c r="P30" s="8">
        <v>189515.64</v>
      </c>
      <c r="Q30" s="3"/>
      <c r="R30" s="7">
        <f t="shared" si="4"/>
        <v>0</v>
      </c>
      <c r="S30" s="3"/>
      <c r="T30" s="8">
        <v>187513.68</v>
      </c>
      <c r="U30" s="3"/>
      <c r="V30" s="7">
        <f t="shared" si="5"/>
        <v>0</v>
      </c>
      <c r="W30" s="3"/>
      <c r="X30" s="8">
        <f t="shared" si="6"/>
        <v>2001.960000000021</v>
      </c>
      <c r="Y30" s="3"/>
      <c r="Z30" s="7">
        <f t="shared" si="7"/>
        <v>1.0676341054156801E-2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14213.24</v>
      </c>
      <c r="U31" s="3"/>
      <c r="V31" s="7">
        <f t="shared" si="5"/>
        <v>0</v>
      </c>
      <c r="W31" s="3"/>
      <c r="X31" s="8">
        <f t="shared" si="6"/>
        <v>-14213.24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","6007"," - ","STUDENT HOURLY")</f>
        <v xml:space="preserve">          6007 - STUDENT 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0</v>
      </c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","Depreciation                                      ")</f>
        <v xml:space="preserve">     Depreciation                                      </v>
      </c>
      <c r="C33" s="14"/>
      <c r="D33" s="2">
        <f>SUM(OSRRefD22_2x_0)</f>
        <v>2140.89</v>
      </c>
      <c r="E33" s="2"/>
      <c r="F33" s="6">
        <f t="shared" si="0"/>
        <v>0</v>
      </c>
      <c r="G33" s="2"/>
      <c r="H33" s="2">
        <f>SUM(OSRRefH22_2x_0)</f>
        <v>4994.01</v>
      </c>
      <c r="I33" s="2"/>
      <c r="J33" s="6">
        <f t="shared" si="1"/>
        <v>0</v>
      </c>
      <c r="K33" s="2"/>
      <c r="L33" s="2">
        <f t="shared" si="2"/>
        <v>-2853.1200000000003</v>
      </c>
      <c r="M33" s="2"/>
      <c r="N33" s="6">
        <f t="shared" si="3"/>
        <v>-0.57130842749614041</v>
      </c>
      <c r="O33" s="14"/>
      <c r="P33" s="2">
        <f>SUM(OSRRefP22_2x_0)</f>
        <v>30281.34</v>
      </c>
      <c r="Q33" s="2"/>
      <c r="R33" s="6">
        <f t="shared" si="4"/>
        <v>0</v>
      </c>
      <c r="S33" s="2"/>
      <c r="T33" s="2">
        <f>SUM(OSRRefT22_2x_0)</f>
        <v>51510.8</v>
      </c>
      <c r="U33" s="2"/>
      <c r="V33" s="6">
        <f t="shared" si="5"/>
        <v>0</v>
      </c>
      <c r="W33" s="2"/>
      <c r="X33" s="2">
        <f t="shared" si="6"/>
        <v>-21229.460000000003</v>
      </c>
      <c r="Y33" s="2"/>
      <c r="Z33" s="6">
        <f t="shared" si="7"/>
        <v>-0.41213609573138066</v>
      </c>
    </row>
    <row r="34" spans="1:26" s="69" customFormat="1" ht="15" hidden="1" customHeight="1" outlineLevel="2" x14ac:dyDescent="0.3">
      <c r="A34" s="26"/>
      <c r="B34" s="12" t="str">
        <f>CONCATENATE("          ","6322"," - ","EQUIPMENT DEPRECIATION EXPENSE")</f>
        <v xml:space="preserve">          6322 - EQUIPMENT DEPRECIATION EXPENSE</v>
      </c>
      <c r="C34" s="12"/>
      <c r="D34" s="8">
        <v>2140.89</v>
      </c>
      <c r="E34" s="3"/>
      <c r="F34" s="7">
        <f t="shared" si="0"/>
        <v>0</v>
      </c>
      <c r="G34" s="3"/>
      <c r="H34" s="8">
        <v>4994.01</v>
      </c>
      <c r="I34" s="3"/>
      <c r="J34" s="7">
        <f t="shared" si="1"/>
        <v>0</v>
      </c>
      <c r="K34" s="3"/>
      <c r="L34" s="8">
        <f t="shared" si="2"/>
        <v>-2853.1200000000003</v>
      </c>
      <c r="M34" s="3"/>
      <c r="N34" s="7">
        <f t="shared" si="3"/>
        <v>-0.57130842749614041</v>
      </c>
      <c r="O34" s="12"/>
      <c r="P34" s="8">
        <v>30281.34</v>
      </c>
      <c r="Q34" s="3"/>
      <c r="R34" s="7">
        <f t="shared" si="4"/>
        <v>0</v>
      </c>
      <c r="S34" s="3"/>
      <c r="T34" s="8">
        <v>51510.8</v>
      </c>
      <c r="U34" s="3"/>
      <c r="V34" s="7">
        <f t="shared" si="5"/>
        <v>0</v>
      </c>
      <c r="W34" s="3"/>
      <c r="X34" s="8">
        <f t="shared" si="6"/>
        <v>-21229.460000000003</v>
      </c>
      <c r="Y34" s="3"/>
      <c r="Z34" s="7">
        <f t="shared" si="7"/>
        <v>-0.41213609573138066</v>
      </c>
    </row>
    <row r="35" spans="1:26" s="68" customFormat="1" ht="15" customHeight="1" outlineLevel="1" collapsed="1" x14ac:dyDescent="0.3">
      <c r="A35" s="25"/>
      <c r="B35" s="14" t="str">
        <f>CONCATENATE("     ","Freight out/Postage                               ")</f>
        <v xml:space="preserve">     Freight out/Postage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5.7</v>
      </c>
      <c r="U35" s="2"/>
      <c r="V35" s="6">
        <f t="shared" si="5"/>
        <v>0</v>
      </c>
      <c r="W35" s="2"/>
      <c r="X35" s="2">
        <f t="shared" si="6"/>
        <v>-5.7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","6307"," - ","POSTAGE")</f>
        <v xml:space="preserve">          6307 - POSTAGE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5.7</v>
      </c>
      <c r="U36" s="3"/>
      <c r="V36" s="7">
        <f t="shared" si="5"/>
        <v>0</v>
      </c>
      <c r="W36" s="3"/>
      <c r="X36" s="8">
        <f t="shared" si="6"/>
        <v>-5.7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","Insurance                                         ")</f>
        <v xml:space="preserve">     Insurance                                         </v>
      </c>
      <c r="C37" s="14"/>
      <c r="D37" s="2">
        <f>SUM(OSRRefD22_4x_0)</f>
        <v>76.569999999999993</v>
      </c>
      <c r="E37" s="2"/>
      <c r="F37" s="6">
        <f t="shared" si="0"/>
        <v>0</v>
      </c>
      <c r="G37" s="2"/>
      <c r="H37" s="2">
        <f>SUM(OSRRefH22_4x_0)</f>
        <v>56.34</v>
      </c>
      <c r="I37" s="2"/>
      <c r="J37" s="6">
        <f t="shared" si="1"/>
        <v>0</v>
      </c>
      <c r="K37" s="2"/>
      <c r="L37" s="2">
        <f t="shared" si="2"/>
        <v>20.22999999999999</v>
      </c>
      <c r="M37" s="2"/>
      <c r="N37" s="6">
        <f t="shared" si="3"/>
        <v>0.35906993255236047</v>
      </c>
      <c r="O37" s="14"/>
      <c r="P37" s="2">
        <f>SUM(OSRRefP22_4x_0)</f>
        <v>765.7</v>
      </c>
      <c r="Q37" s="2"/>
      <c r="R37" s="6">
        <f t="shared" si="4"/>
        <v>0</v>
      </c>
      <c r="S37" s="2"/>
      <c r="T37" s="2">
        <f>SUM(OSRRefT22_4x_0)</f>
        <v>563.4</v>
      </c>
      <c r="U37" s="2"/>
      <c r="V37" s="6">
        <f t="shared" si="5"/>
        <v>0</v>
      </c>
      <c r="W37" s="2"/>
      <c r="X37" s="2">
        <f t="shared" si="6"/>
        <v>202.30000000000007</v>
      </c>
      <c r="Y37" s="2"/>
      <c r="Z37" s="6">
        <f t="shared" si="7"/>
        <v>0.3590699325523608</v>
      </c>
    </row>
    <row r="38" spans="1:26" s="69" customFormat="1" ht="15" hidden="1" customHeight="1" outlineLevel="2" x14ac:dyDescent="0.3">
      <c r="A38" s="26"/>
      <c r="B38" s="12" t="str">
        <f>CONCATENATE("          ","6314"," - ","LIABILITY INSURANCE")</f>
        <v xml:space="preserve">          6314 - LIABILITY INSURANCE</v>
      </c>
      <c r="C38" s="12"/>
      <c r="D38" s="8">
        <v>76.569999999999993</v>
      </c>
      <c r="E38" s="3"/>
      <c r="F38" s="7">
        <f t="shared" si="0"/>
        <v>0</v>
      </c>
      <c r="G38" s="3"/>
      <c r="H38" s="8">
        <v>56.34</v>
      </c>
      <c r="I38" s="3"/>
      <c r="J38" s="7">
        <f t="shared" si="1"/>
        <v>0</v>
      </c>
      <c r="K38" s="3"/>
      <c r="L38" s="8">
        <f t="shared" si="2"/>
        <v>20.22999999999999</v>
      </c>
      <c r="M38" s="3"/>
      <c r="N38" s="7">
        <f t="shared" si="3"/>
        <v>0.35906993255236047</v>
      </c>
      <c r="O38" s="12"/>
      <c r="P38" s="8">
        <v>765.7</v>
      </c>
      <c r="Q38" s="3"/>
      <c r="R38" s="7">
        <f t="shared" si="4"/>
        <v>0</v>
      </c>
      <c r="S38" s="3"/>
      <c r="T38" s="8">
        <v>563.4</v>
      </c>
      <c r="U38" s="3"/>
      <c r="V38" s="7">
        <f t="shared" si="5"/>
        <v>0</v>
      </c>
      <c r="W38" s="3"/>
      <c r="X38" s="8">
        <f t="shared" si="6"/>
        <v>202.30000000000007</v>
      </c>
      <c r="Y38" s="3"/>
      <c r="Z38" s="7">
        <f t="shared" si="7"/>
        <v>0.3590699325523608</v>
      </c>
    </row>
    <row r="39" spans="1:26" s="68" customFormat="1" ht="15" customHeight="1" outlineLevel="1" collapsed="1" x14ac:dyDescent="0.3">
      <c r="A39" s="25"/>
      <c r="B39" s="14" t="str">
        <f>CONCATENATE("     ","Repair and Maintenance                            ")</f>
        <v xml:space="preserve">     Repair and Maintenance                            </v>
      </c>
      <c r="C39" s="14"/>
      <c r="D39" s="2">
        <f>SUM(OSRRefD22_5x_0)</f>
        <v>9796</v>
      </c>
      <c r="E39" s="2"/>
      <c r="F39" s="6">
        <f t="shared" si="0"/>
        <v>0</v>
      </c>
      <c r="G39" s="2"/>
      <c r="H39" s="2">
        <f>SUM(OSRRefH22_5x_0)</f>
        <v>14188.5</v>
      </c>
      <c r="I39" s="2"/>
      <c r="J39" s="6">
        <f t="shared" si="1"/>
        <v>0</v>
      </c>
      <c r="K39" s="2"/>
      <c r="L39" s="2">
        <f t="shared" si="2"/>
        <v>-4392.5</v>
      </c>
      <c r="M39" s="2"/>
      <c r="N39" s="6">
        <f t="shared" si="3"/>
        <v>-0.30958170349226488</v>
      </c>
      <c r="O39" s="14"/>
      <c r="P39" s="2">
        <f>SUM(OSRRefP22_5x_0)</f>
        <v>90056.3</v>
      </c>
      <c r="Q39" s="2"/>
      <c r="R39" s="6">
        <f t="shared" si="4"/>
        <v>0</v>
      </c>
      <c r="S39" s="2"/>
      <c r="T39" s="2">
        <f>SUM(OSRRefT22_5x_0)</f>
        <v>127548.98</v>
      </c>
      <c r="U39" s="2"/>
      <c r="V39" s="6">
        <f t="shared" si="5"/>
        <v>0</v>
      </c>
      <c r="W39" s="2"/>
      <c r="X39" s="2">
        <f t="shared" si="6"/>
        <v>-37492.679999999993</v>
      </c>
      <c r="Y39" s="2"/>
      <c r="Z39" s="6">
        <f t="shared" si="7"/>
        <v>-0.29394731341638319</v>
      </c>
    </row>
    <row r="40" spans="1:26" s="69" customFormat="1" ht="15" hidden="1" customHeight="1" outlineLevel="2" x14ac:dyDescent="0.3">
      <c r="A40" s="26"/>
      <c r="B40" s="12" t="str">
        <f>CONCATENATE("          ","6371"," - ","COMPUTER SOFTWARE MAINTENANCE")</f>
        <v xml:space="preserve">          6371 - COMPUTER SOFTWARE MAINTENANCE</v>
      </c>
      <c r="C40" s="12"/>
      <c r="D40" s="8">
        <v>330</v>
      </c>
      <c r="E40" s="3"/>
      <c r="F40" s="7">
        <f t="shared" si="0"/>
        <v>0</v>
      </c>
      <c r="G40" s="3"/>
      <c r="H40" s="8">
        <v>1996.5</v>
      </c>
      <c r="I40" s="3"/>
      <c r="J40" s="7">
        <f t="shared" si="1"/>
        <v>0</v>
      </c>
      <c r="K40" s="3"/>
      <c r="L40" s="8">
        <f t="shared" si="2"/>
        <v>-1666.5</v>
      </c>
      <c r="M40" s="3"/>
      <c r="N40" s="7">
        <f t="shared" si="3"/>
        <v>-0.83471074380165289</v>
      </c>
      <c r="O40" s="12"/>
      <c r="P40" s="8">
        <v>2423.8200000000002</v>
      </c>
      <c r="Q40" s="3"/>
      <c r="R40" s="7">
        <f t="shared" si="4"/>
        <v>0</v>
      </c>
      <c r="S40" s="3"/>
      <c r="T40" s="8">
        <v>6063.98</v>
      </c>
      <c r="U40" s="3"/>
      <c r="V40" s="7">
        <f t="shared" si="5"/>
        <v>0</v>
      </c>
      <c r="W40" s="3"/>
      <c r="X40" s="8">
        <f t="shared" si="6"/>
        <v>-3640.1599999999994</v>
      </c>
      <c r="Y40" s="3"/>
      <c r="Z40" s="7">
        <f t="shared" si="7"/>
        <v>-0.60029221732261639</v>
      </c>
    </row>
    <row r="41" spans="1:26" s="69" customFormat="1" ht="15" hidden="1" customHeight="1" outlineLevel="2" x14ac:dyDescent="0.3">
      <c r="A41" s="26"/>
      <c r="B41" s="12" t="str">
        <f>CONCATENATE("          ","6372"," - ","COMPUTER HARDWARE MAINTENANCE")</f>
        <v xml:space="preserve">          6372 - COMPUTER HARDWARE MAINTENANCE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4760.47</v>
      </c>
      <c r="Q41" s="3"/>
      <c r="R41" s="7">
        <f t="shared" si="4"/>
        <v>0</v>
      </c>
      <c r="S41" s="3"/>
      <c r="T41" s="8"/>
      <c r="U41" s="3"/>
      <c r="V41" s="7">
        <f t="shared" si="5"/>
        <v>0</v>
      </c>
      <c r="W41" s="3"/>
      <c r="X41" s="8">
        <f t="shared" si="6"/>
        <v>4760.47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","6373"," - ","MAINTENANCE CONTRACTS")</f>
        <v xml:space="preserve">          6373 - MAINTENANCE CONTRACTS</v>
      </c>
      <c r="C42" s="12"/>
      <c r="D42" s="8">
        <v>9466</v>
      </c>
      <c r="E42" s="3"/>
      <c r="F42" s="7">
        <f t="shared" si="0"/>
        <v>0</v>
      </c>
      <c r="G42" s="3"/>
      <c r="H42" s="8">
        <v>12192</v>
      </c>
      <c r="I42" s="3"/>
      <c r="J42" s="7">
        <f t="shared" si="1"/>
        <v>0</v>
      </c>
      <c r="K42" s="3"/>
      <c r="L42" s="8">
        <f t="shared" si="2"/>
        <v>-2726</v>
      </c>
      <c r="M42" s="3"/>
      <c r="N42" s="7">
        <f t="shared" si="3"/>
        <v>-0.22358923884514437</v>
      </c>
      <c r="O42" s="12"/>
      <c r="P42" s="8">
        <v>82824.490000000005</v>
      </c>
      <c r="Q42" s="3"/>
      <c r="R42" s="7">
        <f t="shared" si="4"/>
        <v>0</v>
      </c>
      <c r="S42" s="3"/>
      <c r="T42" s="8">
        <v>121485</v>
      </c>
      <c r="U42" s="3"/>
      <c r="V42" s="7">
        <f t="shared" si="5"/>
        <v>0</v>
      </c>
      <c r="W42" s="3"/>
      <c r="X42" s="8">
        <f t="shared" si="6"/>
        <v>-38660.509999999995</v>
      </c>
      <c r="Y42" s="3"/>
      <c r="Z42" s="7">
        <f t="shared" si="7"/>
        <v>-0.31823278594065108</v>
      </c>
    </row>
    <row r="43" spans="1:26" s="69" customFormat="1" ht="15" hidden="1" customHeight="1" outlineLevel="2" x14ac:dyDescent="0.3">
      <c r="A43" s="26"/>
      <c r="B43" s="12" t="str">
        <f>CONCATENATE("          ","6375"," - ","OUTSIDE REPAIRS &amp; MAINTENANCE")</f>
        <v xml:space="preserve">          6375 - OUTSIDE REPAIRS &amp; MAINTENANCE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47.52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47.52</v>
      </c>
      <c r="Y43" s="3"/>
      <c r="Z43" s="7">
        <f t="shared" si="7"/>
        <v>0</v>
      </c>
    </row>
    <row r="44" spans="1:26" s="68" customFormat="1" ht="15" customHeight="1" outlineLevel="1" collapsed="1" x14ac:dyDescent="0.3">
      <c r="A44" s="25"/>
      <c r="B44" s="14" t="str">
        <f>CONCATENATE("     ","Supplies                                          ")</f>
        <v xml:space="preserve">     Supplies                                          </v>
      </c>
      <c r="C44" s="14"/>
      <c r="D44" s="2">
        <f>SUM(OSRRefD22_6x_0)</f>
        <v>0</v>
      </c>
      <c r="E44" s="2"/>
      <c r="F44" s="6">
        <f t="shared" si="0"/>
        <v>0</v>
      </c>
      <c r="G44" s="2"/>
      <c r="H44" s="2">
        <f>SUM(OSRRefH22_6x_0)</f>
        <v>59.15</v>
      </c>
      <c r="I44" s="2"/>
      <c r="J44" s="6">
        <f t="shared" si="1"/>
        <v>0</v>
      </c>
      <c r="K44" s="2"/>
      <c r="L44" s="2">
        <f t="shared" si="2"/>
        <v>-59.15</v>
      </c>
      <c r="M44" s="2"/>
      <c r="N44" s="6">
        <f t="shared" si="3"/>
        <v>-1</v>
      </c>
      <c r="O44" s="14"/>
      <c r="P44" s="2">
        <f>SUM(OSRRefP22_6x_0)</f>
        <v>21575.08</v>
      </c>
      <c r="Q44" s="2"/>
      <c r="R44" s="6">
        <f t="shared" si="4"/>
        <v>0</v>
      </c>
      <c r="S44" s="2"/>
      <c r="T44" s="2">
        <f>SUM(OSRRefT22_6x_0)</f>
        <v>-1728.07</v>
      </c>
      <c r="U44" s="2"/>
      <c r="V44" s="6">
        <f t="shared" si="5"/>
        <v>0</v>
      </c>
      <c r="W44" s="2"/>
      <c r="X44" s="2">
        <f t="shared" si="6"/>
        <v>23303.15</v>
      </c>
      <c r="Y44" s="2"/>
      <c r="Z44" s="6">
        <f t="shared" si="7"/>
        <v>-13.485072942647001</v>
      </c>
    </row>
    <row r="45" spans="1:26" s="69" customFormat="1" ht="15" hidden="1" customHeight="1" outlineLevel="2" x14ac:dyDescent="0.3">
      <c r="A45" s="26"/>
      <c r="B45" s="12" t="str">
        <f>CONCATENATE("          ","6241"," - ","OFFICE EXPENSE")</f>
        <v xml:space="preserve">          6241 - OFFICE EXPENSE</v>
      </c>
      <c r="C45" s="12"/>
      <c r="D45" s="8"/>
      <c r="E45" s="3"/>
      <c r="F45" s="7">
        <f t="shared" si="0"/>
        <v>0</v>
      </c>
      <c r="G45" s="3"/>
      <c r="H45" s="8">
        <v>59.15</v>
      </c>
      <c r="I45" s="3"/>
      <c r="J45" s="7">
        <f t="shared" si="1"/>
        <v>0</v>
      </c>
      <c r="K45" s="3"/>
      <c r="L45" s="8">
        <f t="shared" si="2"/>
        <v>-59.15</v>
      </c>
      <c r="M45" s="3"/>
      <c r="N45" s="7">
        <f t="shared" si="3"/>
        <v>-1</v>
      </c>
      <c r="O45" s="12"/>
      <c r="P45" s="8">
        <v>21575.08</v>
      </c>
      <c r="Q45" s="3"/>
      <c r="R45" s="7">
        <f t="shared" si="4"/>
        <v>0</v>
      </c>
      <c r="S45" s="3"/>
      <c r="T45" s="8">
        <v>-1728.07</v>
      </c>
      <c r="U45" s="3"/>
      <c r="V45" s="7">
        <f t="shared" si="5"/>
        <v>0</v>
      </c>
      <c r="W45" s="3"/>
      <c r="X45" s="8">
        <f t="shared" si="6"/>
        <v>23303.15</v>
      </c>
      <c r="Y45" s="3"/>
      <c r="Z45" s="7">
        <f t="shared" si="7"/>
        <v>-13.485072942647001</v>
      </c>
    </row>
    <row r="46" spans="1:26" s="68" customFormat="1" ht="15" customHeight="1" outlineLevel="1" collapsed="1" x14ac:dyDescent="0.3">
      <c r="A46" s="25"/>
      <c r="B46" s="14" t="str">
        <f>CONCATENATE("     ","Telephone/Data Lines                              ")</f>
        <v xml:space="preserve">     Telephone/Data Lines                              </v>
      </c>
      <c r="C46" s="14"/>
      <c r="D46" s="2">
        <f>SUM(OSRRefD22_7x_0)</f>
        <v>1152.51</v>
      </c>
      <c r="E46" s="2"/>
      <c r="F46" s="6">
        <f t="shared" si="0"/>
        <v>0</v>
      </c>
      <c r="G46" s="2"/>
      <c r="H46" s="2">
        <f>SUM(OSRRefH22_7x_0)</f>
        <v>362.33</v>
      </c>
      <c r="I46" s="2"/>
      <c r="J46" s="6">
        <f t="shared" si="1"/>
        <v>0</v>
      </c>
      <c r="K46" s="2"/>
      <c r="L46" s="2">
        <f t="shared" si="2"/>
        <v>790.18000000000006</v>
      </c>
      <c r="M46" s="2"/>
      <c r="N46" s="6">
        <f t="shared" si="3"/>
        <v>2.1808296304473824</v>
      </c>
      <c r="O46" s="14"/>
      <c r="P46" s="2">
        <f>SUM(OSRRefP22_7x_0)</f>
        <v>8565.24</v>
      </c>
      <c r="Q46" s="2"/>
      <c r="R46" s="6">
        <f t="shared" si="4"/>
        <v>0</v>
      </c>
      <c r="S46" s="2"/>
      <c r="T46" s="2">
        <f>SUM(OSRRefT22_7x_0)</f>
        <v>7260.07</v>
      </c>
      <c r="U46" s="2"/>
      <c r="V46" s="6">
        <f t="shared" si="5"/>
        <v>0</v>
      </c>
      <c r="W46" s="2"/>
      <c r="X46" s="2">
        <f t="shared" si="6"/>
        <v>1305.17</v>
      </c>
      <c r="Y46" s="2"/>
      <c r="Z46" s="6">
        <f t="shared" si="7"/>
        <v>0.17977374873795984</v>
      </c>
    </row>
    <row r="47" spans="1:26" s="69" customFormat="1" ht="15" hidden="1" customHeight="1" outlineLevel="2" x14ac:dyDescent="0.3">
      <c r="A47" s="26"/>
      <c r="B47" s="12" t="str">
        <f>CONCATENATE("          ","6303"," - ","DATA PHONE LINES")</f>
        <v xml:space="preserve">          6303 - DATA PHONE LINES</v>
      </c>
      <c r="C47" s="12"/>
      <c r="D47" s="8">
        <v>265.95999999999998</v>
      </c>
      <c r="E47" s="3"/>
      <c r="F47" s="7">
        <f t="shared" si="0"/>
        <v>0</v>
      </c>
      <c r="G47" s="3"/>
      <c r="H47" s="8">
        <v>161.97999999999999</v>
      </c>
      <c r="I47" s="3"/>
      <c r="J47" s="7">
        <f t="shared" si="1"/>
        <v>0</v>
      </c>
      <c r="K47" s="3"/>
      <c r="L47" s="8">
        <f t="shared" si="2"/>
        <v>103.97999999999999</v>
      </c>
      <c r="M47" s="3"/>
      <c r="N47" s="7">
        <f t="shared" si="3"/>
        <v>0.64193110260525987</v>
      </c>
      <c r="O47" s="12"/>
      <c r="P47" s="8">
        <v>1690.79</v>
      </c>
      <c r="Q47" s="3"/>
      <c r="R47" s="7">
        <f t="shared" si="4"/>
        <v>0</v>
      </c>
      <c r="S47" s="3"/>
      <c r="T47" s="8">
        <v>1403.82</v>
      </c>
      <c r="U47" s="3"/>
      <c r="V47" s="7">
        <f t="shared" si="5"/>
        <v>0</v>
      </c>
      <c r="W47" s="3"/>
      <c r="X47" s="8">
        <f t="shared" si="6"/>
        <v>286.97000000000003</v>
      </c>
      <c r="Y47" s="3"/>
      <c r="Z47" s="7">
        <f t="shared" si="7"/>
        <v>0.2044207946887778</v>
      </c>
    </row>
    <row r="48" spans="1:26" s="69" customFormat="1" ht="15" hidden="1" customHeight="1" outlineLevel="2" x14ac:dyDescent="0.3">
      <c r="A48" s="26"/>
      <c r="B48" s="12" t="str">
        <f>CONCATENATE("          ","6309"," - ","TELEPHONE")</f>
        <v xml:space="preserve">          6309 - TELEPHONE</v>
      </c>
      <c r="C48" s="12"/>
      <c r="D48" s="8">
        <v>886.55</v>
      </c>
      <c r="E48" s="3"/>
      <c r="F48" s="7">
        <f t="shared" si="0"/>
        <v>0</v>
      </c>
      <c r="G48" s="3"/>
      <c r="H48" s="8">
        <v>200.35</v>
      </c>
      <c r="I48" s="3"/>
      <c r="J48" s="7">
        <f t="shared" si="1"/>
        <v>0</v>
      </c>
      <c r="K48" s="3"/>
      <c r="L48" s="8">
        <f t="shared" si="2"/>
        <v>686.19999999999993</v>
      </c>
      <c r="M48" s="3"/>
      <c r="N48" s="7">
        <f t="shared" si="3"/>
        <v>3.4250062390816067</v>
      </c>
      <c r="O48" s="12"/>
      <c r="P48" s="8">
        <v>6874.45</v>
      </c>
      <c r="Q48" s="3"/>
      <c r="R48" s="7">
        <f t="shared" si="4"/>
        <v>0</v>
      </c>
      <c r="S48" s="3"/>
      <c r="T48" s="8">
        <v>5856.25</v>
      </c>
      <c r="U48" s="3"/>
      <c r="V48" s="7">
        <f t="shared" si="5"/>
        <v>0</v>
      </c>
      <c r="W48" s="3"/>
      <c r="X48" s="8">
        <f t="shared" si="6"/>
        <v>1018.1999999999998</v>
      </c>
      <c r="Y48" s="3"/>
      <c r="Z48" s="7">
        <f t="shared" si="7"/>
        <v>0.17386552828175023</v>
      </c>
    </row>
    <row r="49" spans="1:26" s="68" customFormat="1" ht="15" customHeight="1" outlineLevel="1" collapsed="1" x14ac:dyDescent="0.3">
      <c r="A49" s="25"/>
      <c r="B49" s="14" t="str">
        <f>CONCATENATE("     ","Training                                          ")</f>
        <v xml:space="preserve">     Training                                          </v>
      </c>
      <c r="C49" s="14"/>
      <c r="D49" s="2">
        <f>SUM(OSRRefD22_8x_0)</f>
        <v>399</v>
      </c>
      <c r="E49" s="2"/>
      <c r="F49" s="6">
        <f t="shared" si="0"/>
        <v>0</v>
      </c>
      <c r="G49" s="2"/>
      <c r="H49" s="2">
        <f>SUM(OSRRefH22_8x_0)</f>
        <v>0</v>
      </c>
      <c r="I49" s="2"/>
      <c r="J49" s="6">
        <f t="shared" si="1"/>
        <v>0</v>
      </c>
      <c r="K49" s="2"/>
      <c r="L49" s="2">
        <f t="shared" si="2"/>
        <v>399</v>
      </c>
      <c r="M49" s="2"/>
      <c r="N49" s="6">
        <f t="shared" si="3"/>
        <v>0</v>
      </c>
      <c r="O49" s="14"/>
      <c r="P49" s="2">
        <f>SUM(OSRRefP22_8x_0)</f>
        <v>498</v>
      </c>
      <c r="Q49" s="2"/>
      <c r="R49" s="6">
        <f t="shared" si="4"/>
        <v>0</v>
      </c>
      <c r="S49" s="2"/>
      <c r="T49" s="2">
        <f>SUM(OSRRefT22_8x_0)</f>
        <v>498</v>
      </c>
      <c r="U49" s="2"/>
      <c r="V49" s="6">
        <f t="shared" si="5"/>
        <v>0</v>
      </c>
      <c r="W49" s="2"/>
      <c r="X49" s="2">
        <f t="shared" si="6"/>
        <v>0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","6376"," - ","TRAINING")</f>
        <v xml:space="preserve">          6376 - TRAINING</v>
      </c>
      <c r="C50" s="12"/>
      <c r="D50" s="8">
        <v>399</v>
      </c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399</v>
      </c>
      <c r="M50" s="3"/>
      <c r="N50" s="7">
        <f t="shared" si="3"/>
        <v>0</v>
      </c>
      <c r="O50" s="12"/>
      <c r="P50" s="8">
        <v>498</v>
      </c>
      <c r="Q50" s="3"/>
      <c r="R50" s="7">
        <f t="shared" si="4"/>
        <v>0</v>
      </c>
      <c r="S50" s="3"/>
      <c r="T50" s="8">
        <v>498</v>
      </c>
      <c r="U50" s="3"/>
      <c r="V50" s="7">
        <f t="shared" si="5"/>
        <v>0</v>
      </c>
      <c r="W50" s="3"/>
      <c r="X50" s="8">
        <f t="shared" si="6"/>
        <v>0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5"/>
      <c r="B51" s="14" t="str">
        <f>CONCATENATE("     ","Travel                                            ")</f>
        <v xml:space="preserve">     Travel                                            </v>
      </c>
      <c r="C51" s="14"/>
      <c r="D51" s="2">
        <f>SUM(OSRRefD22_9x_0)</f>
        <v>0</v>
      </c>
      <c r="E51" s="2"/>
      <c r="F51" s="6">
        <f t="shared" si="0"/>
        <v>0</v>
      </c>
      <c r="G51" s="2"/>
      <c r="H51" s="2">
        <f>SUM(OSRRefH22_9x_0)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SUM(OSRRefP22_9x_0)</f>
        <v>0</v>
      </c>
      <c r="Q51" s="2"/>
      <c r="R51" s="6">
        <f t="shared" si="4"/>
        <v>0</v>
      </c>
      <c r="S51" s="2"/>
      <c r="T51" s="2">
        <f>SUM(OSRRefT22_9x_0)</f>
        <v>0</v>
      </c>
      <c r="U51" s="2"/>
      <c r="V51" s="6">
        <f t="shared" si="5"/>
        <v>0</v>
      </c>
      <c r="W51" s="2"/>
      <c r="X51" s="2">
        <f t="shared" si="6"/>
        <v>0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","6292"," - ","TRAVEL/CONFERENCE")</f>
        <v xml:space="preserve">          6292 - TRAVEL/CONFERENCE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0</v>
      </c>
      <c r="Q52" s="3"/>
      <c r="R52" s="7">
        <f t="shared" si="4"/>
        <v>0</v>
      </c>
      <c r="S52" s="3"/>
      <c r="T52" s="8"/>
      <c r="U52" s="3"/>
      <c r="V52" s="7">
        <f t="shared" si="5"/>
        <v>0</v>
      </c>
      <c r="W52" s="3"/>
      <c r="X52" s="8">
        <f t="shared" si="6"/>
        <v>0</v>
      </c>
      <c r="Y52" s="3"/>
      <c r="Z52" s="7">
        <f t="shared" si="7"/>
        <v>0</v>
      </c>
    </row>
    <row r="53" spans="1:26" s="64" customFormat="1" ht="15" customHeight="1" x14ac:dyDescent="0.3">
      <c r="A53" s="36"/>
      <c r="B53" s="36"/>
      <c r="C53" s="36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3">
      <c r="A54" s="11"/>
      <c r="B54" s="27" t="s">
        <v>290</v>
      </c>
      <c r="C54" s="11"/>
      <c r="D54" s="5">
        <f>SUM(0)</f>
        <v>0</v>
      </c>
      <c r="E54" s="5"/>
      <c r="F54" s="13">
        <f>IF(D$12=0,0,D54/D$12)</f>
        <v>0</v>
      </c>
      <c r="G54" s="5"/>
      <c r="H54" s="5">
        <f>SUM(0)</f>
        <v>0</v>
      </c>
      <c r="I54" s="5"/>
      <c r="J54" s="13">
        <f>IF(H$12=0,0,H54/H$12)</f>
        <v>0</v>
      </c>
      <c r="K54" s="5"/>
      <c r="L54" s="5">
        <f>+D54-H54</f>
        <v>0</v>
      </c>
      <c r="M54" s="5"/>
      <c r="N54" s="13">
        <f>IF(H54=0,0,L54/H54)</f>
        <v>0</v>
      </c>
      <c r="O54" s="11"/>
      <c r="P54" s="5">
        <f>SUM(0)</f>
        <v>0</v>
      </c>
      <c r="Q54" s="5"/>
      <c r="R54" s="13">
        <f>IF(P$12=0,0,P54/P$12)</f>
        <v>0</v>
      </c>
      <c r="S54" s="5"/>
      <c r="T54" s="5">
        <f>SUM(0)</f>
        <v>0</v>
      </c>
      <c r="U54" s="5"/>
      <c r="V54" s="13">
        <f>IF(T$12=0,0,T54/T$12)</f>
        <v>0</v>
      </c>
      <c r="W54" s="5"/>
      <c r="X54" s="5">
        <f>+P54-T54</f>
        <v>0</v>
      </c>
      <c r="Y54" s="5"/>
      <c r="Z54" s="13">
        <f>IF(T54=0,0,X54/T54)</f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x14ac:dyDescent="0.3">
      <c r="A56" s="11"/>
      <c r="B56" s="28" t="s">
        <v>291</v>
      </c>
      <c r="C56" s="28"/>
      <c r="D56" s="21">
        <f>+D16-D18+D54</f>
        <v>-47564.81</v>
      </c>
      <c r="E56" s="15"/>
      <c r="F56" s="23">
        <f>IF(D$12=0,0,D56/D$12)</f>
        <v>0</v>
      </c>
      <c r="G56" s="15"/>
      <c r="H56" s="21">
        <f>+H16-H18+H54</f>
        <v>-52587.89</v>
      </c>
      <c r="I56" s="15"/>
      <c r="J56" s="23">
        <f>IF(H$12=0,0,H56/H$12)</f>
        <v>0</v>
      </c>
      <c r="K56" s="16"/>
      <c r="L56" s="21">
        <f>+D56-H56</f>
        <v>5023.0800000000017</v>
      </c>
      <c r="M56" s="16"/>
      <c r="N56" s="23">
        <f>IF(H56=0,0,L56/H56)</f>
        <v>-9.5517808377556163E-2</v>
      </c>
      <c r="O56" s="27"/>
      <c r="P56" s="21">
        <f>+P16-P18+P54</f>
        <v>-456629.43000000005</v>
      </c>
      <c r="Q56" s="15"/>
      <c r="R56" s="23">
        <f>IF(P$12=0,0,P56/P$12)</f>
        <v>0</v>
      </c>
      <c r="S56" s="15"/>
      <c r="T56" s="21">
        <f>+T16-T18+T54</f>
        <v>-508748.49</v>
      </c>
      <c r="U56" s="15"/>
      <c r="V56" s="23">
        <f>IF(T$12=0,0,T56/T$12)</f>
        <v>0</v>
      </c>
      <c r="W56" s="16"/>
      <c r="X56" s="21">
        <f>+P56-T56</f>
        <v>52119.059999999939</v>
      </c>
      <c r="Y56" s="16"/>
      <c r="Z56" s="23">
        <f>IF(T56=0,0,X56/T56)</f>
        <v>-0.10244563084600003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x14ac:dyDescent="0.3">
      <c r="A58" s="48"/>
      <c r="B58" s="11" t="s">
        <v>292</v>
      </c>
      <c r="C58" s="11"/>
      <c r="D58" s="5"/>
      <c r="E58" s="5"/>
      <c r="F58" s="13">
        <f>IF(D$12=0,0,D58/D$12)</f>
        <v>0</v>
      </c>
      <c r="G58" s="5"/>
      <c r="H58" s="5"/>
      <c r="I58" s="5"/>
      <c r="J58" s="13">
        <f>IF(H$12=0,0,H58/H$12)</f>
        <v>0</v>
      </c>
      <c r="K58" s="5"/>
      <c r="L58" s="5">
        <f>+D58-H58</f>
        <v>0</v>
      </c>
      <c r="M58" s="5"/>
      <c r="N58" s="13">
        <f>IF(H58=0,0,L58/H58)</f>
        <v>0</v>
      </c>
      <c r="O58" s="11"/>
      <c r="P58" s="5"/>
      <c r="Q58" s="5"/>
      <c r="R58" s="13">
        <f>IF(P$12=0,0,P58/P$12)</f>
        <v>0</v>
      </c>
      <c r="S58" s="5"/>
      <c r="T58" s="5"/>
      <c r="U58" s="5"/>
      <c r="V58" s="13">
        <f>IF(T$12=0,0,T58/T$12)</f>
        <v>0</v>
      </c>
      <c r="W58" s="5"/>
      <c r="X58" s="5">
        <f>+P58-T58</f>
        <v>0</v>
      </c>
      <c r="Y58" s="5"/>
      <c r="Z58" s="13">
        <f>IF(T58=0,0,X58/T58)</f>
        <v>0</v>
      </c>
    </row>
    <row r="59" spans="1:26" ht="15" customHeight="1" x14ac:dyDescent="0.3">
      <c r="A59" s="10"/>
      <c r="B59" s="11"/>
      <c r="C59" s="11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O59" s="11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2" customFormat="1" ht="15" customHeight="1" x14ac:dyDescent="0.3">
      <c r="A60" s="11"/>
      <c r="B60" s="28" t="s">
        <v>293</v>
      </c>
      <c r="C60" s="28"/>
      <c r="D60" s="34">
        <f>+D56-D58</f>
        <v>-47564.81</v>
      </c>
      <c r="E60" s="15"/>
      <c r="F60" s="30">
        <f>IF(D$12=0,0,D60/D$12)</f>
        <v>0</v>
      </c>
      <c r="G60" s="15"/>
      <c r="H60" s="34">
        <f>+H56-H58</f>
        <v>-52587.89</v>
      </c>
      <c r="I60" s="15"/>
      <c r="J60" s="30">
        <f>IF(H$12=0,0,H60/H$12)</f>
        <v>0</v>
      </c>
      <c r="K60" s="16"/>
      <c r="L60" s="34">
        <f>D60-H60</f>
        <v>5023.0800000000017</v>
      </c>
      <c r="M60" s="16"/>
      <c r="N60" s="30">
        <f>IF(H60=0,0,L60/H60)</f>
        <v>-9.5517808377556163E-2</v>
      </c>
      <c r="O60" s="27"/>
      <c r="P60" s="34">
        <f>+P56-P58</f>
        <v>-456629.43000000005</v>
      </c>
      <c r="Q60" s="15"/>
      <c r="R60" s="30">
        <f>IF(P$12=0,0,P60/P$12)</f>
        <v>0</v>
      </c>
      <c r="S60" s="15"/>
      <c r="T60" s="34">
        <f>+T56-T58</f>
        <v>-508748.49</v>
      </c>
      <c r="U60" s="15"/>
      <c r="V60" s="30">
        <f>IF(T$12=0,0,T60/T$12)</f>
        <v>0</v>
      </c>
      <c r="W60" s="16"/>
      <c r="X60" s="34">
        <f>P60-T60</f>
        <v>52119.059999999939</v>
      </c>
      <c r="Y60" s="16"/>
      <c r="Z60" s="30">
        <f>IF(T60=0,0,X60/T60)</f>
        <v>-0.10244563084600003</v>
      </c>
    </row>
    <row r="61" spans="1:26" ht="15" customHeight="1" x14ac:dyDescent="0.3">
      <c r="A61" s="10"/>
      <c r="B61" s="10"/>
      <c r="C61" s="10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8" t="s">
        <v>296</v>
      </c>
      <c r="C63" s="28"/>
      <c r="D63" s="29">
        <f>SUM(D60:D62)</f>
        <v>-47564.81</v>
      </c>
      <c r="E63" s="15"/>
      <c r="F63" s="35">
        <f>IF(D$12=0,0,D63/D$12)</f>
        <v>0</v>
      </c>
      <c r="G63" s="15"/>
      <c r="H63" s="29">
        <f>SUM(H60:H62)</f>
        <v>-52587.89</v>
      </c>
      <c r="I63" s="15"/>
      <c r="J63" s="35">
        <f>IF(H$12=0,0,H63/H$12)</f>
        <v>0</v>
      </c>
      <c r="K63" s="16"/>
      <c r="L63" s="29">
        <f>+D63-H63</f>
        <v>5023.0800000000017</v>
      </c>
      <c r="M63" s="16"/>
      <c r="N63" s="35">
        <f>IF(H63=0,0,L63/H63)</f>
        <v>-9.5517808377556163E-2</v>
      </c>
      <c r="O63" s="27"/>
      <c r="P63" s="29">
        <f>SUM(P60:P62)</f>
        <v>-456629.43000000005</v>
      </c>
      <c r="Q63" s="15"/>
      <c r="R63" s="35">
        <f>IF(P$12=0,0,P63/P$12)</f>
        <v>0</v>
      </c>
      <c r="S63" s="15"/>
      <c r="T63" s="29">
        <f>SUM(T60:T62)</f>
        <v>-508748.49</v>
      </c>
      <c r="U63" s="15"/>
      <c r="V63" s="35">
        <f>IF(T$12=0,0,T63/T$12)</f>
        <v>0</v>
      </c>
      <c r="W63" s="16"/>
      <c r="X63" s="29">
        <f>+P63-T63</f>
        <v>52119.059999999939</v>
      </c>
      <c r="Y63" s="16"/>
      <c r="Z63" s="35">
        <f>IF(T63=0,0,X63/T63)</f>
        <v>-0.10244563084600003</v>
      </c>
    </row>
    <row r="64" spans="1:26" ht="15" customHeight="1" x14ac:dyDescent="0.3">
      <c r="A64" s="10"/>
      <c r="C64" s="10"/>
      <c r="D64" s="18"/>
      <c r="E64" s="18"/>
      <c r="G64" s="18"/>
      <c r="H64" s="18"/>
      <c r="I64" s="18"/>
      <c r="J64" s="40"/>
      <c r="K64" s="18"/>
      <c r="L64" s="18"/>
      <c r="M64" s="18"/>
      <c r="P64" s="18"/>
      <c r="Q64" s="18"/>
      <c r="R64" s="40"/>
      <c r="S64" s="18"/>
      <c r="T64" s="18"/>
      <c r="U64" s="18"/>
      <c r="V64" s="40"/>
      <c r="W64" s="18"/>
      <c r="X64" s="18"/>
    </row>
    <row r="65" spans="1:24" ht="15" customHeight="1" x14ac:dyDescent="0.3">
      <c r="A65" s="10"/>
      <c r="B65" s="56">
        <v>44694.890829479169</v>
      </c>
      <c r="D65" s="18"/>
      <c r="E65" s="18"/>
      <c r="G65" s="18"/>
      <c r="H65" s="18"/>
      <c r="I65" s="18"/>
      <c r="J65" s="40"/>
      <c r="K65" s="18"/>
      <c r="L65" s="18"/>
      <c r="M65" s="18"/>
      <c r="P65" s="18"/>
      <c r="Q65" s="18"/>
      <c r="R65" s="40"/>
      <c r="S65" s="18"/>
      <c r="T65" s="18"/>
      <c r="U65" s="18"/>
      <c r="V65" s="40"/>
      <c r="W65" s="18"/>
      <c r="X65" s="18"/>
    </row>
    <row r="66" spans="1:24" ht="15" customHeight="1" x14ac:dyDescent="0.3">
      <c r="A66" s="10"/>
      <c r="B66" s="52" t="s">
        <v>297</v>
      </c>
      <c r="D66" s="18"/>
      <c r="E66" s="18"/>
      <c r="G66" s="18"/>
      <c r="H66" s="18"/>
      <c r="I66" s="18"/>
      <c r="J66" s="40"/>
      <c r="K66" s="18"/>
      <c r="L66" s="18"/>
      <c r="M66" s="18"/>
      <c r="P66" s="18"/>
      <c r="Q66" s="18"/>
      <c r="R66" s="40"/>
      <c r="S66" s="18"/>
      <c r="T66" s="18"/>
      <c r="U66" s="18"/>
      <c r="V66" s="40"/>
      <c r="W66" s="18"/>
      <c r="X66" s="18"/>
    </row>
    <row r="67" spans="1:24" ht="15" customHeight="1" x14ac:dyDescent="0.3">
      <c r="A67" s="10"/>
      <c r="B67" s="58"/>
      <c r="D67" s="18"/>
      <c r="E67" s="18"/>
      <c r="G67" s="18"/>
      <c r="H67" s="18"/>
      <c r="I67" s="18"/>
      <c r="J67" s="40"/>
      <c r="K67" s="18"/>
      <c r="L67" s="18"/>
      <c r="M67" s="18"/>
      <c r="P67" s="18"/>
      <c r="Q67" s="18"/>
      <c r="R67" s="40"/>
      <c r="S67" s="18"/>
      <c r="T67" s="18"/>
      <c r="U67" s="18"/>
      <c r="V67" s="40"/>
      <c r="W67" s="18"/>
      <c r="X67" s="18"/>
    </row>
    <row r="68" spans="1:24" ht="15" customHeight="1" x14ac:dyDescent="0.3"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C475-EE45-E594-8329-4BB320A60139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","205"," - ","Maintenance")</f>
        <v>Department 205 - Maintenance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7389.5300000000007</v>
      </c>
      <c r="E18" s="22"/>
      <c r="F18" s="32">
        <f t="shared" ref="F18:F42" si="0">IF(D$12=0,0,D18/D$12)</f>
        <v>0</v>
      </c>
      <c r="G18" s="22"/>
      <c r="H18" s="22" cm="1">
        <f t="array" ref="H18">SUM(OSRRefH22x_0)</f>
        <v>8195.52</v>
      </c>
      <c r="I18" s="22"/>
      <c r="J18" s="32">
        <f t="shared" ref="J18:J42" si="1">IF(H$12=0,0,H18/H$12)</f>
        <v>0</v>
      </c>
      <c r="K18" s="5"/>
      <c r="L18" s="22">
        <f t="shared" ref="L18:L42" si="2">+D18-H18</f>
        <v>-805.98999999999978</v>
      </c>
      <c r="M18" s="5"/>
      <c r="N18" s="32">
        <f t="shared" ref="N18:N42" si="3">IF(H18=0,0,L18/H18)</f>
        <v>-9.8345193471555153E-2</v>
      </c>
      <c r="O18" s="11"/>
      <c r="P18" s="22" cm="1">
        <f t="array" ref="P18">SUM(OSRRefP22x_0)</f>
        <v>80941.87000000001</v>
      </c>
      <c r="Q18" s="22"/>
      <c r="R18" s="32">
        <f t="shared" ref="R18:R42" si="4">IF(P$12=0,0,P18/P$12)</f>
        <v>0</v>
      </c>
      <c r="S18" s="22"/>
      <c r="T18" s="22" cm="1">
        <f t="array" ref="T18">SUM(OSRRefT22x_0)</f>
        <v>78573.849999999991</v>
      </c>
      <c r="U18" s="22"/>
      <c r="V18" s="32">
        <f t="shared" ref="V18:V42" si="5">IF(T$12=0,0,T18/T$12)</f>
        <v>0</v>
      </c>
      <c r="W18" s="5"/>
      <c r="X18" s="22">
        <f t="shared" ref="X18:X42" si="6">+P18-T18</f>
        <v>2368.0200000000186</v>
      </c>
      <c r="Y18" s="5"/>
      <c r="Z18" s="32">
        <f t="shared" ref="Z18:Z42" si="7">IF(T18=0,0,X18/T18)</f>
        <v>3.0137507580448444E-2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3179.52</v>
      </c>
      <c r="E19" s="2"/>
      <c r="F19" s="6">
        <f t="shared" si="0"/>
        <v>0</v>
      </c>
      <c r="G19" s="2"/>
      <c r="H19" s="2">
        <f>SUM(OSRRefH22_0x_0)</f>
        <v>2995.0099999999998</v>
      </c>
      <c r="I19" s="2"/>
      <c r="J19" s="6">
        <f t="shared" si="1"/>
        <v>0</v>
      </c>
      <c r="K19" s="2"/>
      <c r="L19" s="2">
        <f t="shared" si="2"/>
        <v>184.51000000000022</v>
      </c>
      <c r="M19" s="2"/>
      <c r="N19" s="6">
        <f t="shared" si="3"/>
        <v>6.1605804321187653E-2</v>
      </c>
      <c r="O19" s="14"/>
      <c r="P19" s="2">
        <f>SUM(OSRRefP22_0x_0)</f>
        <v>27303.71</v>
      </c>
      <c r="Q19" s="2"/>
      <c r="R19" s="6">
        <f t="shared" si="4"/>
        <v>0</v>
      </c>
      <c r="S19" s="2"/>
      <c r="T19" s="2">
        <f>SUM(OSRRefT22_0x_0)</f>
        <v>25451.64</v>
      </c>
      <c r="U19" s="2"/>
      <c r="V19" s="6">
        <f t="shared" si="5"/>
        <v>0</v>
      </c>
      <c r="W19" s="2"/>
      <c r="X19" s="2">
        <f t="shared" si="6"/>
        <v>1852.0699999999997</v>
      </c>
      <c r="Y19" s="2"/>
      <c r="Z19" s="6">
        <f t="shared" si="7"/>
        <v>7.2768198827266137E-2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512.66999999999996</v>
      </c>
      <c r="E20" s="3"/>
      <c r="F20" s="7">
        <f t="shared" si="0"/>
        <v>0</v>
      </c>
      <c r="G20" s="3"/>
      <c r="H20" s="8">
        <v>486.32</v>
      </c>
      <c r="I20" s="3"/>
      <c r="J20" s="7">
        <f t="shared" si="1"/>
        <v>0</v>
      </c>
      <c r="K20" s="3"/>
      <c r="L20" s="8">
        <f t="shared" si="2"/>
        <v>26.349999999999966</v>
      </c>
      <c r="M20" s="3"/>
      <c r="N20" s="7">
        <f t="shared" si="3"/>
        <v>5.4182431320940874E-2</v>
      </c>
      <c r="O20" s="12"/>
      <c r="P20" s="8">
        <v>3689.59</v>
      </c>
      <c r="Q20" s="3"/>
      <c r="R20" s="7">
        <f t="shared" si="4"/>
        <v>0</v>
      </c>
      <c r="S20" s="3"/>
      <c r="T20" s="8">
        <v>3514.19</v>
      </c>
      <c r="U20" s="3"/>
      <c r="V20" s="7">
        <f t="shared" si="5"/>
        <v>0</v>
      </c>
      <c r="W20" s="3"/>
      <c r="X20" s="8">
        <f t="shared" si="6"/>
        <v>175.40000000000009</v>
      </c>
      <c r="Y20" s="3"/>
      <c r="Z20" s="7">
        <f t="shared" si="7"/>
        <v>4.9911928495613524E-2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245.68</v>
      </c>
      <c r="E21" s="3"/>
      <c r="F21" s="7">
        <f t="shared" si="0"/>
        <v>0</v>
      </c>
      <c r="G21" s="3"/>
      <c r="H21" s="8">
        <v>291.97000000000003</v>
      </c>
      <c r="I21" s="3"/>
      <c r="J21" s="7">
        <f t="shared" si="1"/>
        <v>0</v>
      </c>
      <c r="K21" s="3"/>
      <c r="L21" s="8">
        <f t="shared" si="2"/>
        <v>-46.29000000000002</v>
      </c>
      <c r="M21" s="3"/>
      <c r="N21" s="7">
        <f t="shared" si="3"/>
        <v>-0.15854368599513655</v>
      </c>
      <c r="O21" s="12"/>
      <c r="P21" s="8">
        <v>2532.4299999999998</v>
      </c>
      <c r="Q21" s="3"/>
      <c r="R21" s="7">
        <f t="shared" si="4"/>
        <v>0</v>
      </c>
      <c r="S21" s="3"/>
      <c r="T21" s="8">
        <v>3033.55</v>
      </c>
      <c r="U21" s="3"/>
      <c r="V21" s="7">
        <f t="shared" si="5"/>
        <v>0</v>
      </c>
      <c r="W21" s="3"/>
      <c r="X21" s="8">
        <f t="shared" si="6"/>
        <v>-501.12000000000035</v>
      </c>
      <c r="Y21" s="3"/>
      <c r="Z21" s="7">
        <f t="shared" si="7"/>
        <v>-0.16519259613324333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694.36</v>
      </c>
      <c r="E22" s="3"/>
      <c r="F22" s="7">
        <f t="shared" si="0"/>
        <v>0</v>
      </c>
      <c r="G22" s="3"/>
      <c r="H22" s="8">
        <v>699.91</v>
      </c>
      <c r="I22" s="3"/>
      <c r="J22" s="7">
        <f t="shared" si="1"/>
        <v>0</v>
      </c>
      <c r="K22" s="3"/>
      <c r="L22" s="8">
        <f t="shared" si="2"/>
        <v>-5.5499999999999545</v>
      </c>
      <c r="M22" s="3"/>
      <c r="N22" s="7">
        <f t="shared" si="3"/>
        <v>-7.92959094740746E-3</v>
      </c>
      <c r="O22" s="12"/>
      <c r="P22" s="8">
        <v>6965.65</v>
      </c>
      <c r="Q22" s="3"/>
      <c r="R22" s="7">
        <f t="shared" si="4"/>
        <v>0</v>
      </c>
      <c r="S22" s="3"/>
      <c r="T22" s="8">
        <v>6976.6</v>
      </c>
      <c r="U22" s="3"/>
      <c r="V22" s="7">
        <f t="shared" si="5"/>
        <v>0</v>
      </c>
      <c r="W22" s="3"/>
      <c r="X22" s="8">
        <f t="shared" si="6"/>
        <v>-10.950000000000728</v>
      </c>
      <c r="Y22" s="3"/>
      <c r="Z22" s="7">
        <f t="shared" si="7"/>
        <v>-1.5695324370038023E-3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11.55</v>
      </c>
      <c r="E23" s="3"/>
      <c r="F23" s="7">
        <f t="shared" si="0"/>
        <v>0</v>
      </c>
      <c r="G23" s="3"/>
      <c r="H23" s="8">
        <v>10.96</v>
      </c>
      <c r="I23" s="3"/>
      <c r="J23" s="7">
        <f t="shared" si="1"/>
        <v>0</v>
      </c>
      <c r="K23" s="3"/>
      <c r="L23" s="8">
        <f t="shared" si="2"/>
        <v>0.58999999999999986</v>
      </c>
      <c r="M23" s="3"/>
      <c r="N23" s="7">
        <f t="shared" si="3"/>
        <v>5.3832116788321151E-2</v>
      </c>
      <c r="O23" s="12"/>
      <c r="P23" s="8">
        <v>119.06</v>
      </c>
      <c r="Q23" s="3"/>
      <c r="R23" s="7">
        <f t="shared" si="4"/>
        <v>0</v>
      </c>
      <c r="S23" s="3"/>
      <c r="T23" s="8">
        <v>113.83</v>
      </c>
      <c r="U23" s="3"/>
      <c r="V23" s="7">
        <f t="shared" si="5"/>
        <v>0</v>
      </c>
      <c r="W23" s="3"/>
      <c r="X23" s="8">
        <f t="shared" si="6"/>
        <v>5.230000000000004</v>
      </c>
      <c r="Y23" s="3"/>
      <c r="Z23" s="7">
        <f t="shared" si="7"/>
        <v>4.5945708512694403E-2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689.05</v>
      </c>
      <c r="E24" s="3"/>
      <c r="F24" s="7">
        <f t="shared" si="0"/>
        <v>0</v>
      </c>
      <c r="G24" s="3"/>
      <c r="H24" s="8">
        <v>463.27</v>
      </c>
      <c r="I24" s="3"/>
      <c r="J24" s="7">
        <f t="shared" si="1"/>
        <v>0</v>
      </c>
      <c r="K24" s="3"/>
      <c r="L24" s="8">
        <f t="shared" si="2"/>
        <v>225.77999999999997</v>
      </c>
      <c r="M24" s="3"/>
      <c r="N24" s="7">
        <f t="shared" si="3"/>
        <v>0.48736158179895089</v>
      </c>
      <c r="O24" s="12"/>
      <c r="P24" s="8">
        <v>5097.53</v>
      </c>
      <c r="Q24" s="3"/>
      <c r="R24" s="7">
        <f t="shared" si="4"/>
        <v>0</v>
      </c>
      <c r="S24" s="3"/>
      <c r="T24" s="8">
        <v>5095.9799999999996</v>
      </c>
      <c r="U24" s="3"/>
      <c r="V24" s="7">
        <f t="shared" si="5"/>
        <v>0</v>
      </c>
      <c r="W24" s="3"/>
      <c r="X24" s="8">
        <f t="shared" si="6"/>
        <v>1.5500000000001819</v>
      </c>
      <c r="Y24" s="3"/>
      <c r="Z24" s="7">
        <f t="shared" si="7"/>
        <v>3.0416131931447574E-4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605.19000000000005</v>
      </c>
      <c r="E25" s="3"/>
      <c r="F25" s="7">
        <f t="shared" si="0"/>
        <v>0</v>
      </c>
      <c r="G25" s="3"/>
      <c r="H25" s="8">
        <v>581.94000000000005</v>
      </c>
      <c r="I25" s="3"/>
      <c r="J25" s="7">
        <f t="shared" si="1"/>
        <v>0</v>
      </c>
      <c r="K25" s="3"/>
      <c r="L25" s="8">
        <f t="shared" si="2"/>
        <v>23.25</v>
      </c>
      <c r="M25" s="3"/>
      <c r="N25" s="7">
        <f t="shared" si="3"/>
        <v>3.9952572430147437E-2</v>
      </c>
      <c r="O25" s="12"/>
      <c r="P25" s="8">
        <v>4317.42</v>
      </c>
      <c r="Q25" s="3"/>
      <c r="R25" s="7">
        <f t="shared" si="4"/>
        <v>0</v>
      </c>
      <c r="S25" s="3"/>
      <c r="T25" s="8">
        <v>3167.72</v>
      </c>
      <c r="U25" s="3"/>
      <c r="V25" s="7">
        <f t="shared" si="5"/>
        <v>0</v>
      </c>
      <c r="W25" s="3"/>
      <c r="X25" s="8">
        <f t="shared" si="6"/>
        <v>1149.7000000000003</v>
      </c>
      <c r="Y25" s="3"/>
      <c r="Z25" s="7">
        <f t="shared" si="7"/>
        <v>0.36294243178058677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302.19</v>
      </c>
      <c r="E26" s="3"/>
      <c r="F26" s="7">
        <f t="shared" si="0"/>
        <v>0</v>
      </c>
      <c r="G26" s="3"/>
      <c r="H26" s="8">
        <v>290.58</v>
      </c>
      <c r="I26" s="3"/>
      <c r="J26" s="7">
        <f t="shared" si="1"/>
        <v>0</v>
      </c>
      <c r="K26" s="3"/>
      <c r="L26" s="8">
        <f t="shared" si="2"/>
        <v>11.610000000000014</v>
      </c>
      <c r="M26" s="3"/>
      <c r="N26" s="7">
        <f t="shared" si="3"/>
        <v>3.9954573611397946E-2</v>
      </c>
      <c r="O26" s="12"/>
      <c r="P26" s="8">
        <v>2935.5</v>
      </c>
      <c r="Q26" s="3"/>
      <c r="R26" s="7">
        <f t="shared" si="4"/>
        <v>0</v>
      </c>
      <c r="S26" s="3"/>
      <c r="T26" s="8">
        <v>2130.92</v>
      </c>
      <c r="U26" s="3"/>
      <c r="V26" s="7">
        <f t="shared" si="5"/>
        <v>0</v>
      </c>
      <c r="W26" s="3"/>
      <c r="X26" s="8">
        <f t="shared" si="6"/>
        <v>804.57999999999993</v>
      </c>
      <c r="Y26" s="3"/>
      <c r="Z26" s="7">
        <f t="shared" si="7"/>
        <v>0.37757400559382798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118.83</v>
      </c>
      <c r="E27" s="3"/>
      <c r="F27" s="7">
        <f t="shared" si="0"/>
        <v>0</v>
      </c>
      <c r="G27" s="3"/>
      <c r="H27" s="8">
        <v>170.06</v>
      </c>
      <c r="I27" s="3"/>
      <c r="J27" s="7">
        <f t="shared" si="1"/>
        <v>0</v>
      </c>
      <c r="K27" s="3"/>
      <c r="L27" s="8">
        <f t="shared" si="2"/>
        <v>-51.230000000000004</v>
      </c>
      <c r="M27" s="3"/>
      <c r="N27" s="7">
        <f t="shared" si="3"/>
        <v>-0.30124661884040926</v>
      </c>
      <c r="O27" s="12"/>
      <c r="P27" s="8">
        <v>1646.53</v>
      </c>
      <c r="Q27" s="3"/>
      <c r="R27" s="7">
        <f t="shared" si="4"/>
        <v>0</v>
      </c>
      <c r="S27" s="3"/>
      <c r="T27" s="8">
        <v>1418.85</v>
      </c>
      <c r="U27" s="3"/>
      <c r="V27" s="7">
        <f t="shared" si="5"/>
        <v>0</v>
      </c>
      <c r="W27" s="3"/>
      <c r="X27" s="8">
        <f t="shared" si="6"/>
        <v>227.68000000000006</v>
      </c>
      <c r="Y27" s="3"/>
      <c r="Z27" s="7">
        <f t="shared" si="7"/>
        <v>0.16046798463544426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3057.33</v>
      </c>
      <c r="E28" s="2"/>
      <c r="F28" s="6">
        <f t="shared" si="0"/>
        <v>0</v>
      </c>
      <c r="G28" s="2"/>
      <c r="H28" s="2">
        <f>SUM(OSRRefH22_1x_0)</f>
        <v>4409.66</v>
      </c>
      <c r="I28" s="2"/>
      <c r="J28" s="6">
        <f t="shared" si="1"/>
        <v>0</v>
      </c>
      <c r="K28" s="2"/>
      <c r="L28" s="2">
        <f t="shared" si="2"/>
        <v>-1352.33</v>
      </c>
      <c r="M28" s="2"/>
      <c r="N28" s="6">
        <f t="shared" si="3"/>
        <v>-0.30667443748497614</v>
      </c>
      <c r="O28" s="14"/>
      <c r="P28" s="2">
        <f>SUM(OSRRefP22_1x_0)</f>
        <v>41325.89</v>
      </c>
      <c r="Q28" s="2"/>
      <c r="R28" s="6">
        <f t="shared" si="4"/>
        <v>0</v>
      </c>
      <c r="S28" s="2"/>
      <c r="T28" s="2">
        <f>SUM(OSRRefT22_1x_0)</f>
        <v>42452.05</v>
      </c>
      <c r="U28" s="2"/>
      <c r="V28" s="6">
        <f t="shared" si="5"/>
        <v>0</v>
      </c>
      <c r="W28" s="2"/>
      <c r="X28" s="2">
        <f t="shared" si="6"/>
        <v>-1126.1600000000035</v>
      </c>
      <c r="Y28" s="2"/>
      <c r="Z28" s="6">
        <f t="shared" si="7"/>
        <v>-2.6527811966677778E-2</v>
      </c>
    </row>
    <row r="29" spans="1:26" s="69" customFormat="1" ht="15" hidden="1" customHeight="1" outlineLevel="2" x14ac:dyDescent="0.3">
      <c r="A29" s="26"/>
      <c r="B29" s="12" t="str">
        <f>CONCATENATE("          ","6002"," - ","STAFF SALARIES")</f>
        <v xml:space="preserve">          6002 - STAFF SALARIES</v>
      </c>
      <c r="C29" s="12"/>
      <c r="D29" s="8">
        <v>3057.33</v>
      </c>
      <c r="E29" s="3"/>
      <c r="F29" s="7">
        <f t="shared" si="0"/>
        <v>0</v>
      </c>
      <c r="G29" s="3"/>
      <c r="H29" s="8">
        <v>4409.66</v>
      </c>
      <c r="I29" s="3"/>
      <c r="J29" s="7">
        <f t="shared" si="1"/>
        <v>0</v>
      </c>
      <c r="K29" s="3"/>
      <c r="L29" s="8">
        <f t="shared" si="2"/>
        <v>-1352.33</v>
      </c>
      <c r="M29" s="3"/>
      <c r="N29" s="7">
        <f t="shared" si="3"/>
        <v>-0.30667443748497614</v>
      </c>
      <c r="O29" s="12"/>
      <c r="P29" s="8">
        <v>41325.89</v>
      </c>
      <c r="Q29" s="3"/>
      <c r="R29" s="7">
        <f t="shared" si="4"/>
        <v>0</v>
      </c>
      <c r="S29" s="3"/>
      <c r="T29" s="8">
        <v>42452.05</v>
      </c>
      <c r="U29" s="3"/>
      <c r="V29" s="7">
        <f t="shared" si="5"/>
        <v>0</v>
      </c>
      <c r="W29" s="3"/>
      <c r="X29" s="8">
        <f t="shared" si="6"/>
        <v>-1126.1600000000035</v>
      </c>
      <c r="Y29" s="3"/>
      <c r="Z29" s="7">
        <f t="shared" si="7"/>
        <v>-2.6527811966677778E-2</v>
      </c>
    </row>
    <row r="30" spans="1:26" s="68" customFormat="1" ht="15" customHeight="1" outlineLevel="1" collapsed="1" x14ac:dyDescent="0.3">
      <c r="A30" s="25"/>
      <c r="B30" s="14" t="str">
        <f>CONCATENATE("     ","General                                           ")</f>
        <v xml:space="preserve">     General          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-1613.22</v>
      </c>
      <c r="Q30" s="2"/>
      <c r="R30" s="6">
        <f t="shared" si="4"/>
        <v>0</v>
      </c>
      <c r="S30" s="2"/>
      <c r="T30" s="2">
        <f>SUM(OSRRefT22_2x_0)</f>
        <v>-238.8</v>
      </c>
      <c r="U30" s="2"/>
      <c r="V30" s="6">
        <f t="shared" si="5"/>
        <v>0</v>
      </c>
      <c r="W30" s="2"/>
      <c r="X30" s="2">
        <f t="shared" si="6"/>
        <v>-1374.42</v>
      </c>
      <c r="Y30" s="2"/>
      <c r="Z30" s="6">
        <f t="shared" si="7"/>
        <v>5.755527638190955</v>
      </c>
    </row>
    <row r="31" spans="1:26" s="69" customFormat="1" ht="15" hidden="1" customHeight="1" outlineLevel="2" x14ac:dyDescent="0.3">
      <c r="A31" s="26"/>
      <c r="B31" s="12" t="str">
        <f>CONCATENATE("          ","6279"," - ","GENERAL EXPENSE")</f>
        <v xml:space="preserve">          6279 - GENERAL EXPENSE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-1613.22</v>
      </c>
      <c r="Q31" s="3"/>
      <c r="R31" s="7">
        <f t="shared" si="4"/>
        <v>0</v>
      </c>
      <c r="S31" s="3"/>
      <c r="T31" s="8">
        <v>-238.8</v>
      </c>
      <c r="U31" s="3"/>
      <c r="V31" s="7">
        <f t="shared" si="5"/>
        <v>0</v>
      </c>
      <c r="W31" s="3"/>
      <c r="X31" s="8">
        <f t="shared" si="6"/>
        <v>-1374.42</v>
      </c>
      <c r="Y31" s="3"/>
      <c r="Z31" s="7">
        <f t="shared" si="7"/>
        <v>5.755527638190955</v>
      </c>
    </row>
    <row r="32" spans="1:26" s="68" customFormat="1" ht="15" customHeight="1" outlineLevel="1" collapsed="1" x14ac:dyDescent="0.3">
      <c r="A32" s="25"/>
      <c r="B32" s="14" t="str">
        <f>CONCATENATE("     ","Insurance                                         ")</f>
        <v xml:space="preserve">     Insurance                                         </v>
      </c>
      <c r="C32" s="14"/>
      <c r="D32" s="2">
        <f>SUM(OSRRefD22_3x_0)</f>
        <v>33.380000000000003</v>
      </c>
      <c r="E32" s="2"/>
      <c r="F32" s="6">
        <f t="shared" si="0"/>
        <v>0</v>
      </c>
      <c r="G32" s="2"/>
      <c r="H32" s="2">
        <f>SUM(OSRRefH22_3x_0)</f>
        <v>24.56</v>
      </c>
      <c r="I32" s="2"/>
      <c r="J32" s="6">
        <f t="shared" si="1"/>
        <v>0</v>
      </c>
      <c r="K32" s="2"/>
      <c r="L32" s="2">
        <f t="shared" si="2"/>
        <v>8.8200000000000038</v>
      </c>
      <c r="M32" s="2"/>
      <c r="N32" s="6">
        <f t="shared" si="3"/>
        <v>0.3591205211726386</v>
      </c>
      <c r="O32" s="14"/>
      <c r="P32" s="2">
        <f>SUM(OSRRefP22_3x_0)</f>
        <v>333.8</v>
      </c>
      <c r="Q32" s="2"/>
      <c r="R32" s="6">
        <f t="shared" si="4"/>
        <v>0</v>
      </c>
      <c r="S32" s="2"/>
      <c r="T32" s="2">
        <f>SUM(OSRRefT22_3x_0)</f>
        <v>245.6</v>
      </c>
      <c r="U32" s="2"/>
      <c r="V32" s="6">
        <f t="shared" si="5"/>
        <v>0</v>
      </c>
      <c r="W32" s="2"/>
      <c r="X32" s="2">
        <f t="shared" si="6"/>
        <v>88.200000000000017</v>
      </c>
      <c r="Y32" s="2"/>
      <c r="Z32" s="6">
        <f t="shared" si="7"/>
        <v>0.35912052117263854</v>
      </c>
    </row>
    <row r="33" spans="1:26" s="69" customFormat="1" ht="15" hidden="1" customHeight="1" outlineLevel="2" x14ac:dyDescent="0.3">
      <c r="A33" s="26"/>
      <c r="B33" s="12" t="str">
        <f>CONCATENATE("          ","6314"," - ","LIABILITY INSURANCE")</f>
        <v xml:space="preserve">          6314 - LIABILITY INSURANCE</v>
      </c>
      <c r="C33" s="12"/>
      <c r="D33" s="8">
        <v>33.380000000000003</v>
      </c>
      <c r="E33" s="3"/>
      <c r="F33" s="7">
        <f t="shared" si="0"/>
        <v>0</v>
      </c>
      <c r="G33" s="3"/>
      <c r="H33" s="8">
        <v>24.56</v>
      </c>
      <c r="I33" s="3"/>
      <c r="J33" s="7">
        <f t="shared" si="1"/>
        <v>0</v>
      </c>
      <c r="K33" s="3"/>
      <c r="L33" s="8">
        <f t="shared" si="2"/>
        <v>8.8200000000000038</v>
      </c>
      <c r="M33" s="3"/>
      <c r="N33" s="7">
        <f t="shared" si="3"/>
        <v>0.3591205211726386</v>
      </c>
      <c r="O33" s="12"/>
      <c r="P33" s="8">
        <v>333.8</v>
      </c>
      <c r="Q33" s="3"/>
      <c r="R33" s="7">
        <f t="shared" si="4"/>
        <v>0</v>
      </c>
      <c r="S33" s="3"/>
      <c r="T33" s="8">
        <v>245.6</v>
      </c>
      <c r="U33" s="3"/>
      <c r="V33" s="7">
        <f t="shared" si="5"/>
        <v>0</v>
      </c>
      <c r="W33" s="3"/>
      <c r="X33" s="8">
        <f t="shared" si="6"/>
        <v>88.200000000000017</v>
      </c>
      <c r="Y33" s="3"/>
      <c r="Z33" s="7">
        <f t="shared" si="7"/>
        <v>0.35912052117263854</v>
      </c>
    </row>
    <row r="34" spans="1:26" s="68" customFormat="1" ht="15" customHeight="1" outlineLevel="1" collapsed="1" x14ac:dyDescent="0.3">
      <c r="A34" s="25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946.3</v>
      </c>
      <c r="E34" s="2"/>
      <c r="F34" s="6">
        <f t="shared" si="0"/>
        <v>0</v>
      </c>
      <c r="G34" s="2"/>
      <c r="H34" s="2">
        <f>SUM(OSRRefH22_4x_0)</f>
        <v>891.98</v>
      </c>
      <c r="I34" s="2"/>
      <c r="J34" s="6">
        <f t="shared" si="1"/>
        <v>0</v>
      </c>
      <c r="K34" s="2"/>
      <c r="L34" s="2">
        <f t="shared" si="2"/>
        <v>54.319999999999936</v>
      </c>
      <c r="M34" s="2"/>
      <c r="N34" s="6">
        <f t="shared" si="3"/>
        <v>6.0898226417632609E-2</v>
      </c>
      <c r="O34" s="14"/>
      <c r="P34" s="2">
        <f>SUM(OSRRefP22_4x_0)</f>
        <v>12134.14</v>
      </c>
      <c r="Q34" s="2"/>
      <c r="R34" s="6">
        <f t="shared" si="4"/>
        <v>0</v>
      </c>
      <c r="S34" s="2"/>
      <c r="T34" s="2">
        <f>SUM(OSRRefT22_4x_0)</f>
        <v>10068.209999999999</v>
      </c>
      <c r="U34" s="2"/>
      <c r="V34" s="6">
        <f t="shared" si="5"/>
        <v>0</v>
      </c>
      <c r="W34" s="2"/>
      <c r="X34" s="2">
        <f t="shared" si="6"/>
        <v>2065.9300000000003</v>
      </c>
      <c r="Y34" s="2"/>
      <c r="Z34" s="6">
        <f t="shared" si="7"/>
        <v>0.20519337598242393</v>
      </c>
    </row>
    <row r="35" spans="1:26" s="69" customFormat="1" ht="15" hidden="1" customHeight="1" outlineLevel="2" x14ac:dyDescent="0.3">
      <c r="A35" s="26"/>
      <c r="B35" s="12" t="str">
        <f>CONCATENATE("          ","6373"," - ","MAINTENANCE CONTRACTS")</f>
        <v xml:space="preserve">          6373 - MAINTENANCE CONTRACTS</v>
      </c>
      <c r="C35" s="12"/>
      <c r="D35" s="8">
        <v>946.3</v>
      </c>
      <c r="E35" s="3"/>
      <c r="F35" s="7">
        <f t="shared" si="0"/>
        <v>0</v>
      </c>
      <c r="G35" s="3"/>
      <c r="H35" s="8">
        <v>891.98</v>
      </c>
      <c r="I35" s="3"/>
      <c r="J35" s="7">
        <f t="shared" si="1"/>
        <v>0</v>
      </c>
      <c r="K35" s="3"/>
      <c r="L35" s="8">
        <f t="shared" si="2"/>
        <v>54.319999999999936</v>
      </c>
      <c r="M35" s="3"/>
      <c r="N35" s="7">
        <f t="shared" si="3"/>
        <v>6.0898226417632609E-2</v>
      </c>
      <c r="O35" s="12"/>
      <c r="P35" s="8">
        <v>12045.88</v>
      </c>
      <c r="Q35" s="3"/>
      <c r="R35" s="7">
        <f t="shared" si="4"/>
        <v>0</v>
      </c>
      <c r="S35" s="3"/>
      <c r="T35" s="8">
        <v>7897.92</v>
      </c>
      <c r="U35" s="3"/>
      <c r="V35" s="7">
        <f t="shared" si="5"/>
        <v>0</v>
      </c>
      <c r="W35" s="3"/>
      <c r="X35" s="8">
        <f t="shared" si="6"/>
        <v>4147.9599999999991</v>
      </c>
      <c r="Y35" s="3"/>
      <c r="Z35" s="7">
        <f t="shared" si="7"/>
        <v>0.52519650743486879</v>
      </c>
    </row>
    <row r="36" spans="1:26" s="69" customFormat="1" ht="15" hidden="1" customHeight="1" outlineLevel="2" x14ac:dyDescent="0.3">
      <c r="A36" s="26"/>
      <c r="B36" s="12" t="str">
        <f>CONCATENATE("          ","6375"," - ","OUTSIDE REPAIRS &amp; MAINTENANCE")</f>
        <v xml:space="preserve">          6375 - OUTSIDE REPAIRS &amp; MAINTENANCE</v>
      </c>
      <c r="C36" s="12"/>
      <c r="D36" s="8">
        <v>0</v>
      </c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88.26</v>
      </c>
      <c r="Q36" s="3"/>
      <c r="R36" s="7">
        <f t="shared" si="4"/>
        <v>0</v>
      </c>
      <c r="S36" s="3"/>
      <c r="T36" s="8">
        <v>2170.29</v>
      </c>
      <c r="U36" s="3"/>
      <c r="V36" s="7">
        <f t="shared" si="5"/>
        <v>0</v>
      </c>
      <c r="W36" s="3"/>
      <c r="X36" s="8">
        <f t="shared" si="6"/>
        <v>-2082.0299999999997</v>
      </c>
      <c r="Y36" s="3"/>
      <c r="Z36" s="7">
        <f t="shared" si="7"/>
        <v>-0.95933262375074291</v>
      </c>
    </row>
    <row r="37" spans="1:26" s="68" customFormat="1" ht="15" customHeight="1" outlineLevel="1" collapsed="1" x14ac:dyDescent="0.3">
      <c r="A37" s="25"/>
      <c r="B37" s="14" t="str">
        <f>CONCATENATE("     ","Supplies                                          ")</f>
        <v xml:space="preserve">     Supplies                                          </v>
      </c>
      <c r="C37" s="14"/>
      <c r="D37" s="2">
        <f>SUM(OSRRefD22_5x_0)</f>
        <v>0</v>
      </c>
      <c r="E37" s="2"/>
      <c r="F37" s="6">
        <f t="shared" si="0"/>
        <v>0</v>
      </c>
      <c r="G37" s="2"/>
      <c r="H37" s="2">
        <f>SUM(OSRRefH22_5x_0)</f>
        <v>1.31</v>
      </c>
      <c r="I37" s="2"/>
      <c r="J37" s="6">
        <f t="shared" si="1"/>
        <v>0</v>
      </c>
      <c r="K37" s="2"/>
      <c r="L37" s="2">
        <f t="shared" si="2"/>
        <v>-1.31</v>
      </c>
      <c r="M37" s="2"/>
      <c r="N37" s="6">
        <f t="shared" si="3"/>
        <v>-1</v>
      </c>
      <c r="O37" s="14"/>
      <c r="P37" s="2">
        <f>SUM(OSRRefP22_5x_0)</f>
        <v>452.54999999999995</v>
      </c>
      <c r="Q37" s="2"/>
      <c r="R37" s="6">
        <f t="shared" si="4"/>
        <v>0</v>
      </c>
      <c r="S37" s="2"/>
      <c r="T37" s="2">
        <f>SUM(OSRRefT22_5x_0)</f>
        <v>86.15</v>
      </c>
      <c r="U37" s="2"/>
      <c r="V37" s="6">
        <f t="shared" si="5"/>
        <v>0</v>
      </c>
      <c r="W37" s="2"/>
      <c r="X37" s="2">
        <f t="shared" si="6"/>
        <v>366.4</v>
      </c>
      <c r="Y37" s="2"/>
      <c r="Z37" s="6">
        <f t="shared" si="7"/>
        <v>4.2530470110272773</v>
      </c>
    </row>
    <row r="38" spans="1:26" s="69" customFormat="1" ht="15" hidden="1" customHeight="1" outlineLevel="2" x14ac:dyDescent="0.3">
      <c r="A38" s="26"/>
      <c r="B38" s="12" t="str">
        <f>CONCATENATE("          ","6234"," - ","EXPENDABLE SUPPLIES &amp; EQUIPMEN")</f>
        <v xml:space="preserve">          6234 - EXPENDABLE SUPPLIES &amp; EQUIPMEN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242.35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242.35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","6235"," - ","COVID-19 EXPENSES")</f>
        <v xml:space="preserve">          6235 - COVID-19 EXPENSES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66.12</v>
      </c>
      <c r="U39" s="3"/>
      <c r="V39" s="7">
        <f t="shared" si="5"/>
        <v>0</v>
      </c>
      <c r="W39" s="3"/>
      <c r="X39" s="8">
        <f t="shared" si="6"/>
        <v>-66.12</v>
      </c>
      <c r="Y39" s="3"/>
      <c r="Z39" s="7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","6241"," - ","OFFICE EXPENSE")</f>
        <v xml:space="preserve">          6241 - OFFICE EXPENSE</v>
      </c>
      <c r="C40" s="12"/>
      <c r="D40" s="8"/>
      <c r="E40" s="3"/>
      <c r="F40" s="7">
        <f t="shared" si="0"/>
        <v>0</v>
      </c>
      <c r="G40" s="3"/>
      <c r="H40" s="8">
        <v>1.31</v>
      </c>
      <c r="I40" s="3"/>
      <c r="J40" s="7">
        <f t="shared" si="1"/>
        <v>0</v>
      </c>
      <c r="K40" s="3"/>
      <c r="L40" s="8">
        <f t="shared" si="2"/>
        <v>-1.31</v>
      </c>
      <c r="M40" s="3"/>
      <c r="N40" s="7">
        <f t="shared" si="3"/>
        <v>-1</v>
      </c>
      <c r="O40" s="12"/>
      <c r="P40" s="8">
        <v>210.2</v>
      </c>
      <c r="Q40" s="3"/>
      <c r="R40" s="7">
        <f t="shared" si="4"/>
        <v>0</v>
      </c>
      <c r="S40" s="3"/>
      <c r="T40" s="8">
        <v>20.03</v>
      </c>
      <c r="U40" s="3"/>
      <c r="V40" s="7">
        <f t="shared" si="5"/>
        <v>0</v>
      </c>
      <c r="W40" s="3"/>
      <c r="X40" s="8">
        <f t="shared" si="6"/>
        <v>190.17</v>
      </c>
      <c r="Y40" s="3"/>
      <c r="Z40" s="7">
        <f t="shared" si="7"/>
        <v>9.4942586120818753</v>
      </c>
    </row>
    <row r="41" spans="1:26" s="68" customFormat="1" ht="15" customHeight="1" outlineLevel="1" collapsed="1" x14ac:dyDescent="0.3">
      <c r="A41" s="25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173</v>
      </c>
      <c r="E41" s="2"/>
      <c r="F41" s="6">
        <f t="shared" si="0"/>
        <v>0</v>
      </c>
      <c r="G41" s="2"/>
      <c r="H41" s="2">
        <f>SUM(OSRRefH22_6x_0)</f>
        <v>-127</v>
      </c>
      <c r="I41" s="2"/>
      <c r="J41" s="6">
        <f t="shared" si="1"/>
        <v>0</v>
      </c>
      <c r="K41" s="2"/>
      <c r="L41" s="2">
        <f t="shared" si="2"/>
        <v>300</v>
      </c>
      <c r="M41" s="2"/>
      <c r="N41" s="6">
        <f t="shared" si="3"/>
        <v>-2.3622047244094486</v>
      </c>
      <c r="O41" s="14"/>
      <c r="P41" s="2">
        <f>SUM(OSRRefP22_6x_0)</f>
        <v>1005</v>
      </c>
      <c r="Q41" s="2"/>
      <c r="R41" s="6">
        <f t="shared" si="4"/>
        <v>0</v>
      </c>
      <c r="S41" s="2"/>
      <c r="T41" s="2">
        <f>SUM(OSRRefT22_6x_0)</f>
        <v>509</v>
      </c>
      <c r="U41" s="2"/>
      <c r="V41" s="6">
        <f t="shared" si="5"/>
        <v>0</v>
      </c>
      <c r="W41" s="2"/>
      <c r="X41" s="2">
        <f t="shared" si="6"/>
        <v>496</v>
      </c>
      <c r="Y41" s="2"/>
      <c r="Z41" s="6">
        <f t="shared" si="7"/>
        <v>0.97445972495088407</v>
      </c>
    </row>
    <row r="42" spans="1:26" s="69" customFormat="1" ht="15" hidden="1" customHeight="1" outlineLevel="2" x14ac:dyDescent="0.3">
      <c r="A42" s="26"/>
      <c r="B42" s="12" t="str">
        <f>CONCATENATE("          ","6309"," - ","TELEPHONE")</f>
        <v xml:space="preserve">          6309 - TELEPHONE</v>
      </c>
      <c r="C42" s="12"/>
      <c r="D42" s="8">
        <v>173</v>
      </c>
      <c r="E42" s="3"/>
      <c r="F42" s="7">
        <f t="shared" si="0"/>
        <v>0</v>
      </c>
      <c r="G42" s="3"/>
      <c r="H42" s="8">
        <v>-127</v>
      </c>
      <c r="I42" s="3"/>
      <c r="J42" s="7">
        <f t="shared" si="1"/>
        <v>0</v>
      </c>
      <c r="K42" s="3"/>
      <c r="L42" s="8">
        <f t="shared" si="2"/>
        <v>300</v>
      </c>
      <c r="M42" s="3"/>
      <c r="N42" s="7">
        <f t="shared" si="3"/>
        <v>-2.3622047244094486</v>
      </c>
      <c r="O42" s="12"/>
      <c r="P42" s="8">
        <v>1005</v>
      </c>
      <c r="Q42" s="3"/>
      <c r="R42" s="7">
        <f t="shared" si="4"/>
        <v>0</v>
      </c>
      <c r="S42" s="3"/>
      <c r="T42" s="8">
        <v>509</v>
      </c>
      <c r="U42" s="3"/>
      <c r="V42" s="7">
        <f t="shared" si="5"/>
        <v>0</v>
      </c>
      <c r="W42" s="3"/>
      <c r="X42" s="8">
        <f t="shared" si="6"/>
        <v>496</v>
      </c>
      <c r="Y42" s="3"/>
      <c r="Z42" s="7">
        <f t="shared" si="7"/>
        <v>0.97445972495088407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7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8" t="s">
        <v>291</v>
      </c>
      <c r="C46" s="28"/>
      <c r="D46" s="21">
        <f>+D16-D18+D44</f>
        <v>-7389.5300000000007</v>
      </c>
      <c r="E46" s="15"/>
      <c r="F46" s="23">
        <f>IF(D$12=0,0,D46/D$12)</f>
        <v>0</v>
      </c>
      <c r="G46" s="15"/>
      <c r="H46" s="21">
        <f>+H16-H18+H44</f>
        <v>-8195.52</v>
      </c>
      <c r="I46" s="15"/>
      <c r="J46" s="23">
        <f>IF(H$12=0,0,H46/H$12)</f>
        <v>0</v>
      </c>
      <c r="K46" s="16"/>
      <c r="L46" s="21">
        <f>+D46-H46</f>
        <v>805.98999999999978</v>
      </c>
      <c r="M46" s="16"/>
      <c r="N46" s="23">
        <f>IF(H46=0,0,L46/H46)</f>
        <v>-9.8345193471555153E-2</v>
      </c>
      <c r="O46" s="27"/>
      <c r="P46" s="21">
        <f>+P16-P18+P44</f>
        <v>-80941.87000000001</v>
      </c>
      <c r="Q46" s="15"/>
      <c r="R46" s="23">
        <f>IF(P$12=0,0,P46/P$12)</f>
        <v>0</v>
      </c>
      <c r="S46" s="15"/>
      <c r="T46" s="21">
        <f>+T16-T18+T44</f>
        <v>-78573.849999999991</v>
      </c>
      <c r="U46" s="15"/>
      <c r="V46" s="23">
        <f>IF(T$12=0,0,T46/T$12)</f>
        <v>0</v>
      </c>
      <c r="W46" s="16"/>
      <c r="X46" s="21">
        <f>+P46-T46</f>
        <v>-2368.0200000000186</v>
      </c>
      <c r="Y46" s="16"/>
      <c r="Z46" s="23">
        <f>IF(T46=0,0,X46/T46)</f>
        <v>3.0137507580448444E-2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293</v>
      </c>
      <c r="C50" s="28"/>
      <c r="D50" s="34">
        <f>+D46-D48</f>
        <v>-7389.5300000000007</v>
      </c>
      <c r="E50" s="15"/>
      <c r="F50" s="30">
        <f>IF(D$12=0,0,D50/D$12)</f>
        <v>0</v>
      </c>
      <c r="G50" s="15"/>
      <c r="H50" s="34">
        <f>+H46-H48</f>
        <v>-8195.52</v>
      </c>
      <c r="I50" s="15"/>
      <c r="J50" s="30">
        <f>IF(H$12=0,0,H50/H$12)</f>
        <v>0</v>
      </c>
      <c r="K50" s="16"/>
      <c r="L50" s="34">
        <f>D50-H50</f>
        <v>805.98999999999978</v>
      </c>
      <c r="M50" s="16"/>
      <c r="N50" s="30">
        <f>IF(H50=0,0,L50/H50)</f>
        <v>-9.8345193471555153E-2</v>
      </c>
      <c r="O50" s="27"/>
      <c r="P50" s="34">
        <f>+P46-P48</f>
        <v>-80941.87000000001</v>
      </c>
      <c r="Q50" s="15"/>
      <c r="R50" s="30">
        <f>IF(P$12=0,0,P50/P$12)</f>
        <v>0</v>
      </c>
      <c r="S50" s="15"/>
      <c r="T50" s="34">
        <f>+T46-T48</f>
        <v>-78573.849999999991</v>
      </c>
      <c r="U50" s="15"/>
      <c r="V50" s="30">
        <f>IF(T$12=0,0,T50/T$12)</f>
        <v>0</v>
      </c>
      <c r="W50" s="16"/>
      <c r="X50" s="34">
        <f>P50-T50</f>
        <v>-2368.0200000000186</v>
      </c>
      <c r="Y50" s="16"/>
      <c r="Z50" s="30">
        <f>IF(T50=0,0,X50/T50)</f>
        <v>3.0137507580448444E-2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8" t="s">
        <v>296</v>
      </c>
      <c r="C53" s="28"/>
      <c r="D53" s="29">
        <f>SUM(D50:D52)</f>
        <v>-7389.5300000000007</v>
      </c>
      <c r="E53" s="15"/>
      <c r="F53" s="35">
        <f>IF(D$12=0,0,D53/D$12)</f>
        <v>0</v>
      </c>
      <c r="G53" s="15"/>
      <c r="H53" s="29">
        <f>SUM(H50:H52)</f>
        <v>-8195.52</v>
      </c>
      <c r="I53" s="15"/>
      <c r="J53" s="35">
        <f>IF(H$12=0,0,H53/H$12)</f>
        <v>0</v>
      </c>
      <c r="K53" s="16"/>
      <c r="L53" s="29">
        <f>+D53-H53</f>
        <v>805.98999999999978</v>
      </c>
      <c r="M53" s="16"/>
      <c r="N53" s="35">
        <f>IF(H53=0,0,L53/H53)</f>
        <v>-9.8345193471555153E-2</v>
      </c>
      <c r="O53" s="27"/>
      <c r="P53" s="29">
        <f>SUM(P50:P52)</f>
        <v>-80941.87000000001</v>
      </c>
      <c r="Q53" s="15"/>
      <c r="R53" s="35">
        <f>IF(P$12=0,0,P53/P$12)</f>
        <v>0</v>
      </c>
      <c r="S53" s="15"/>
      <c r="T53" s="29">
        <f>SUM(T50:T52)</f>
        <v>-78573.849999999991</v>
      </c>
      <c r="U53" s="15"/>
      <c r="V53" s="35">
        <f>IF(T$12=0,0,T53/T$12)</f>
        <v>0</v>
      </c>
      <c r="W53" s="16"/>
      <c r="X53" s="29">
        <f>+P53-T53</f>
        <v>-2368.0200000000186</v>
      </c>
      <c r="Y53" s="16"/>
      <c r="Z53" s="35">
        <f>IF(T53=0,0,X53/T53)</f>
        <v>3.0137507580448444E-2</v>
      </c>
    </row>
    <row r="54" spans="1:26" ht="15" customHeight="1" x14ac:dyDescent="0.3">
      <c r="A54" s="10"/>
      <c r="C54" s="10"/>
      <c r="D54" s="18"/>
      <c r="E54" s="18"/>
      <c r="G54" s="18"/>
      <c r="H54" s="18"/>
      <c r="I54" s="18"/>
      <c r="J54" s="40"/>
      <c r="K54" s="18"/>
      <c r="L54" s="18"/>
      <c r="M54" s="18"/>
      <c r="P54" s="18"/>
      <c r="Q54" s="18"/>
      <c r="R54" s="40"/>
      <c r="S54" s="18"/>
      <c r="T54" s="18"/>
      <c r="U54" s="18"/>
      <c r="V54" s="40"/>
      <c r="W54" s="18"/>
      <c r="X54" s="18"/>
    </row>
    <row r="55" spans="1:26" ht="15" customHeight="1" x14ac:dyDescent="0.3">
      <c r="A55" s="10"/>
      <c r="B55" s="56">
        <v>44694.890829479169</v>
      </c>
      <c r="D55" s="18"/>
      <c r="E55" s="18"/>
      <c r="G55" s="18"/>
      <c r="H55" s="18"/>
      <c r="I55" s="18"/>
      <c r="J55" s="40"/>
      <c r="K55" s="18"/>
      <c r="L55" s="18"/>
      <c r="M55" s="18"/>
      <c r="P55" s="18"/>
      <c r="Q55" s="18"/>
      <c r="R55" s="40"/>
      <c r="S55" s="18"/>
      <c r="T55" s="18"/>
      <c r="U55" s="18"/>
      <c r="V55" s="40"/>
      <c r="W55" s="18"/>
      <c r="X55" s="18"/>
    </row>
    <row r="56" spans="1:26" ht="15" customHeight="1" x14ac:dyDescent="0.3">
      <c r="A56" s="10"/>
      <c r="B56" s="52" t="s">
        <v>297</v>
      </c>
      <c r="D56" s="18"/>
      <c r="E56" s="18"/>
      <c r="G56" s="18"/>
      <c r="H56" s="18"/>
      <c r="I56" s="18"/>
      <c r="J56" s="40"/>
      <c r="K56" s="18"/>
      <c r="L56" s="18"/>
      <c r="M56" s="18"/>
      <c r="P56" s="18"/>
      <c r="Q56" s="18"/>
      <c r="R56" s="40"/>
      <c r="S56" s="18"/>
      <c r="T56" s="18"/>
      <c r="U56" s="18"/>
      <c r="V56" s="40"/>
      <c r="W56" s="18"/>
      <c r="X56" s="18"/>
    </row>
    <row r="57" spans="1:26" ht="15" customHeight="1" x14ac:dyDescent="0.3">
      <c r="A57" s="10"/>
      <c r="B57" s="58"/>
      <c r="D57" s="18"/>
      <c r="E57" s="18"/>
      <c r="G57" s="18"/>
      <c r="H57" s="18"/>
      <c r="I57" s="18"/>
      <c r="J57" s="40"/>
      <c r="K57" s="18"/>
      <c r="L57" s="18"/>
      <c r="M57" s="18"/>
      <c r="P57" s="18"/>
      <c r="Q57" s="18"/>
      <c r="R57" s="40"/>
      <c r="S57" s="18"/>
      <c r="T57" s="18"/>
      <c r="U57" s="18"/>
      <c r="V57" s="40"/>
      <c r="W57" s="18"/>
      <c r="X57" s="18"/>
    </row>
    <row r="58" spans="1:26" ht="15" customHeight="1" x14ac:dyDescent="0.3">
      <c r="D58" s="18"/>
      <c r="E58" s="18"/>
      <c r="G58" s="18"/>
      <c r="H58" s="18"/>
      <c r="I58" s="18"/>
      <c r="J58" s="40"/>
      <c r="K58" s="18"/>
      <c r="L58" s="18"/>
      <c r="M58" s="18"/>
      <c r="P58" s="18"/>
      <c r="Q58" s="18"/>
      <c r="R58" s="40"/>
      <c r="S58" s="18"/>
      <c r="T58" s="18"/>
      <c r="U58" s="18"/>
      <c r="V58" s="40"/>
      <c r="W58" s="18"/>
      <c r="X5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BA58-6B8B-E503-557B-9211584A2F1A}">
  <sheetPr>
    <tabColor rgb="FF92D050"/>
    <outlinePr summaryBelow="0" summaryRight="0"/>
  </sheetPr>
  <dimension ref="A2:Z5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","206"," - ","Communications")</f>
        <v>Department 206 - Communications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11543.349999999999</v>
      </c>
      <c r="E18" s="22"/>
      <c r="F18" s="32">
        <f t="shared" ref="F18:F42" si="0">IF(D$12=0,0,D18/D$12)</f>
        <v>0</v>
      </c>
      <c r="G18" s="22"/>
      <c r="H18" s="22" cm="1">
        <f t="array" ref="H18">SUM(OSRRefH22x_0)</f>
        <v>8201.7900000000009</v>
      </c>
      <c r="I18" s="22"/>
      <c r="J18" s="32">
        <f t="shared" ref="J18:J42" si="1">IF(H$12=0,0,H18/H$12)</f>
        <v>0</v>
      </c>
      <c r="K18" s="5"/>
      <c r="L18" s="22">
        <f t="shared" ref="L18:L42" si="2">+D18-H18</f>
        <v>3341.5599999999977</v>
      </c>
      <c r="M18" s="5"/>
      <c r="N18" s="32">
        <f t="shared" ref="N18:N42" si="3">IF(H18=0,0,L18/H18)</f>
        <v>0.40741838062179075</v>
      </c>
      <c r="O18" s="11"/>
      <c r="P18" s="22" cm="1">
        <f t="array" ref="P18">SUM(OSRRefP22x_0)</f>
        <v>89610.909999999989</v>
      </c>
      <c r="Q18" s="22"/>
      <c r="R18" s="32">
        <f t="shared" ref="R18:R42" si="4">IF(P$12=0,0,P18/P$12)</f>
        <v>0</v>
      </c>
      <c r="S18" s="22"/>
      <c r="T18" s="22" cm="1">
        <f t="array" ref="T18">SUM(OSRRefT22x_0)</f>
        <v>87864.8</v>
      </c>
      <c r="U18" s="22"/>
      <c r="V18" s="32">
        <f t="shared" ref="V18:V42" si="5">IF(T$12=0,0,T18/T$12)</f>
        <v>0</v>
      </c>
      <c r="W18" s="5"/>
      <c r="X18" s="22">
        <f t="shared" ref="X18:X42" si="6">+P18-T18</f>
        <v>1746.109999999986</v>
      </c>
      <c r="Y18" s="5"/>
      <c r="Z18" s="32">
        <f t="shared" ref="Z18:Z42" si="7">IF(T18=0,0,X18/T18)</f>
        <v>1.9872690770365221E-2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2090.77</v>
      </c>
      <c r="E19" s="2"/>
      <c r="F19" s="6">
        <f t="shared" si="0"/>
        <v>0</v>
      </c>
      <c r="G19" s="2"/>
      <c r="H19" s="2">
        <f>SUM(OSRRefH22_0x_0)</f>
        <v>2371.4499999999998</v>
      </c>
      <c r="I19" s="2"/>
      <c r="J19" s="6">
        <f t="shared" si="1"/>
        <v>0</v>
      </c>
      <c r="K19" s="2"/>
      <c r="L19" s="2">
        <f t="shared" si="2"/>
        <v>-280.67999999999984</v>
      </c>
      <c r="M19" s="2"/>
      <c r="N19" s="6">
        <f t="shared" si="3"/>
        <v>-0.11835796664487966</v>
      </c>
      <c r="O19" s="14"/>
      <c r="P19" s="2">
        <f>SUM(OSRRefP22_0x_0)</f>
        <v>17983.919999999998</v>
      </c>
      <c r="Q19" s="2"/>
      <c r="R19" s="6">
        <f t="shared" si="4"/>
        <v>0</v>
      </c>
      <c r="S19" s="2"/>
      <c r="T19" s="2">
        <f>SUM(OSRRefT22_0x_0)</f>
        <v>18122.87</v>
      </c>
      <c r="U19" s="2"/>
      <c r="V19" s="6">
        <f t="shared" si="5"/>
        <v>0</v>
      </c>
      <c r="W19" s="2"/>
      <c r="X19" s="2">
        <f t="shared" si="6"/>
        <v>-138.95000000000073</v>
      </c>
      <c r="Y19" s="2"/>
      <c r="Z19" s="6">
        <f t="shared" si="7"/>
        <v>-7.6671079139231666E-3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938.33</v>
      </c>
      <c r="E20" s="3"/>
      <c r="F20" s="7">
        <f t="shared" si="0"/>
        <v>0</v>
      </c>
      <c r="G20" s="3"/>
      <c r="H20" s="8">
        <v>518.80999999999995</v>
      </c>
      <c r="I20" s="3"/>
      <c r="J20" s="7">
        <f t="shared" si="1"/>
        <v>0</v>
      </c>
      <c r="K20" s="3"/>
      <c r="L20" s="8">
        <f t="shared" si="2"/>
        <v>419.5200000000001</v>
      </c>
      <c r="M20" s="3"/>
      <c r="N20" s="7">
        <f t="shared" si="3"/>
        <v>0.80861972591122022</v>
      </c>
      <c r="O20" s="12"/>
      <c r="P20" s="8">
        <v>4935.5600000000004</v>
      </c>
      <c r="Q20" s="3"/>
      <c r="R20" s="7">
        <f t="shared" si="4"/>
        <v>0</v>
      </c>
      <c r="S20" s="3"/>
      <c r="T20" s="8">
        <v>4096.87</v>
      </c>
      <c r="U20" s="3"/>
      <c r="V20" s="7">
        <f t="shared" si="5"/>
        <v>0</v>
      </c>
      <c r="W20" s="3"/>
      <c r="X20" s="8">
        <f t="shared" si="6"/>
        <v>838.69000000000051</v>
      </c>
      <c r="Y20" s="3"/>
      <c r="Z20" s="7">
        <f t="shared" si="7"/>
        <v>0.20471481887392096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106.63</v>
      </c>
      <c r="E21" s="3"/>
      <c r="F21" s="7">
        <f t="shared" si="0"/>
        <v>0</v>
      </c>
      <c r="G21" s="3"/>
      <c r="H21" s="8">
        <v>18.100000000000001</v>
      </c>
      <c r="I21" s="3"/>
      <c r="J21" s="7">
        <f t="shared" si="1"/>
        <v>0</v>
      </c>
      <c r="K21" s="3"/>
      <c r="L21" s="8">
        <f t="shared" si="2"/>
        <v>88.53</v>
      </c>
      <c r="M21" s="3"/>
      <c r="N21" s="7">
        <f t="shared" si="3"/>
        <v>4.8911602209944745</v>
      </c>
      <c r="O21" s="12"/>
      <c r="P21" s="8">
        <v>880.03</v>
      </c>
      <c r="Q21" s="3"/>
      <c r="R21" s="7">
        <f t="shared" si="4"/>
        <v>0</v>
      </c>
      <c r="S21" s="3"/>
      <c r="T21" s="8">
        <v>206.99</v>
      </c>
      <c r="U21" s="3"/>
      <c r="V21" s="7">
        <f t="shared" si="5"/>
        <v>0</v>
      </c>
      <c r="W21" s="3"/>
      <c r="X21" s="8">
        <f t="shared" si="6"/>
        <v>673.04</v>
      </c>
      <c r="Y21" s="3"/>
      <c r="Z21" s="7">
        <f t="shared" si="7"/>
        <v>3.2515580462824287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39.83</v>
      </c>
      <c r="E22" s="3"/>
      <c r="F22" s="7">
        <f t="shared" si="0"/>
        <v>0</v>
      </c>
      <c r="G22" s="3"/>
      <c r="H22" s="8">
        <v>704.62</v>
      </c>
      <c r="I22" s="3"/>
      <c r="J22" s="7">
        <f t="shared" si="1"/>
        <v>0</v>
      </c>
      <c r="K22" s="3"/>
      <c r="L22" s="8">
        <f t="shared" si="2"/>
        <v>-664.79</v>
      </c>
      <c r="M22" s="3"/>
      <c r="N22" s="7">
        <f t="shared" si="3"/>
        <v>-0.94347307768726396</v>
      </c>
      <c r="O22" s="12"/>
      <c r="P22" s="8">
        <v>4375.79</v>
      </c>
      <c r="Q22" s="3"/>
      <c r="R22" s="7">
        <f t="shared" si="4"/>
        <v>0</v>
      </c>
      <c r="S22" s="3"/>
      <c r="T22" s="8">
        <v>7023.7</v>
      </c>
      <c r="U22" s="3"/>
      <c r="V22" s="7">
        <f t="shared" si="5"/>
        <v>0</v>
      </c>
      <c r="W22" s="3"/>
      <c r="X22" s="8">
        <f t="shared" si="6"/>
        <v>-2647.91</v>
      </c>
      <c r="Y22" s="3"/>
      <c r="Z22" s="7">
        <f t="shared" si="7"/>
        <v>-0.37699645485997407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21.49</v>
      </c>
      <c r="E23" s="3"/>
      <c r="F23" s="7">
        <f t="shared" si="0"/>
        <v>0</v>
      </c>
      <c r="G23" s="3"/>
      <c r="H23" s="8">
        <v>14.26</v>
      </c>
      <c r="I23" s="3"/>
      <c r="J23" s="7">
        <f t="shared" si="1"/>
        <v>0</v>
      </c>
      <c r="K23" s="3"/>
      <c r="L23" s="8">
        <f t="shared" si="2"/>
        <v>7.2299999999999986</v>
      </c>
      <c r="M23" s="3"/>
      <c r="N23" s="7">
        <f t="shared" si="3"/>
        <v>0.50701262272089753</v>
      </c>
      <c r="O23" s="12"/>
      <c r="P23" s="8">
        <v>177.38</v>
      </c>
      <c r="Q23" s="3"/>
      <c r="R23" s="7">
        <f t="shared" si="4"/>
        <v>0</v>
      </c>
      <c r="S23" s="3"/>
      <c r="T23" s="8">
        <v>163.09</v>
      </c>
      <c r="U23" s="3"/>
      <c r="V23" s="7">
        <f t="shared" si="5"/>
        <v>0</v>
      </c>
      <c r="W23" s="3"/>
      <c r="X23" s="8">
        <f t="shared" si="6"/>
        <v>14.289999999999992</v>
      </c>
      <c r="Y23" s="3"/>
      <c r="Z23" s="7">
        <f t="shared" si="7"/>
        <v>8.7620332331841258E-2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368.66</v>
      </c>
      <c r="I24" s="3"/>
      <c r="J24" s="7">
        <f t="shared" si="1"/>
        <v>0</v>
      </c>
      <c r="K24" s="3"/>
      <c r="L24" s="8">
        <f t="shared" si="2"/>
        <v>-368.66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1547.82</v>
      </c>
      <c r="U24" s="3"/>
      <c r="V24" s="7">
        <f t="shared" si="5"/>
        <v>0</v>
      </c>
      <c r="W24" s="3"/>
      <c r="X24" s="8">
        <f t="shared" si="6"/>
        <v>-1547.82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431.49</v>
      </c>
      <c r="E25" s="3"/>
      <c r="F25" s="7">
        <f t="shared" si="0"/>
        <v>0</v>
      </c>
      <c r="G25" s="3"/>
      <c r="H25" s="8">
        <v>414.9</v>
      </c>
      <c r="I25" s="3"/>
      <c r="J25" s="7">
        <f t="shared" si="1"/>
        <v>0</v>
      </c>
      <c r="K25" s="3"/>
      <c r="L25" s="8">
        <f t="shared" si="2"/>
        <v>16.590000000000032</v>
      </c>
      <c r="M25" s="3"/>
      <c r="N25" s="7">
        <f t="shared" si="3"/>
        <v>3.9985538684020328E-2</v>
      </c>
      <c r="O25" s="12"/>
      <c r="P25" s="8">
        <v>3171.29</v>
      </c>
      <c r="Q25" s="3"/>
      <c r="R25" s="7">
        <f t="shared" si="4"/>
        <v>0</v>
      </c>
      <c r="S25" s="3"/>
      <c r="T25" s="8">
        <v>2538.3000000000002</v>
      </c>
      <c r="U25" s="3"/>
      <c r="V25" s="7">
        <f t="shared" si="5"/>
        <v>0</v>
      </c>
      <c r="W25" s="3"/>
      <c r="X25" s="8">
        <f t="shared" si="6"/>
        <v>632.98999999999978</v>
      </c>
      <c r="Y25" s="3"/>
      <c r="Z25" s="7">
        <f t="shared" si="7"/>
        <v>0.24937556632391747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345.39</v>
      </c>
      <c r="E26" s="3"/>
      <c r="F26" s="7">
        <f t="shared" si="0"/>
        <v>0</v>
      </c>
      <c r="G26" s="3"/>
      <c r="H26" s="8">
        <v>332.1</v>
      </c>
      <c r="I26" s="3"/>
      <c r="J26" s="7">
        <f t="shared" si="1"/>
        <v>0</v>
      </c>
      <c r="K26" s="3"/>
      <c r="L26" s="8">
        <f t="shared" si="2"/>
        <v>13.289999999999964</v>
      </c>
      <c r="M26" s="3"/>
      <c r="N26" s="7">
        <f t="shared" si="3"/>
        <v>4.0018066847335027E-2</v>
      </c>
      <c r="O26" s="12"/>
      <c r="P26" s="8">
        <v>2802.4</v>
      </c>
      <c r="Q26" s="3"/>
      <c r="R26" s="7">
        <f t="shared" si="4"/>
        <v>0</v>
      </c>
      <c r="S26" s="3"/>
      <c r="T26" s="8">
        <v>2546.1</v>
      </c>
      <c r="U26" s="3"/>
      <c r="V26" s="7">
        <f t="shared" si="5"/>
        <v>0</v>
      </c>
      <c r="W26" s="3"/>
      <c r="X26" s="8">
        <f t="shared" si="6"/>
        <v>256.30000000000018</v>
      </c>
      <c r="Y26" s="3"/>
      <c r="Z26" s="7">
        <f t="shared" si="7"/>
        <v>0.10066376026079109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207.61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207.61</v>
      </c>
      <c r="M27" s="3"/>
      <c r="N27" s="7">
        <f t="shared" si="3"/>
        <v>0</v>
      </c>
      <c r="O27" s="12"/>
      <c r="P27" s="8">
        <v>1641.47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1641.47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9243.369999999999</v>
      </c>
      <c r="E28" s="2"/>
      <c r="F28" s="6">
        <f t="shared" si="0"/>
        <v>0</v>
      </c>
      <c r="G28" s="2"/>
      <c r="H28" s="2">
        <f>SUM(OSRRefH22_1x_0)</f>
        <v>5794.34</v>
      </c>
      <c r="I28" s="2"/>
      <c r="J28" s="6">
        <f t="shared" si="1"/>
        <v>0</v>
      </c>
      <c r="K28" s="2"/>
      <c r="L28" s="2">
        <f t="shared" si="2"/>
        <v>3449.0299999999988</v>
      </c>
      <c r="M28" s="2"/>
      <c r="N28" s="6">
        <f t="shared" si="3"/>
        <v>0.59524121815426756</v>
      </c>
      <c r="O28" s="14"/>
      <c r="P28" s="2">
        <f>SUM(OSRRefP22_1x_0)</f>
        <v>69268.86</v>
      </c>
      <c r="Q28" s="2"/>
      <c r="R28" s="6">
        <f t="shared" si="4"/>
        <v>0</v>
      </c>
      <c r="S28" s="2"/>
      <c r="T28" s="2">
        <f>SUM(OSRRefT22_1x_0)</f>
        <v>65959.95</v>
      </c>
      <c r="U28" s="2"/>
      <c r="V28" s="6">
        <f t="shared" si="5"/>
        <v>0</v>
      </c>
      <c r="W28" s="2"/>
      <c r="X28" s="2">
        <f t="shared" si="6"/>
        <v>3308.9100000000035</v>
      </c>
      <c r="Y28" s="2"/>
      <c r="Z28" s="6">
        <f t="shared" si="7"/>
        <v>5.016544130188097E-2</v>
      </c>
    </row>
    <row r="29" spans="1:26" s="69" customFormat="1" ht="15" hidden="1" customHeight="1" outlineLevel="2" x14ac:dyDescent="0.3">
      <c r="A29" s="26"/>
      <c r="B29" s="12" t="str">
        <f>CONCATENATE("          ","6004"," - ","STAFF HOURLY")</f>
        <v xml:space="preserve">          6004 - STAFF HOURLY</v>
      </c>
      <c r="C29" s="12"/>
      <c r="D29" s="8">
        <v>6705.98</v>
      </c>
      <c r="E29" s="3"/>
      <c r="F29" s="7">
        <f t="shared" si="0"/>
        <v>0</v>
      </c>
      <c r="G29" s="3"/>
      <c r="H29" s="8">
        <v>5730</v>
      </c>
      <c r="I29" s="3"/>
      <c r="J29" s="7">
        <f t="shared" si="1"/>
        <v>0</v>
      </c>
      <c r="K29" s="3"/>
      <c r="L29" s="8">
        <f t="shared" si="2"/>
        <v>975.97999999999956</v>
      </c>
      <c r="M29" s="3"/>
      <c r="N29" s="7">
        <f t="shared" si="3"/>
        <v>0.17032809773123903</v>
      </c>
      <c r="O29" s="12"/>
      <c r="P29" s="8">
        <v>50192.86</v>
      </c>
      <c r="Q29" s="3"/>
      <c r="R29" s="7">
        <f t="shared" si="4"/>
        <v>0</v>
      </c>
      <c r="S29" s="3"/>
      <c r="T29" s="8">
        <v>52490.1</v>
      </c>
      <c r="U29" s="3"/>
      <c r="V29" s="7">
        <f t="shared" si="5"/>
        <v>0</v>
      </c>
      <c r="W29" s="3"/>
      <c r="X29" s="8">
        <f t="shared" si="6"/>
        <v>-2297.239999999998</v>
      </c>
      <c r="Y29" s="3"/>
      <c r="Z29" s="7">
        <f t="shared" si="7"/>
        <v>-4.3765205248227725E-2</v>
      </c>
    </row>
    <row r="30" spans="1:26" s="69" customFormat="1" ht="15" hidden="1" customHeight="1" outlineLevel="2" x14ac:dyDescent="0.3">
      <c r="A30" s="26"/>
      <c r="B30" s="12" t="str">
        <f>CONCATENATE("          ","6005"," - ","TEMPORARY WAGES-HOURLY")</f>
        <v xml:space="preserve">          6005 - TEMPORARY WAGES-HOURLY</v>
      </c>
      <c r="C30" s="12"/>
      <c r="D30" s="8">
        <v>4561.3900000000003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4561.3900000000003</v>
      </c>
      <c r="M30" s="3"/>
      <c r="N30" s="7">
        <f t="shared" si="3"/>
        <v>0</v>
      </c>
      <c r="O30" s="12"/>
      <c r="P30" s="8">
        <v>7600.8</v>
      </c>
      <c r="Q30" s="3"/>
      <c r="R30" s="7">
        <f t="shared" si="4"/>
        <v>0</v>
      </c>
      <c r="S30" s="3"/>
      <c r="T30" s="8"/>
      <c r="U30" s="3"/>
      <c r="V30" s="7">
        <f t="shared" si="5"/>
        <v>0</v>
      </c>
      <c r="W30" s="3"/>
      <c r="X30" s="8">
        <f t="shared" si="6"/>
        <v>7600.8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","6007"," - ","STUDENT HOURLY")</f>
        <v xml:space="preserve">          6007 - STUDENT HOURLY</v>
      </c>
      <c r="C31" s="12"/>
      <c r="D31" s="8">
        <v>-2024</v>
      </c>
      <c r="E31" s="3"/>
      <c r="F31" s="7">
        <f t="shared" si="0"/>
        <v>0</v>
      </c>
      <c r="G31" s="3"/>
      <c r="H31" s="8">
        <v>-1491</v>
      </c>
      <c r="I31" s="3"/>
      <c r="J31" s="7">
        <f t="shared" si="1"/>
        <v>0</v>
      </c>
      <c r="K31" s="3"/>
      <c r="L31" s="8">
        <f t="shared" si="2"/>
        <v>-533</v>
      </c>
      <c r="M31" s="3"/>
      <c r="N31" s="7">
        <f t="shared" si="3"/>
        <v>0.35747820254862506</v>
      </c>
      <c r="O31" s="12"/>
      <c r="P31" s="8">
        <v>0</v>
      </c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","6008"," - ","STUDENT HOURLY-FICA EXEMPT")</f>
        <v xml:space="preserve">          6008 - STUDENT HOURLY-FICA EXEMPT</v>
      </c>
      <c r="C32" s="12"/>
      <c r="D32" s="8"/>
      <c r="E32" s="3"/>
      <c r="F32" s="7">
        <f t="shared" si="0"/>
        <v>0</v>
      </c>
      <c r="G32" s="3"/>
      <c r="H32" s="8">
        <v>1555.34</v>
      </c>
      <c r="I32" s="3"/>
      <c r="J32" s="7">
        <f t="shared" si="1"/>
        <v>0</v>
      </c>
      <c r="K32" s="3"/>
      <c r="L32" s="8">
        <f t="shared" si="2"/>
        <v>-1555.34</v>
      </c>
      <c r="M32" s="3"/>
      <c r="N32" s="7">
        <f t="shared" si="3"/>
        <v>-1</v>
      </c>
      <c r="O32" s="12"/>
      <c r="P32" s="8">
        <v>11475.2</v>
      </c>
      <c r="Q32" s="3"/>
      <c r="R32" s="7">
        <f t="shared" si="4"/>
        <v>0</v>
      </c>
      <c r="S32" s="3"/>
      <c r="T32" s="8">
        <v>13469.85</v>
      </c>
      <c r="U32" s="3"/>
      <c r="V32" s="7">
        <f t="shared" si="5"/>
        <v>0</v>
      </c>
      <c r="W32" s="3"/>
      <c r="X32" s="8">
        <f t="shared" si="6"/>
        <v>-1994.6499999999996</v>
      </c>
      <c r="Y32" s="3"/>
      <c r="Z32" s="7">
        <f t="shared" si="7"/>
        <v>-0.14808256959060417</v>
      </c>
    </row>
    <row r="33" spans="1:26" s="68" customFormat="1" ht="15" customHeight="1" outlineLevel="1" collapsed="1" x14ac:dyDescent="0.3">
      <c r="A33" s="25"/>
      <c r="B33" s="14" t="str">
        <f>CONCATENATE("     ","Advertising/Promo                                 ")</f>
        <v xml:space="preserve">     Advertising/Promo                                 </v>
      </c>
      <c r="C33" s="14"/>
      <c r="D33" s="2">
        <f>SUM(OSRRefD22_2x_0)</f>
        <v>173.21</v>
      </c>
      <c r="E33" s="2"/>
      <c r="F33" s="6">
        <f t="shared" si="0"/>
        <v>0</v>
      </c>
      <c r="G33" s="2"/>
      <c r="H33" s="2">
        <f>SUM(OSRRefH22_2x_0)</f>
        <v>0</v>
      </c>
      <c r="I33" s="2"/>
      <c r="J33" s="6">
        <f t="shared" si="1"/>
        <v>0</v>
      </c>
      <c r="K33" s="2"/>
      <c r="L33" s="2">
        <f t="shared" si="2"/>
        <v>173.21</v>
      </c>
      <c r="M33" s="2"/>
      <c r="N33" s="6">
        <f t="shared" si="3"/>
        <v>0</v>
      </c>
      <c r="O33" s="14"/>
      <c r="P33" s="2">
        <f>SUM(OSRRefP22_2x_0)</f>
        <v>1792.33</v>
      </c>
      <c r="Q33" s="2"/>
      <c r="R33" s="6">
        <f t="shared" si="4"/>
        <v>0</v>
      </c>
      <c r="S33" s="2"/>
      <c r="T33" s="2">
        <f>SUM(OSRRefT22_2x_0)</f>
        <v>1558.89</v>
      </c>
      <c r="U33" s="2"/>
      <c r="V33" s="6">
        <f t="shared" si="5"/>
        <v>0</v>
      </c>
      <c r="W33" s="2"/>
      <c r="X33" s="2">
        <f t="shared" si="6"/>
        <v>233.43999999999983</v>
      </c>
      <c r="Y33" s="2"/>
      <c r="Z33" s="6">
        <f t="shared" si="7"/>
        <v>0.14974757680144193</v>
      </c>
    </row>
    <row r="34" spans="1:26" s="69" customFormat="1" ht="15" hidden="1" customHeight="1" outlineLevel="2" x14ac:dyDescent="0.3">
      <c r="A34" s="26"/>
      <c r="B34" s="12" t="str">
        <f>CONCATENATE("          ","6362"," - ","ADVERTISING EXPENSE")</f>
        <v xml:space="preserve">          6362 - ADVERTISING EXPENSE</v>
      </c>
      <c r="C34" s="12"/>
      <c r="D34" s="8">
        <v>173.21</v>
      </c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173.21</v>
      </c>
      <c r="M34" s="3"/>
      <c r="N34" s="7">
        <f t="shared" si="3"/>
        <v>0</v>
      </c>
      <c r="O34" s="12"/>
      <c r="P34" s="8">
        <v>1792.33</v>
      </c>
      <c r="Q34" s="3"/>
      <c r="R34" s="7">
        <f t="shared" si="4"/>
        <v>0</v>
      </c>
      <c r="S34" s="3"/>
      <c r="T34" s="8">
        <v>1558.89</v>
      </c>
      <c r="U34" s="3"/>
      <c r="V34" s="7">
        <f t="shared" si="5"/>
        <v>0</v>
      </c>
      <c r="W34" s="3"/>
      <c r="X34" s="8">
        <f t="shared" si="6"/>
        <v>233.43999999999983</v>
      </c>
      <c r="Y34" s="3"/>
      <c r="Z34" s="7">
        <f t="shared" si="7"/>
        <v>0.14974757680144193</v>
      </c>
    </row>
    <row r="35" spans="1:26" s="68" customFormat="1" ht="15" customHeight="1" outlineLevel="1" collapsed="1" x14ac:dyDescent="0.3">
      <c r="A35" s="25"/>
      <c r="B35" s="14" t="str">
        <f>CONCATENATE("     ","Depreciation                                      ")</f>
        <v xml:space="preserve">     Depreciation                                      </v>
      </c>
      <c r="C35" s="14"/>
      <c r="D35" s="2">
        <f>SUM(OSRRefD22_3x_0)</f>
        <v>0</v>
      </c>
      <c r="E35" s="2"/>
      <c r="F35" s="6">
        <f t="shared" si="0"/>
        <v>0</v>
      </c>
      <c r="G35" s="2"/>
      <c r="H35" s="2">
        <f>SUM(OSRRefH22_3x_0)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SUM(OSRRefP22_3x_0)</f>
        <v>0</v>
      </c>
      <c r="Q35" s="2"/>
      <c r="R35" s="6">
        <f t="shared" si="4"/>
        <v>0</v>
      </c>
      <c r="S35" s="2"/>
      <c r="T35" s="2">
        <f>SUM(OSRRefT22_3x_0)</f>
        <v>1898.94</v>
      </c>
      <c r="U35" s="2"/>
      <c r="V35" s="6">
        <f t="shared" si="5"/>
        <v>0</v>
      </c>
      <c r="W35" s="2"/>
      <c r="X35" s="2">
        <f t="shared" si="6"/>
        <v>-1898.94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","6322"," - ","EQUIPMENT DEPRECIATION EXPENSE")</f>
        <v xml:space="preserve">          6322 - EQUIPMENT DEPRECIATION EXPENSE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1898.94</v>
      </c>
      <c r="U36" s="3"/>
      <c r="V36" s="7">
        <f t="shared" si="5"/>
        <v>0</v>
      </c>
      <c r="W36" s="3"/>
      <c r="X36" s="8">
        <f t="shared" si="6"/>
        <v>-1898.94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","Repair and Maintenance                            ")</f>
        <v xml:space="preserve">     Repair and Maintenance                            </v>
      </c>
      <c r="C37" s="14"/>
      <c r="D37" s="2">
        <f>SUM(OSRRefD22_4x_0)</f>
        <v>0</v>
      </c>
      <c r="E37" s="2"/>
      <c r="F37" s="6">
        <f t="shared" si="0"/>
        <v>0</v>
      </c>
      <c r="G37" s="2"/>
      <c r="H37" s="2">
        <f>SUM(OSRRefH22_4x_0)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SUM(OSRRefP22_4x_0)</f>
        <v>63.36</v>
      </c>
      <c r="Q37" s="2"/>
      <c r="R37" s="6">
        <f t="shared" si="4"/>
        <v>0</v>
      </c>
      <c r="S37" s="2"/>
      <c r="T37" s="2">
        <f>SUM(OSRRefT22_4x_0)</f>
        <v>0</v>
      </c>
      <c r="U37" s="2"/>
      <c r="V37" s="6">
        <f t="shared" si="5"/>
        <v>0</v>
      </c>
      <c r="W37" s="2"/>
      <c r="X37" s="2">
        <f t="shared" si="6"/>
        <v>63.36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","6375"," - ","OUTSIDE REPAIRS &amp; MAINTENANCE")</f>
        <v xml:space="preserve">          6375 - OUTSIDE REPAIRS &amp; MAINTENANCE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63.36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63.36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","Supplies                                          ")</f>
        <v xml:space="preserve">     Supplies                                          </v>
      </c>
      <c r="C39" s="14"/>
      <c r="D39" s="2">
        <f>SUM(OSRRefD22_5x_0)</f>
        <v>0</v>
      </c>
      <c r="E39" s="2"/>
      <c r="F39" s="6">
        <f t="shared" si="0"/>
        <v>0</v>
      </c>
      <c r="G39" s="2"/>
      <c r="H39" s="2">
        <f>SUM(OSRRefH22_5x_0)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SUM(OSRRefP22_5x_0)</f>
        <v>70.040000000000006</v>
      </c>
      <c r="Q39" s="2"/>
      <c r="R39" s="6">
        <f t="shared" si="4"/>
        <v>0</v>
      </c>
      <c r="S39" s="2"/>
      <c r="T39" s="2">
        <f>SUM(OSRRefT22_5x_0)</f>
        <v>0</v>
      </c>
      <c r="U39" s="2"/>
      <c r="V39" s="6">
        <f t="shared" si="5"/>
        <v>0</v>
      </c>
      <c r="W39" s="2"/>
      <c r="X39" s="2">
        <f t="shared" si="6"/>
        <v>70.040000000000006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","6241"," - ","OFFICE EXPENSE")</f>
        <v xml:space="preserve">          6241 - OFFICE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70.040000000000006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70.040000000000006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","Telephone/Data Lines                              ")</f>
        <v xml:space="preserve">     Telephone/Data Lines                              </v>
      </c>
      <c r="C41" s="14"/>
      <c r="D41" s="2">
        <f>SUM(OSRRefD22_6x_0)</f>
        <v>36</v>
      </c>
      <c r="E41" s="2"/>
      <c r="F41" s="6">
        <f t="shared" si="0"/>
        <v>0</v>
      </c>
      <c r="G41" s="2"/>
      <c r="H41" s="2">
        <f>SUM(OSRRefH22_6x_0)</f>
        <v>36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SUM(OSRRefP22_6x_0)</f>
        <v>432.4</v>
      </c>
      <c r="Q41" s="2"/>
      <c r="R41" s="6">
        <f t="shared" si="4"/>
        <v>0</v>
      </c>
      <c r="S41" s="2"/>
      <c r="T41" s="2">
        <f>SUM(OSRRefT22_6x_0)</f>
        <v>324.14999999999998</v>
      </c>
      <c r="U41" s="2"/>
      <c r="V41" s="6">
        <f t="shared" si="5"/>
        <v>0</v>
      </c>
      <c r="W41" s="2"/>
      <c r="X41" s="2">
        <f t="shared" si="6"/>
        <v>108.25</v>
      </c>
      <c r="Y41" s="2"/>
      <c r="Z41" s="6">
        <f t="shared" si="7"/>
        <v>0.33395033163658805</v>
      </c>
    </row>
    <row r="42" spans="1:26" s="69" customFormat="1" ht="15" hidden="1" customHeight="1" outlineLevel="2" x14ac:dyDescent="0.3">
      <c r="A42" s="26"/>
      <c r="B42" s="12" t="str">
        <f>CONCATENATE("          ","6309"," - ","TELEPHONE")</f>
        <v xml:space="preserve">          6309 - TELEPHONE</v>
      </c>
      <c r="C42" s="12"/>
      <c r="D42" s="8">
        <v>36</v>
      </c>
      <c r="E42" s="3"/>
      <c r="F42" s="7">
        <f t="shared" si="0"/>
        <v>0</v>
      </c>
      <c r="G42" s="3"/>
      <c r="H42" s="8">
        <v>36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432.4</v>
      </c>
      <c r="Q42" s="3"/>
      <c r="R42" s="7">
        <f t="shared" si="4"/>
        <v>0</v>
      </c>
      <c r="S42" s="3"/>
      <c r="T42" s="8">
        <v>324.14999999999998</v>
      </c>
      <c r="U42" s="3"/>
      <c r="V42" s="7">
        <f t="shared" si="5"/>
        <v>0</v>
      </c>
      <c r="W42" s="3"/>
      <c r="X42" s="8">
        <f t="shared" si="6"/>
        <v>108.25</v>
      </c>
      <c r="Y42" s="3"/>
      <c r="Z42" s="7">
        <f t="shared" si="7"/>
        <v>0.33395033163658805</v>
      </c>
    </row>
    <row r="43" spans="1:26" s="64" customFormat="1" ht="15" customHeight="1" x14ac:dyDescent="0.3">
      <c r="A43" s="36"/>
      <c r="B43" s="36"/>
      <c r="C43" s="36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2" customFormat="1" ht="15" customHeight="1" x14ac:dyDescent="0.3">
      <c r="A44" s="11"/>
      <c r="B44" s="27" t="s">
        <v>290</v>
      </c>
      <c r="C44" s="11"/>
      <c r="D44" s="5">
        <f>SUM(0)</f>
        <v>0</v>
      </c>
      <c r="E44" s="5"/>
      <c r="F44" s="13">
        <f>IF(D$12=0,0,D44/D$12)</f>
        <v>0</v>
      </c>
      <c r="G44" s="5"/>
      <c r="H44" s="5">
        <f>SUM(0)</f>
        <v>0</v>
      </c>
      <c r="I44" s="5"/>
      <c r="J44" s="13">
        <f>IF(H$12=0,0,H44/H$12)</f>
        <v>0</v>
      </c>
      <c r="K44" s="5"/>
      <c r="L44" s="5">
        <f>+D44-H44</f>
        <v>0</v>
      </c>
      <c r="M44" s="5"/>
      <c r="N44" s="13">
        <f>IF(H44=0,0,L44/H44)</f>
        <v>0</v>
      </c>
      <c r="O44" s="11"/>
      <c r="P44" s="5">
        <f>SUM(0)</f>
        <v>0</v>
      </c>
      <c r="Q44" s="5"/>
      <c r="R44" s="13">
        <f>IF(P$12=0,0,P44/P$12)</f>
        <v>0</v>
      </c>
      <c r="S44" s="5"/>
      <c r="T44" s="5">
        <f>SUM(0)</f>
        <v>0</v>
      </c>
      <c r="U44" s="5"/>
      <c r="V44" s="13">
        <f>IF(T$12=0,0,T44/T$12)</f>
        <v>0</v>
      </c>
      <c r="W44" s="5"/>
      <c r="X44" s="5">
        <f>+P44-T44</f>
        <v>0</v>
      </c>
      <c r="Y44" s="5"/>
      <c r="Z44" s="13">
        <f>IF(T44=0,0,X44/T44)</f>
        <v>0</v>
      </c>
    </row>
    <row r="45" spans="1:26" ht="15" customHeight="1" x14ac:dyDescent="0.3">
      <c r="A45" s="10"/>
      <c r="B45" s="11"/>
      <c r="C45" s="11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O45" s="11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11"/>
      <c r="B46" s="28" t="s">
        <v>291</v>
      </c>
      <c r="C46" s="28"/>
      <c r="D46" s="21">
        <f>+D16-D18+D44</f>
        <v>-11543.349999999999</v>
      </c>
      <c r="E46" s="15"/>
      <c r="F46" s="23">
        <f>IF(D$12=0,0,D46/D$12)</f>
        <v>0</v>
      </c>
      <c r="G46" s="15"/>
      <c r="H46" s="21">
        <f>+H16-H18+H44</f>
        <v>-8201.7900000000009</v>
      </c>
      <c r="I46" s="15"/>
      <c r="J46" s="23">
        <f>IF(H$12=0,0,H46/H$12)</f>
        <v>0</v>
      </c>
      <c r="K46" s="16"/>
      <c r="L46" s="21">
        <f>+D46-H46</f>
        <v>-3341.5599999999977</v>
      </c>
      <c r="M46" s="16"/>
      <c r="N46" s="23">
        <f>IF(H46=0,0,L46/H46)</f>
        <v>0.40741838062179075</v>
      </c>
      <c r="O46" s="27"/>
      <c r="P46" s="21">
        <f>+P16-P18+P44</f>
        <v>-89610.909999999989</v>
      </c>
      <c r="Q46" s="15"/>
      <c r="R46" s="23">
        <f>IF(P$12=0,0,P46/P$12)</f>
        <v>0</v>
      </c>
      <c r="S46" s="15"/>
      <c r="T46" s="21">
        <f>+T16-T18+T44</f>
        <v>-87864.8</v>
      </c>
      <c r="U46" s="15"/>
      <c r="V46" s="23">
        <f>IF(T$12=0,0,T46/T$12)</f>
        <v>0</v>
      </c>
      <c r="W46" s="16"/>
      <c r="X46" s="21">
        <f>+P46-T46</f>
        <v>-1746.109999999986</v>
      </c>
      <c r="Y46" s="16"/>
      <c r="Z46" s="23">
        <f>IF(T46=0,0,X46/T46)</f>
        <v>1.9872690770365221E-2</v>
      </c>
    </row>
    <row r="47" spans="1:26" ht="15" customHeight="1" x14ac:dyDescent="0.3">
      <c r="A47" s="10"/>
      <c r="B47" s="11"/>
      <c r="C47" s="10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48"/>
      <c r="B48" s="11" t="s">
        <v>292</v>
      </c>
      <c r="C48" s="11"/>
      <c r="D48" s="5"/>
      <c r="E48" s="5"/>
      <c r="F48" s="13">
        <f>IF(D$12=0,0,D48/D$12)</f>
        <v>0</v>
      </c>
      <c r="G48" s="5"/>
      <c r="H48" s="5"/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/>
      <c r="Q48" s="5"/>
      <c r="R48" s="13">
        <f>IF(P$12=0,0,P48/P$12)</f>
        <v>0</v>
      </c>
      <c r="S48" s="5"/>
      <c r="T48" s="5"/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293</v>
      </c>
      <c r="C50" s="28"/>
      <c r="D50" s="34">
        <f>+D46-D48</f>
        <v>-11543.349999999999</v>
      </c>
      <c r="E50" s="15"/>
      <c r="F50" s="30">
        <f>IF(D$12=0,0,D50/D$12)</f>
        <v>0</v>
      </c>
      <c r="G50" s="15"/>
      <c r="H50" s="34">
        <f>+H46-H48</f>
        <v>-8201.7900000000009</v>
      </c>
      <c r="I50" s="15"/>
      <c r="J50" s="30">
        <f>IF(H$12=0,0,H50/H$12)</f>
        <v>0</v>
      </c>
      <c r="K50" s="16"/>
      <c r="L50" s="34">
        <f>D50-H50</f>
        <v>-3341.5599999999977</v>
      </c>
      <c r="M50" s="16"/>
      <c r="N50" s="30">
        <f>IF(H50=0,0,L50/H50)</f>
        <v>0.40741838062179075</v>
      </c>
      <c r="O50" s="27"/>
      <c r="P50" s="34">
        <f>+P46-P48</f>
        <v>-89610.909999999989</v>
      </c>
      <c r="Q50" s="15"/>
      <c r="R50" s="30">
        <f>IF(P$12=0,0,P50/P$12)</f>
        <v>0</v>
      </c>
      <c r="S50" s="15"/>
      <c r="T50" s="34">
        <f>+T46-T48</f>
        <v>-87864.8</v>
      </c>
      <c r="U50" s="15"/>
      <c r="V50" s="30">
        <f>IF(T$12=0,0,T50/T$12)</f>
        <v>0</v>
      </c>
      <c r="W50" s="16"/>
      <c r="X50" s="34">
        <f>P50-T50</f>
        <v>-1746.109999999986</v>
      </c>
      <c r="Y50" s="16"/>
      <c r="Z50" s="30">
        <f>IF(T50=0,0,X50/T50)</f>
        <v>1.9872690770365221E-2</v>
      </c>
    </row>
    <row r="51" spans="1:26" ht="15" customHeight="1" x14ac:dyDescent="0.3">
      <c r="A51" s="10"/>
      <c r="B51" s="10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2" customFormat="1" ht="15" customHeight="1" x14ac:dyDescent="0.3">
      <c r="A53" s="11"/>
      <c r="B53" s="28" t="s">
        <v>296</v>
      </c>
      <c r="C53" s="28"/>
      <c r="D53" s="29">
        <f>SUM(D50:D52)</f>
        <v>-11543.349999999999</v>
      </c>
      <c r="E53" s="15"/>
      <c r="F53" s="35">
        <f>IF(D$12=0,0,D53/D$12)</f>
        <v>0</v>
      </c>
      <c r="G53" s="15"/>
      <c r="H53" s="29">
        <f>SUM(H50:H52)</f>
        <v>-8201.7900000000009</v>
      </c>
      <c r="I53" s="15"/>
      <c r="J53" s="35">
        <f>IF(H$12=0,0,H53/H$12)</f>
        <v>0</v>
      </c>
      <c r="K53" s="16"/>
      <c r="L53" s="29">
        <f>+D53-H53</f>
        <v>-3341.5599999999977</v>
      </c>
      <c r="M53" s="16"/>
      <c r="N53" s="35">
        <f>IF(H53=0,0,L53/H53)</f>
        <v>0.40741838062179075</v>
      </c>
      <c r="O53" s="27"/>
      <c r="P53" s="29">
        <f>SUM(P50:P52)</f>
        <v>-89610.909999999989</v>
      </c>
      <c r="Q53" s="15"/>
      <c r="R53" s="35">
        <f>IF(P$12=0,0,P53/P$12)</f>
        <v>0</v>
      </c>
      <c r="S53" s="15"/>
      <c r="T53" s="29">
        <f>SUM(T50:T52)</f>
        <v>-87864.8</v>
      </c>
      <c r="U53" s="15"/>
      <c r="V53" s="35">
        <f>IF(T$12=0,0,T53/T$12)</f>
        <v>0</v>
      </c>
      <c r="W53" s="16"/>
      <c r="X53" s="29">
        <f>+P53-T53</f>
        <v>-1746.109999999986</v>
      </c>
      <c r="Y53" s="16"/>
      <c r="Z53" s="35">
        <f>IF(T53=0,0,X53/T53)</f>
        <v>1.9872690770365221E-2</v>
      </c>
    </row>
    <row r="54" spans="1:26" ht="15" customHeight="1" x14ac:dyDescent="0.3">
      <c r="A54" s="10"/>
      <c r="C54" s="10"/>
      <c r="D54" s="18"/>
      <c r="E54" s="18"/>
      <c r="G54" s="18"/>
      <c r="H54" s="18"/>
      <c r="I54" s="18"/>
      <c r="J54" s="40"/>
      <c r="K54" s="18"/>
      <c r="L54" s="18"/>
      <c r="M54" s="18"/>
      <c r="P54" s="18"/>
      <c r="Q54" s="18"/>
      <c r="R54" s="40"/>
      <c r="S54" s="18"/>
      <c r="T54" s="18"/>
      <c r="U54" s="18"/>
      <c r="V54" s="40"/>
      <c r="W54" s="18"/>
      <c r="X54" s="18"/>
    </row>
    <row r="55" spans="1:26" ht="15" customHeight="1" x14ac:dyDescent="0.3">
      <c r="A55" s="10"/>
      <c r="B55" s="56">
        <v>44694.890829479169</v>
      </c>
      <c r="D55" s="18"/>
      <c r="E55" s="18"/>
      <c r="G55" s="18"/>
      <c r="H55" s="18"/>
      <c r="I55" s="18"/>
      <c r="J55" s="40"/>
      <c r="K55" s="18"/>
      <c r="L55" s="18"/>
      <c r="M55" s="18"/>
      <c r="P55" s="18"/>
      <c r="Q55" s="18"/>
      <c r="R55" s="40"/>
      <c r="S55" s="18"/>
      <c r="T55" s="18"/>
      <c r="U55" s="18"/>
      <c r="V55" s="40"/>
      <c r="W55" s="18"/>
      <c r="X55" s="18"/>
    </row>
    <row r="56" spans="1:26" ht="15" customHeight="1" x14ac:dyDescent="0.3">
      <c r="A56" s="10"/>
      <c r="B56" s="52" t="s">
        <v>297</v>
      </c>
      <c r="D56" s="18"/>
      <c r="E56" s="18"/>
      <c r="G56" s="18"/>
      <c r="H56" s="18"/>
      <c r="I56" s="18"/>
      <c r="J56" s="40"/>
      <c r="K56" s="18"/>
      <c r="L56" s="18"/>
      <c r="M56" s="18"/>
      <c r="P56" s="18"/>
      <c r="Q56" s="18"/>
      <c r="R56" s="40"/>
      <c r="S56" s="18"/>
      <c r="T56" s="18"/>
      <c r="U56" s="18"/>
      <c r="V56" s="40"/>
      <c r="W56" s="18"/>
      <c r="X56" s="18"/>
    </row>
    <row r="57" spans="1:26" ht="15" customHeight="1" x14ac:dyDescent="0.3">
      <c r="A57" s="10"/>
      <c r="B57" s="58"/>
      <c r="D57" s="18"/>
      <c r="E57" s="18"/>
      <c r="G57" s="18"/>
      <c r="H57" s="18"/>
      <c r="I57" s="18"/>
      <c r="J57" s="40"/>
      <c r="K57" s="18"/>
      <c r="L57" s="18"/>
      <c r="M57" s="18"/>
      <c r="P57" s="18"/>
      <c r="Q57" s="18"/>
      <c r="R57" s="40"/>
      <c r="S57" s="18"/>
      <c r="T57" s="18"/>
      <c r="U57" s="18"/>
      <c r="V57" s="40"/>
      <c r="W57" s="18"/>
      <c r="X57" s="18"/>
    </row>
    <row r="58" spans="1:26" ht="15" customHeight="1" x14ac:dyDescent="0.3">
      <c r="D58" s="18"/>
      <c r="E58" s="18"/>
      <c r="G58" s="18"/>
      <c r="H58" s="18"/>
      <c r="I58" s="18"/>
      <c r="J58" s="40"/>
      <c r="K58" s="18"/>
      <c r="L58" s="18"/>
      <c r="M58" s="18"/>
      <c r="P58" s="18"/>
      <c r="Q58" s="18"/>
      <c r="R58" s="40"/>
      <c r="S58" s="18"/>
      <c r="T58" s="18"/>
      <c r="U58" s="18"/>
      <c r="V58" s="40"/>
      <c r="W58" s="18"/>
      <c r="X5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40569-07E4-B6C3-F188-5C4132487F88}">
  <sheetPr>
    <tabColor rgb="FFFFC000"/>
    <outlinePr summaryBelow="0" summaryRight="0"/>
  </sheetPr>
  <dimension ref="A2:Z24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976935.3</v>
      </c>
      <c r="E12" s="5"/>
      <c r="F12" s="13"/>
      <c r="G12" s="5"/>
      <c r="H12" s="5">
        <f>SUM(OSRRefH13x_0)</f>
        <v>438518.1100000001</v>
      </c>
      <c r="I12" s="5"/>
      <c r="J12" s="13"/>
      <c r="K12" s="5"/>
      <c r="L12" s="5">
        <f t="shared" ref="L12:L43" si="0">+D12-H12</f>
        <v>538417.18999999994</v>
      </c>
      <c r="M12" s="5"/>
      <c r="N12" s="13">
        <f t="shared" ref="N12:N43" si="1">IF(H12=0,0,L12/H12)</f>
        <v>1.2278106142526242</v>
      </c>
      <c r="O12" s="11"/>
      <c r="P12" s="5">
        <f>SUM(OSRRefP13x_0)</f>
        <v>7073208.3999999994</v>
      </c>
      <c r="Q12" s="5"/>
      <c r="R12" s="13"/>
      <c r="S12" s="5"/>
      <c r="T12" s="5">
        <f>SUM(OSRRefT13x_0)</f>
        <v>4705512.34</v>
      </c>
      <c r="U12" s="5"/>
      <c r="V12" s="13"/>
      <c r="W12" s="5"/>
      <c r="X12" s="5">
        <f t="shared" ref="X12:X43" si="2">+P12-T12</f>
        <v>2367696.0599999996</v>
      </c>
      <c r="Y12" s="5"/>
      <c r="Z12" s="13">
        <f t="shared" ref="Z12:Z43" si="3">IF(T12=0,0,X12/T12)</f>
        <v>0.50317497626624008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--773594.3</f>
        <v>773594.3</v>
      </c>
      <c r="E13" s="3"/>
      <c r="F13" s="20"/>
      <c r="G13" s="3"/>
      <c r="H13" s="3">
        <f>-13171.93</f>
        <v>-13171.93</v>
      </c>
      <c r="I13" s="3"/>
      <c r="J13" s="20"/>
      <c r="K13" s="3"/>
      <c r="L13" s="3">
        <f t="shared" si="0"/>
        <v>786766.2300000001</v>
      </c>
      <c r="M13" s="3"/>
      <c r="N13" s="20">
        <f t="shared" si="1"/>
        <v>-59.730520128789031</v>
      </c>
      <c r="O13" s="12"/>
      <c r="P13" s="3">
        <f>--5783240.56</f>
        <v>5783240.5599999996</v>
      </c>
      <c r="Q13" s="3"/>
      <c r="R13" s="20"/>
      <c r="S13" s="3"/>
      <c r="T13" s="3">
        <f>-133095.19</f>
        <v>-133095.19</v>
      </c>
      <c r="U13" s="3"/>
      <c r="V13" s="20"/>
      <c r="W13" s="3"/>
      <c r="X13" s="3">
        <f t="shared" si="2"/>
        <v>5916335.75</v>
      </c>
      <c r="Y13" s="3"/>
      <c r="Z13" s="20">
        <f t="shared" si="3"/>
        <v>-44.451912574751951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--31347.12</f>
        <v>31347.119999999999</v>
      </c>
      <c r="I14" s="3"/>
      <c r="J14" s="20"/>
      <c r="K14" s="3"/>
      <c r="L14" s="3">
        <f t="shared" si="0"/>
        <v>-31347.119999999999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--1263810.36</f>
        <v>1263810.3600000001</v>
      </c>
      <c r="U14" s="3"/>
      <c r="V14" s="20"/>
      <c r="W14" s="3"/>
      <c r="X14" s="3">
        <f t="shared" si="2"/>
        <v>-1263810.3600000001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--1971.3</f>
        <v>1971.3</v>
      </c>
      <c r="I15" s="3"/>
      <c r="J15" s="20"/>
      <c r="K15" s="3"/>
      <c r="L15" s="3">
        <f t="shared" si="0"/>
        <v>-1971.3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--578768.63</f>
        <v>578768.63</v>
      </c>
      <c r="U15" s="3"/>
      <c r="V15" s="20"/>
      <c r="W15" s="3"/>
      <c r="X15" s="3">
        <f t="shared" si="2"/>
        <v>-578768.63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--21.42</f>
        <v>21.42</v>
      </c>
      <c r="I21" s="3"/>
      <c r="J21" s="20"/>
      <c r="K21" s="3"/>
      <c r="L21" s="3">
        <f t="shared" si="0"/>
        <v>-21.42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--486.17</f>
        <v>486.17</v>
      </c>
      <c r="U21" s="3"/>
      <c r="V21" s="20"/>
      <c r="W21" s="3"/>
      <c r="X21" s="3">
        <f t="shared" si="2"/>
        <v>-486.17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--6558.65</f>
        <v>6558.65</v>
      </c>
      <c r="I22" s="3"/>
      <c r="J22" s="20"/>
      <c r="K22" s="3"/>
      <c r="L22" s="3">
        <f t="shared" si="0"/>
        <v>-6558.65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--64070.97</f>
        <v>64070.97</v>
      </c>
      <c r="U22" s="3"/>
      <c r="V22" s="20"/>
      <c r="W22" s="3"/>
      <c r="X22" s="3">
        <f t="shared" si="2"/>
        <v>-64070.97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--2650.79</f>
        <v>2650.79</v>
      </c>
      <c r="I23" s="3"/>
      <c r="J23" s="20"/>
      <c r="K23" s="3"/>
      <c r="L23" s="3">
        <f t="shared" si="0"/>
        <v>-2650.79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--46900.17</f>
        <v>46900.17</v>
      </c>
      <c r="U23" s="3"/>
      <c r="V23" s="20"/>
      <c r="W23" s="3"/>
      <c r="X23" s="3">
        <f t="shared" si="2"/>
        <v>-46900.17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--595.72</f>
        <v>595.72</v>
      </c>
      <c r="I24" s="3"/>
      <c r="J24" s="20"/>
      <c r="K24" s="3"/>
      <c r="L24" s="3">
        <f t="shared" si="0"/>
        <v>-595.72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--4210.59</f>
        <v>4210.59</v>
      </c>
      <c r="U24" s="3"/>
      <c r="V24" s="20"/>
      <c r="W24" s="3"/>
      <c r="X24" s="3">
        <f t="shared" si="2"/>
        <v>-4210.59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","4032"," - ","TAXABLE SALES-JUICE")</f>
        <v xml:space="preserve">          4032 - TAXABLE SALES-JUICE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--444.59</f>
        <v>444.59</v>
      </c>
      <c r="U25" s="3"/>
      <c r="V25" s="20"/>
      <c r="W25" s="3"/>
      <c r="X25" s="3">
        <f t="shared" si="2"/>
        <v>-444.59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","4034"," - ","TAXABLE SALES-SODA")</f>
        <v xml:space="preserve">          4034 - TAXABLE SALES-SODA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--6.78</f>
        <v>6.78</v>
      </c>
      <c r="U26" s="3"/>
      <c r="V26" s="20"/>
      <c r="W26" s="3"/>
      <c r="X26" s="3">
        <f t="shared" si="2"/>
        <v>-6.78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","4040"," - ","TAXABLE SALES-LOGO CLOTHING")</f>
        <v xml:space="preserve">          4040 - TAXABLE SALES-LOGO CLOTHING</v>
      </c>
      <c r="C27" s="12"/>
      <c r="D27" s="3">
        <f>0</f>
        <v>0</v>
      </c>
      <c r="E27" s="3"/>
      <c r="F27" s="20"/>
      <c r="G27" s="3"/>
      <c r="H27" s="3">
        <f>--159179.58</f>
        <v>159179.57999999999</v>
      </c>
      <c r="I27" s="3"/>
      <c r="J27" s="20"/>
      <c r="K27" s="3"/>
      <c r="L27" s="3">
        <f t="shared" si="0"/>
        <v>-159179.57999999999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--913180.73</f>
        <v>913180.73</v>
      </c>
      <c r="U27" s="3"/>
      <c r="V27" s="20"/>
      <c r="W27" s="3"/>
      <c r="X27" s="3">
        <f t="shared" si="2"/>
        <v>-913180.73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","4041"," - ","TAXABLE SALES-LOGO GIFTS")</f>
        <v xml:space="preserve">          4041 - TAXABLE SALES-LOGO GIFTS</v>
      </c>
      <c r="C28" s="12"/>
      <c r="D28" s="3">
        <f>0</f>
        <v>0</v>
      </c>
      <c r="E28" s="3"/>
      <c r="F28" s="20"/>
      <c r="G28" s="3"/>
      <c r="H28" s="3">
        <f>--116440.2</f>
        <v>116440.2</v>
      </c>
      <c r="I28" s="3"/>
      <c r="J28" s="20"/>
      <c r="K28" s="3"/>
      <c r="L28" s="3">
        <f t="shared" si="0"/>
        <v>-116440.2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--440456.98</f>
        <v>440456.98</v>
      </c>
      <c r="U28" s="3"/>
      <c r="V28" s="20"/>
      <c r="W28" s="3"/>
      <c r="X28" s="3">
        <f t="shared" si="2"/>
        <v>-440456.98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","4042"," - ","TAXABLE SALES-EVERYDAY GIFTS")</f>
        <v xml:space="preserve">          4042 - TAXABLE SALES-EVERYDAY GIFTS</v>
      </c>
      <c r="C29" s="12"/>
      <c r="D29" s="3">
        <f>0</f>
        <v>0</v>
      </c>
      <c r="E29" s="3"/>
      <c r="F29" s="20"/>
      <c r="G29" s="3"/>
      <c r="H29" s="3">
        <f>--10630.32</f>
        <v>10630.32</v>
      </c>
      <c r="I29" s="3"/>
      <c r="J29" s="20"/>
      <c r="K29" s="3"/>
      <c r="L29" s="3">
        <f t="shared" si="0"/>
        <v>-10630.32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--100678.52</f>
        <v>100678.52</v>
      </c>
      <c r="U29" s="3"/>
      <c r="V29" s="20"/>
      <c r="W29" s="3"/>
      <c r="X29" s="3">
        <f t="shared" si="2"/>
        <v>-100678.52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","4043"," - ","TAXABLE SALES-CARDS")</f>
        <v xml:space="preserve">          4043 - TAXABLE SALES-CARDS</v>
      </c>
      <c r="C30" s="12"/>
      <c r="D30" s="3">
        <f>0</f>
        <v>0</v>
      </c>
      <c r="E30" s="3"/>
      <c r="F30" s="20"/>
      <c r="G30" s="3"/>
      <c r="H30" s="3">
        <f>--4423.21</f>
        <v>4423.21</v>
      </c>
      <c r="I30" s="3"/>
      <c r="J30" s="20"/>
      <c r="K30" s="3"/>
      <c r="L30" s="3">
        <f t="shared" si="0"/>
        <v>-4423.21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--136859.38</f>
        <v>136859.38</v>
      </c>
      <c r="U30" s="3"/>
      <c r="V30" s="20"/>
      <c r="W30" s="3"/>
      <c r="X30" s="3">
        <f t="shared" si="2"/>
        <v>-136859.38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","4044"," - ","TAXABLE SALES-ACCESSORIES")</f>
        <v xml:space="preserve">          4044 - TAXABLE SALES-ACCESSORIES</v>
      </c>
      <c r="C31" s="12"/>
      <c r="D31" s="3">
        <f>0</f>
        <v>0</v>
      </c>
      <c r="E31" s="3"/>
      <c r="F31" s="20"/>
      <c r="G31" s="3"/>
      <c r="H31" s="3">
        <f>--4745.38</f>
        <v>4745.38</v>
      </c>
      <c r="I31" s="3"/>
      <c r="J31" s="20"/>
      <c r="K31" s="3"/>
      <c r="L31" s="3">
        <f t="shared" si="0"/>
        <v>-4745.38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--36092.23</f>
        <v>36092.230000000003</v>
      </c>
      <c r="U31" s="3"/>
      <c r="V31" s="20"/>
      <c r="W31" s="3"/>
      <c r="X31" s="3">
        <f t="shared" si="2"/>
        <v>-36092.230000000003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","4045"," - ","TAXABLE SALES-SPECIAL ORDERS")</f>
        <v xml:space="preserve">          4045 - TAXABLE SALES-SPECIAL ORDERS</v>
      </c>
      <c r="C32" s="12"/>
      <c r="D32" s="3">
        <f>0</f>
        <v>0</v>
      </c>
      <c r="E32" s="3"/>
      <c r="F32" s="20"/>
      <c r="G32" s="3"/>
      <c r="H32" s="3">
        <f>--63044.9</f>
        <v>63044.9</v>
      </c>
      <c r="I32" s="3"/>
      <c r="J32" s="20"/>
      <c r="K32" s="3"/>
      <c r="L32" s="3">
        <f t="shared" si="0"/>
        <v>-63044.9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--207242.34</f>
        <v>207242.34</v>
      </c>
      <c r="U32" s="3"/>
      <c r="V32" s="20"/>
      <c r="W32" s="3"/>
      <c r="X32" s="3">
        <f t="shared" si="2"/>
        <v>-207242.34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","4051"," - ","TAXABLE SALES-FOOD")</f>
        <v xml:space="preserve">          4051 - TAXABLE SALES-FOOD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--25.17</f>
        <v>25.17</v>
      </c>
      <c r="Q33" s="3"/>
      <c r="R33" s="20"/>
      <c r="S33" s="3"/>
      <c r="T33" s="3">
        <f>0</f>
        <v>0</v>
      </c>
      <c r="U33" s="3"/>
      <c r="V33" s="20"/>
      <c r="W33" s="3"/>
      <c r="X33" s="3">
        <f t="shared" si="2"/>
        <v>25.17</v>
      </c>
      <c r="Y33" s="3"/>
      <c r="Z33" s="20">
        <f t="shared" si="3"/>
        <v>0</v>
      </c>
    </row>
    <row r="34" spans="1:26" s="69" customFormat="1" ht="15" hidden="1" customHeight="1" outlineLevel="1" x14ac:dyDescent="0.3">
      <c r="A34" s="42"/>
      <c r="B34" s="12" t="str">
        <f>CONCATENATE("          ","4053"," - ","TAXABLE SALES-FOOD")</f>
        <v xml:space="preserve">          4053 - TAXABLE SALES-FOOD</v>
      </c>
      <c r="C34" s="12"/>
      <c r="D34" s="3">
        <f>--439.9</f>
        <v>439.9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439.9</v>
      </c>
      <c r="M34" s="3"/>
      <c r="N34" s="20">
        <f t="shared" si="1"/>
        <v>0</v>
      </c>
      <c r="O34" s="12"/>
      <c r="P34" s="3">
        <f>--1551.31</f>
        <v>1551.31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1551.31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","4081"," - ","TAXABLE SALES-ELECTRONICS")</f>
        <v xml:space="preserve">          4081 - TAXABLE SALES-ELECTRONICS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--71.95</f>
        <v>71.95</v>
      </c>
      <c r="U35" s="3"/>
      <c r="V35" s="20"/>
      <c r="W35" s="3"/>
      <c r="X35" s="3">
        <f t="shared" si="2"/>
        <v>-71.95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","4083"," - ","TAXABLE SALES-COMPUTER EQUIPME")</f>
        <v xml:space="preserve">          4083 - TAXABLE SALES-COMPUTER EQUIPME</v>
      </c>
      <c r="C36" s="12"/>
      <c r="D36" s="3">
        <f>0</f>
        <v>0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0</v>
      </c>
      <c r="M36" s="3"/>
      <c r="N36" s="20">
        <f t="shared" si="1"/>
        <v>0</v>
      </c>
      <c r="O36" s="12"/>
      <c r="P36" s="3">
        <f>0</f>
        <v>0</v>
      </c>
      <c r="Q36" s="3"/>
      <c r="R36" s="20"/>
      <c r="S36" s="3"/>
      <c r="T36" s="3">
        <f>--9.99</f>
        <v>9.99</v>
      </c>
      <c r="U36" s="3"/>
      <c r="V36" s="20"/>
      <c r="W36" s="3"/>
      <c r="X36" s="3">
        <f t="shared" si="2"/>
        <v>-9.99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--2119.46</f>
        <v>2119.46</v>
      </c>
      <c r="I37" s="3"/>
      <c r="J37" s="20"/>
      <c r="K37" s="3"/>
      <c r="L37" s="3">
        <f t="shared" si="0"/>
        <v>-2119.46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--3034.59</f>
        <v>3034.59</v>
      </c>
      <c r="U37" s="3"/>
      <c r="V37" s="20"/>
      <c r="W37" s="3"/>
      <c r="X37" s="3">
        <f t="shared" si="2"/>
        <v>-3034.59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--247720.17</f>
        <v>247720.17</v>
      </c>
      <c r="E38" s="3"/>
      <c r="F38" s="20"/>
      <c r="G38" s="3"/>
      <c r="H38" s="3">
        <f>-12385.33</f>
        <v>-12385.33</v>
      </c>
      <c r="I38" s="3"/>
      <c r="J38" s="20"/>
      <c r="K38" s="3"/>
      <c r="L38" s="3">
        <f t="shared" si="0"/>
        <v>260105.5</v>
      </c>
      <c r="M38" s="3"/>
      <c r="N38" s="20">
        <f t="shared" si="1"/>
        <v>-21.001095651064606</v>
      </c>
      <c r="O38" s="12"/>
      <c r="P38" s="3">
        <f>--1607566.46</f>
        <v>1607566.46</v>
      </c>
      <c r="Q38" s="3"/>
      <c r="R38" s="20"/>
      <c r="S38" s="3"/>
      <c r="T38" s="3">
        <f>--273838.77</f>
        <v>273838.77</v>
      </c>
      <c r="U38" s="3"/>
      <c r="V38" s="20"/>
      <c r="W38" s="3"/>
      <c r="X38" s="3">
        <f t="shared" si="2"/>
        <v>1333727.69</v>
      </c>
      <c r="Y38" s="3"/>
      <c r="Z38" s="20">
        <f t="shared" si="3"/>
        <v>4.8704852494042381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--741.03</f>
        <v>741.03</v>
      </c>
      <c r="I39" s="3"/>
      <c r="J39" s="20"/>
      <c r="K39" s="3"/>
      <c r="L39" s="3">
        <f t="shared" si="0"/>
        <v>-741.03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--112796.74</f>
        <v>112796.74</v>
      </c>
      <c r="U39" s="3"/>
      <c r="V39" s="20"/>
      <c r="W39" s="3"/>
      <c r="X39" s="3">
        <f t="shared" si="2"/>
        <v>-112796.74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--743.99</f>
        <v>743.99</v>
      </c>
      <c r="I40" s="3"/>
      <c r="J40" s="20"/>
      <c r="K40" s="3"/>
      <c r="L40" s="3">
        <f t="shared" si="0"/>
        <v>-743.99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--48703.42</f>
        <v>48703.42</v>
      </c>
      <c r="U40" s="3"/>
      <c r="V40" s="20"/>
      <c r="W40" s="3"/>
      <c r="X40" s="3">
        <f t="shared" si="2"/>
        <v>-48703.42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--3431.99</f>
        <v>3431.99</v>
      </c>
      <c r="I42" s="3"/>
      <c r="J42" s="20"/>
      <c r="K42" s="3"/>
      <c r="L42" s="3">
        <f t="shared" si="0"/>
        <v>-3431.99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--480403.17</f>
        <v>480403.17</v>
      </c>
      <c r="U42" s="3"/>
      <c r="V42" s="20"/>
      <c r="W42" s="3"/>
      <c r="X42" s="3">
        <f t="shared" si="2"/>
        <v>-480403.17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--738</f>
        <v>738</v>
      </c>
      <c r="I43" s="3"/>
      <c r="J43" s="20"/>
      <c r="K43" s="3"/>
      <c r="L43" s="3">
        <f t="shared" si="0"/>
        <v>-738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--12127.25</f>
        <v>12127.25</v>
      </c>
      <c r="U43" s="3"/>
      <c r="V43" s="20"/>
      <c r="W43" s="3"/>
      <c r="X43" s="3">
        <f t="shared" si="2"/>
        <v>-12127.25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--493.37</f>
        <v>493.37</v>
      </c>
      <c r="I46" s="3"/>
      <c r="J46" s="20"/>
      <c r="K46" s="3"/>
      <c r="L46" s="3">
        <f t="shared" si="4"/>
        <v>-493.37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--7100.68</f>
        <v>7100.68</v>
      </c>
      <c r="U46" s="3"/>
      <c r="V46" s="20"/>
      <c r="W46" s="3"/>
      <c r="X46" s="3">
        <f t="shared" si="6"/>
        <v>-7100.68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--31.37</f>
        <v>31.37</v>
      </c>
      <c r="I47" s="3"/>
      <c r="J47" s="20"/>
      <c r="K47" s="3"/>
      <c r="L47" s="3">
        <f t="shared" si="4"/>
        <v>-31.37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--69.95</f>
        <v>69.95</v>
      </c>
      <c r="U47" s="3"/>
      <c r="V47" s="20"/>
      <c r="W47" s="3"/>
      <c r="X47" s="3">
        <f t="shared" si="6"/>
        <v>-69.95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--975.93</f>
        <v>975.93</v>
      </c>
      <c r="I48" s="3"/>
      <c r="J48" s="20"/>
      <c r="K48" s="3"/>
      <c r="L48" s="3">
        <f t="shared" si="4"/>
        <v>-975.93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--11380.36</f>
        <v>11380.36</v>
      </c>
      <c r="U48" s="3"/>
      <c r="V48" s="20"/>
      <c r="W48" s="3"/>
      <c r="X48" s="3">
        <f t="shared" si="6"/>
        <v>-11380.36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--2054.37</f>
        <v>2054.37</v>
      </c>
      <c r="U49" s="3"/>
      <c r="V49" s="20"/>
      <c r="W49" s="3"/>
      <c r="X49" s="3">
        <f t="shared" si="6"/>
        <v>-2054.37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--23040.7</f>
        <v>23040.7</v>
      </c>
      <c r="I53" s="3"/>
      <c r="J53" s="20"/>
      <c r="K53" s="3"/>
      <c r="L53" s="3">
        <f t="shared" si="4"/>
        <v>-23040.7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--154792.39</f>
        <v>154792.39000000001</v>
      </c>
      <c r="U53" s="3"/>
      <c r="V53" s="20"/>
      <c r="W53" s="3"/>
      <c r="X53" s="3">
        <f t="shared" si="6"/>
        <v>-154792.39000000001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--27228.57</f>
        <v>27228.57</v>
      </c>
      <c r="I54" s="3"/>
      <c r="J54" s="20"/>
      <c r="K54" s="3"/>
      <c r="L54" s="3">
        <f t="shared" si="4"/>
        <v>-27228.57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--36796.81</f>
        <v>36796.81</v>
      </c>
      <c r="U54" s="3"/>
      <c r="V54" s="20"/>
      <c r="W54" s="3"/>
      <c r="X54" s="3">
        <f t="shared" si="6"/>
        <v>-36796.81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--306.73</f>
        <v>306.73</v>
      </c>
      <c r="I55" s="3"/>
      <c r="J55" s="20"/>
      <c r="K55" s="3"/>
      <c r="L55" s="3">
        <f t="shared" si="4"/>
        <v>-306.73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--2588.1</f>
        <v>2588.1</v>
      </c>
      <c r="U55" s="3"/>
      <c r="V55" s="20"/>
      <c r="W55" s="3"/>
      <c r="X55" s="3">
        <f t="shared" si="6"/>
        <v>-2588.1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--49.97</f>
        <v>49.97</v>
      </c>
      <c r="I56" s="3"/>
      <c r="J56" s="20"/>
      <c r="K56" s="3"/>
      <c r="L56" s="3">
        <f t="shared" si="4"/>
        <v>-49.97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--2431.45</f>
        <v>2431.4499999999998</v>
      </c>
      <c r="U56" s="3"/>
      <c r="V56" s="20"/>
      <c r="W56" s="3"/>
      <c r="X56" s="3">
        <f t="shared" si="6"/>
        <v>-2431.4499999999998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--29.85</f>
        <v>29.85</v>
      </c>
      <c r="I57" s="3"/>
      <c r="J57" s="20"/>
      <c r="K57" s="3"/>
      <c r="L57" s="3">
        <f t="shared" si="4"/>
        <v>-29.85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--709.1</f>
        <v>709.1</v>
      </c>
      <c r="U57" s="3"/>
      <c r="V57" s="20"/>
      <c r="W57" s="3"/>
      <c r="X57" s="3">
        <f t="shared" si="6"/>
        <v>-709.1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--20350.8</f>
        <v>20350.8</v>
      </c>
      <c r="I58" s="3"/>
      <c r="J58" s="20"/>
      <c r="K58" s="3"/>
      <c r="L58" s="3">
        <f t="shared" si="4"/>
        <v>-20350.8</v>
      </c>
      <c r="M58" s="3"/>
      <c r="N58" s="20">
        <f t="shared" si="5"/>
        <v>-1</v>
      </c>
      <c r="O58" s="12"/>
      <c r="P58" s="3">
        <f>0</f>
        <v>0</v>
      </c>
      <c r="Q58" s="3"/>
      <c r="R58" s="20"/>
      <c r="S58" s="3"/>
      <c r="T58" s="3">
        <f>--74066.89</f>
        <v>74066.89</v>
      </c>
      <c r="U58" s="3"/>
      <c r="V58" s="20"/>
      <c r="W58" s="3"/>
      <c r="X58" s="3">
        <f t="shared" si="6"/>
        <v>-74066.89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--30.2</f>
        <v>30.2</v>
      </c>
      <c r="I59" s="3"/>
      <c r="J59" s="20"/>
      <c r="K59" s="3"/>
      <c r="L59" s="3">
        <f t="shared" si="4"/>
        <v>-30.2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--329.3</f>
        <v>329.3</v>
      </c>
      <c r="U59" s="3"/>
      <c r="V59" s="20"/>
      <c r="W59" s="3"/>
      <c r="X59" s="3">
        <f t="shared" si="6"/>
        <v>-329.3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--11</f>
        <v>11</v>
      </c>
      <c r="I60" s="3"/>
      <c r="J60" s="20"/>
      <c r="K60" s="3"/>
      <c r="L60" s="3">
        <f t="shared" si="4"/>
        <v>-11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--154.5</f>
        <v>154.5</v>
      </c>
      <c r="U60" s="3"/>
      <c r="V60" s="20"/>
      <c r="W60" s="3"/>
      <c r="X60" s="3">
        <f t="shared" si="6"/>
        <v>-154.5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","4151"," - ","NON-TAXABLE SALES-FOOD")</f>
        <v xml:space="preserve">          4151 - NON-TAXABLE SALES-FOOD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--206.32</f>
        <v>206.32</v>
      </c>
      <c r="Q61" s="3"/>
      <c r="R61" s="20"/>
      <c r="S61" s="3"/>
      <c r="T61" s="3">
        <f>0</f>
        <v>0</v>
      </c>
      <c r="U61" s="3"/>
      <c r="V61" s="20"/>
      <c r="W61" s="3"/>
      <c r="X61" s="3">
        <f t="shared" si="6"/>
        <v>206.32</v>
      </c>
      <c r="Y61" s="3"/>
      <c r="Z61" s="20">
        <f t="shared" si="7"/>
        <v>0</v>
      </c>
    </row>
    <row r="62" spans="1:26" s="69" customFormat="1" ht="15" hidden="1" customHeight="1" outlineLevel="1" x14ac:dyDescent="0.3">
      <c r="A62" s="42"/>
      <c r="B62" s="12" t="str">
        <f>CONCATENATE("          ","4153"," - ","NON-TAXABLE SALES-FOOD")</f>
        <v xml:space="preserve">          4153 - NON-TAXABLE SALES-FOOD</v>
      </c>
      <c r="C62" s="12"/>
      <c r="D62" s="3">
        <f>0</f>
        <v>0</v>
      </c>
      <c r="E62" s="3"/>
      <c r="F62" s="20"/>
      <c r="G62" s="3"/>
      <c r="H62" s="3">
        <f>--51.9</f>
        <v>51.9</v>
      </c>
      <c r="I62" s="3"/>
      <c r="J62" s="20"/>
      <c r="K62" s="3"/>
      <c r="L62" s="3">
        <f t="shared" si="4"/>
        <v>-51.9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--396.45</f>
        <v>396.45</v>
      </c>
      <c r="U62" s="3"/>
      <c r="V62" s="20"/>
      <c r="W62" s="3"/>
      <c r="X62" s="3">
        <f t="shared" si="6"/>
        <v>-396.45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","4200"," - ","TAXABLE RETURNS")</f>
        <v xml:space="preserve">          4200 - TAXABLE RETURNS</v>
      </c>
      <c r="C63" s="12"/>
      <c r="D63" s="3">
        <f>-20142.65</f>
        <v>-20142.650000000001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-20142.650000000001</v>
      </c>
      <c r="M63" s="3"/>
      <c r="N63" s="20">
        <f t="shared" si="5"/>
        <v>0</v>
      </c>
      <c r="O63" s="12"/>
      <c r="P63" s="3">
        <f>-171550.66</f>
        <v>-171550.66</v>
      </c>
      <c r="Q63" s="3"/>
      <c r="R63" s="20"/>
      <c r="S63" s="3"/>
      <c r="T63" s="3">
        <f>0</f>
        <v>0</v>
      </c>
      <c r="U63" s="3"/>
      <c r="V63" s="20"/>
      <c r="W63" s="3"/>
      <c r="X63" s="3">
        <f t="shared" si="6"/>
        <v>-171550.66</v>
      </c>
      <c r="Y63" s="3"/>
      <c r="Z63" s="20">
        <f t="shared" si="7"/>
        <v>0</v>
      </c>
    </row>
    <row r="64" spans="1:26" s="69" customFormat="1" ht="15" hidden="1" customHeight="1" outlineLevel="1" x14ac:dyDescent="0.3">
      <c r="A64" s="42"/>
      <c r="B64" s="12" t="str">
        <f>CONCATENATE("          ","4201"," - ","SALES RETURN TAXABLE-NEW TEXT")</f>
        <v xml:space="preserve">          4201 - SALES RETURN TAXABLE-NEW TEXT</v>
      </c>
      <c r="C64" s="12"/>
      <c r="D64" s="3">
        <f>0</f>
        <v>0</v>
      </c>
      <c r="E64" s="3"/>
      <c r="F64" s="20"/>
      <c r="G64" s="3"/>
      <c r="H64" s="3">
        <f>-376.85</f>
        <v>-376.85</v>
      </c>
      <c r="I64" s="3"/>
      <c r="J64" s="20"/>
      <c r="K64" s="3"/>
      <c r="L64" s="3">
        <f t="shared" si="4"/>
        <v>376.85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-51638.02</f>
        <v>-51638.02</v>
      </c>
      <c r="U64" s="3"/>
      <c r="V64" s="20"/>
      <c r="W64" s="3"/>
      <c r="X64" s="3">
        <f t="shared" si="6"/>
        <v>51638.02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","4202"," - ","SALES RETURN TAXABLE-USED TEXT")</f>
        <v xml:space="preserve">          4202 - SALES RETURN TAXABLE-USED TEXT</v>
      </c>
      <c r="C65" s="12"/>
      <c r="D65" s="3">
        <f>0</f>
        <v>0</v>
      </c>
      <c r="E65" s="3"/>
      <c r="F65" s="20"/>
      <c r="G65" s="3"/>
      <c r="H65" s="3">
        <f>-206.95</f>
        <v>-206.95</v>
      </c>
      <c r="I65" s="3"/>
      <c r="J65" s="20"/>
      <c r="K65" s="3"/>
      <c r="L65" s="3">
        <f t="shared" si="4"/>
        <v>206.95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-20096.26</f>
        <v>-20096.259999999998</v>
      </c>
      <c r="U65" s="3"/>
      <c r="V65" s="20"/>
      <c r="W65" s="3"/>
      <c r="X65" s="3">
        <f t="shared" si="6"/>
        <v>20096.259999999998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","4204"," - ","SALES RETURN TAXABLE-DIGITAL T")</f>
        <v xml:space="preserve">          4204 - SALES RETURN TAXABLE-DIGITAL T</v>
      </c>
      <c r="C66" s="12"/>
      <c r="D66" s="3">
        <f>0</f>
        <v>0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0</v>
      </c>
      <c r="M66" s="3"/>
      <c r="N66" s="20">
        <f t="shared" si="5"/>
        <v>0</v>
      </c>
      <c r="O66" s="12"/>
      <c r="P66" s="3">
        <f>0</f>
        <v>0</v>
      </c>
      <c r="Q66" s="3"/>
      <c r="R66" s="20"/>
      <c r="S66" s="3"/>
      <c r="T66" s="3">
        <f>-1763.1</f>
        <v>-1763.1</v>
      </c>
      <c r="U66" s="3"/>
      <c r="V66" s="20"/>
      <c r="W66" s="3"/>
      <c r="X66" s="3">
        <f t="shared" si="6"/>
        <v>1763.1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","4213"," - ","NON-TAXABLE SALES-TRADE BOOKS")</f>
        <v xml:space="preserve">          4213 - NON-TAXABLE SALES-TRADE BOOKS</v>
      </c>
      <c r="C67" s="12"/>
      <c r="D67" s="3">
        <f>0</f>
        <v>0</v>
      </c>
      <c r="E67" s="3"/>
      <c r="F67" s="20"/>
      <c r="G67" s="3"/>
      <c r="H67" s="3">
        <f>0</f>
        <v>0</v>
      </c>
      <c r="I67" s="3"/>
      <c r="J67" s="20"/>
      <c r="K67" s="3"/>
      <c r="L67" s="3">
        <f t="shared" si="4"/>
        <v>0</v>
      </c>
      <c r="M67" s="3"/>
      <c r="N67" s="20">
        <f t="shared" si="5"/>
        <v>0</v>
      </c>
      <c r="O67" s="12"/>
      <c r="P67" s="3">
        <f>0</f>
        <v>0</v>
      </c>
      <c r="Q67" s="3"/>
      <c r="R67" s="20"/>
      <c r="S67" s="3"/>
      <c r="T67" s="3">
        <f>-69.93</f>
        <v>-69.930000000000007</v>
      </c>
      <c r="U67" s="3"/>
      <c r="V67" s="20"/>
      <c r="W67" s="3"/>
      <c r="X67" s="3">
        <f t="shared" si="6"/>
        <v>69.930000000000007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","4218"," - ","SALES RETURN TAXABLE-STUDY GUI")</f>
        <v xml:space="preserve">          4218 - SALES RETURN TAXABLE-STUDY GUI</v>
      </c>
      <c r="C68" s="12"/>
      <c r="D68" s="3">
        <f>0</f>
        <v>0</v>
      </c>
      <c r="E68" s="3"/>
      <c r="F68" s="20"/>
      <c r="G68" s="3"/>
      <c r="H68" s="3">
        <f>0</f>
        <v>0</v>
      </c>
      <c r="I68" s="3"/>
      <c r="J68" s="20"/>
      <c r="K68" s="3"/>
      <c r="L68" s="3">
        <f t="shared" si="4"/>
        <v>0</v>
      </c>
      <c r="M68" s="3"/>
      <c r="N68" s="20">
        <f t="shared" si="5"/>
        <v>0</v>
      </c>
      <c r="O68" s="12"/>
      <c r="P68" s="3">
        <f>0</f>
        <v>0</v>
      </c>
      <c r="Q68" s="3"/>
      <c r="R68" s="20"/>
      <c r="S68" s="3"/>
      <c r="T68" s="3">
        <f>-5.21</f>
        <v>-5.21</v>
      </c>
      <c r="U68" s="3"/>
      <c r="V68" s="20"/>
      <c r="W68" s="3"/>
      <c r="X68" s="3">
        <f t="shared" si="6"/>
        <v>5.21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","4226"," - ","SALES RETURN TAXABLE-WRITING I")</f>
        <v xml:space="preserve">          4226 - SALES RETURN TAXABLE-WRITING I</v>
      </c>
      <c r="C69" s="12"/>
      <c r="D69" s="3">
        <f>0</f>
        <v>0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0</v>
      </c>
      <c r="M69" s="3"/>
      <c r="N69" s="20">
        <f t="shared" si="5"/>
        <v>0</v>
      </c>
      <c r="O69" s="12"/>
      <c r="P69" s="3">
        <f>0</f>
        <v>0</v>
      </c>
      <c r="Q69" s="3"/>
      <c r="R69" s="20"/>
      <c r="S69" s="3"/>
      <c r="T69" s="3">
        <f>-34.23</f>
        <v>-34.229999999999997</v>
      </c>
      <c r="U69" s="3"/>
      <c r="V69" s="20"/>
      <c r="W69" s="3"/>
      <c r="X69" s="3">
        <f t="shared" si="6"/>
        <v>34.229999999999997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","4227"," - ","SALES RETURN TAXABLE-SCHOOL SU")</f>
        <v xml:space="preserve">          4227 - SALES RETURN TAXABLE-SCHOOL SU</v>
      </c>
      <c r="C70" s="12"/>
      <c r="D70" s="3">
        <f>0</f>
        <v>0</v>
      </c>
      <c r="E70" s="3"/>
      <c r="F70" s="20"/>
      <c r="G70" s="3"/>
      <c r="H70" s="3">
        <f>-500.54</f>
        <v>-500.54</v>
      </c>
      <c r="I70" s="3"/>
      <c r="J70" s="20"/>
      <c r="K70" s="3"/>
      <c r="L70" s="3">
        <f t="shared" si="4"/>
        <v>500.54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-1346.66</f>
        <v>-1346.66</v>
      </c>
      <c r="U70" s="3"/>
      <c r="V70" s="20"/>
      <c r="W70" s="3"/>
      <c r="X70" s="3">
        <f t="shared" si="6"/>
        <v>1346.66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","4228"," - ","SALES RETURN TAXABLE-ART/TECH")</f>
        <v xml:space="preserve">          4228 - SALES RETURN TAXABLE-ART/TECH</v>
      </c>
      <c r="C71" s="12"/>
      <c r="D71" s="3">
        <f>0</f>
        <v>0</v>
      </c>
      <c r="E71" s="3"/>
      <c r="F71" s="20"/>
      <c r="G71" s="3"/>
      <c r="H71" s="3">
        <f>-136.11</f>
        <v>-136.11000000000001</v>
      </c>
      <c r="I71" s="3"/>
      <c r="J71" s="20"/>
      <c r="K71" s="3"/>
      <c r="L71" s="3">
        <f t="shared" si="4"/>
        <v>136.11000000000001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-12973.73</f>
        <v>-12973.73</v>
      </c>
      <c r="U71" s="3"/>
      <c r="V71" s="20"/>
      <c r="W71" s="3"/>
      <c r="X71" s="3">
        <f t="shared" si="6"/>
        <v>12973.73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","4240"," - ","SALES RETURN TAXABLE-LOGO CLOT")</f>
        <v xml:space="preserve">          4240 - SALES RETURN TAXABLE-LOGO CLOT</v>
      </c>
      <c r="C72" s="12"/>
      <c r="D72" s="3">
        <f>0</f>
        <v>0</v>
      </c>
      <c r="E72" s="3"/>
      <c r="F72" s="20"/>
      <c r="G72" s="3"/>
      <c r="H72" s="3">
        <f>-5611.92</f>
        <v>-5611.92</v>
      </c>
      <c r="I72" s="3"/>
      <c r="J72" s="20"/>
      <c r="K72" s="3"/>
      <c r="L72" s="3">
        <f t="shared" si="4"/>
        <v>5611.92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-40666.27</f>
        <v>-40666.269999999997</v>
      </c>
      <c r="U72" s="3"/>
      <c r="V72" s="20"/>
      <c r="W72" s="3"/>
      <c r="X72" s="3">
        <f t="shared" si="6"/>
        <v>40666.269999999997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","4241"," - ","SALES RETURN TAXABLE-LOGO GIFT")</f>
        <v xml:space="preserve">          4241 - SALES RETURN TAXABLE-LOGO GIFT</v>
      </c>
      <c r="C73" s="12"/>
      <c r="D73" s="3">
        <f>0</f>
        <v>0</v>
      </c>
      <c r="E73" s="3"/>
      <c r="F73" s="20"/>
      <c r="G73" s="3"/>
      <c r="H73" s="3">
        <f>-5656.91</f>
        <v>-5656.91</v>
      </c>
      <c r="I73" s="3"/>
      <c r="J73" s="20"/>
      <c r="K73" s="3"/>
      <c r="L73" s="3">
        <f t="shared" si="4"/>
        <v>5656.91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-12175.25</f>
        <v>-12175.25</v>
      </c>
      <c r="U73" s="3"/>
      <c r="V73" s="20"/>
      <c r="W73" s="3"/>
      <c r="X73" s="3">
        <f t="shared" si="6"/>
        <v>12175.25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","4242"," - ","SALES RETURN TAXABLE-EVERYDAY")</f>
        <v xml:space="preserve">          4242 - SALES RETURN TAXABLE-EVERYDAY</v>
      </c>
      <c r="C74" s="12"/>
      <c r="D74" s="3">
        <f>0</f>
        <v>0</v>
      </c>
      <c r="E74" s="3"/>
      <c r="F74" s="20"/>
      <c r="G74" s="3"/>
      <c r="H74" s="3">
        <f>-332.27</f>
        <v>-332.27</v>
      </c>
      <c r="I74" s="3"/>
      <c r="J74" s="20"/>
      <c r="K74" s="3"/>
      <c r="L74" s="3">
        <f t="shared" si="4"/>
        <v>332.27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-2636.09</f>
        <v>-2636.09</v>
      </c>
      <c r="U74" s="3"/>
      <c r="V74" s="20"/>
      <c r="W74" s="3"/>
      <c r="X74" s="3">
        <f t="shared" si="6"/>
        <v>2636.09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","4243"," - ","SALES RETURN TAXABLE-CARDS")</f>
        <v xml:space="preserve">          4243 - SALES RETURN TAXABLE-CARDS</v>
      </c>
      <c r="C75" s="12"/>
      <c r="D75" s="3">
        <f>0</f>
        <v>0</v>
      </c>
      <c r="E75" s="3"/>
      <c r="F75" s="20"/>
      <c r="G75" s="3"/>
      <c r="H75" s="3">
        <f>-199.86</f>
        <v>-199.86</v>
      </c>
      <c r="I75" s="3"/>
      <c r="J75" s="20"/>
      <c r="K75" s="3"/>
      <c r="L75" s="3">
        <f t="shared" si="4"/>
        <v>199.86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-6142.09</f>
        <v>-6142.09</v>
      </c>
      <c r="U75" s="3"/>
      <c r="V75" s="20"/>
      <c r="W75" s="3"/>
      <c r="X75" s="3">
        <f t="shared" si="6"/>
        <v>6142.09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","4244"," - ","SALES RETURN TAXABLE-ACCESSORI")</f>
        <v xml:space="preserve">          4244 - SALES RETURN TAXABLE-ACCESSORI</v>
      </c>
      <c r="C76" s="12"/>
      <c r="D76" s="3">
        <f>0</f>
        <v>0</v>
      </c>
      <c r="E76" s="3"/>
      <c r="F76" s="20"/>
      <c r="G76" s="3"/>
      <c r="H76" s="3">
        <f>-8.24</f>
        <v>-8.24</v>
      </c>
      <c r="I76" s="3"/>
      <c r="J76" s="20"/>
      <c r="K76" s="3"/>
      <c r="L76" s="3">
        <f t="shared" ref="L76:L85" si="8">+D76-H76</f>
        <v>8.24</v>
      </c>
      <c r="M76" s="3"/>
      <c r="N76" s="20">
        <f t="shared" ref="N76:N85" si="9">IF(H76=0,0,L76/H76)</f>
        <v>-1</v>
      </c>
      <c r="O76" s="12"/>
      <c r="P76" s="3">
        <f>0</f>
        <v>0</v>
      </c>
      <c r="Q76" s="3"/>
      <c r="R76" s="20"/>
      <c r="S76" s="3"/>
      <c r="T76" s="3">
        <f>-1243.5</f>
        <v>-1243.5</v>
      </c>
      <c r="U76" s="3"/>
      <c r="V76" s="20"/>
      <c r="W76" s="3"/>
      <c r="X76" s="3">
        <f t="shared" ref="X76:X85" si="10">+P76-T76</f>
        <v>1243.5</v>
      </c>
      <c r="Y76" s="3"/>
      <c r="Z76" s="20">
        <f t="shared" ref="Z76:Z85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","4245"," - ","SALES RETURN TAXABLE-SPECIAL O")</f>
        <v xml:space="preserve">          4245 - SALES RETURN TAXABLE-SPECIAL O</v>
      </c>
      <c r="C77" s="12"/>
      <c r="D77" s="3">
        <f>0</f>
        <v>0</v>
      </c>
      <c r="E77" s="3"/>
      <c r="F77" s="20"/>
      <c r="G77" s="3"/>
      <c r="H77" s="3">
        <f>-4071.14</f>
        <v>-4071.14</v>
      </c>
      <c r="I77" s="3"/>
      <c r="J77" s="20"/>
      <c r="K77" s="3"/>
      <c r="L77" s="3">
        <f t="shared" si="8"/>
        <v>4071.14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-15424.73</f>
        <v>-15424.73</v>
      </c>
      <c r="U77" s="3"/>
      <c r="V77" s="20"/>
      <c r="W77" s="3"/>
      <c r="X77" s="3">
        <f t="shared" si="10"/>
        <v>15424.73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","4300"," - ","NON-TAX RETURNS")</f>
        <v xml:space="preserve">          4300 - NON-TAX RETURNS</v>
      </c>
      <c r="C78" s="12"/>
      <c r="D78" s="3">
        <f>-9969.65</f>
        <v>-9969.65</v>
      </c>
      <c r="E78" s="3"/>
      <c r="F78" s="20"/>
      <c r="G78" s="3"/>
      <c r="H78" s="3">
        <f>0</f>
        <v>0</v>
      </c>
      <c r="I78" s="3"/>
      <c r="J78" s="20"/>
      <c r="K78" s="3"/>
      <c r="L78" s="3">
        <f t="shared" si="8"/>
        <v>-9969.65</v>
      </c>
      <c r="M78" s="3"/>
      <c r="N78" s="20">
        <f t="shared" si="9"/>
        <v>0</v>
      </c>
      <c r="O78" s="12"/>
      <c r="P78" s="3">
        <f>-41216.85</f>
        <v>-41216.85</v>
      </c>
      <c r="Q78" s="3"/>
      <c r="R78" s="20"/>
      <c r="S78" s="3"/>
      <c r="T78" s="3">
        <f>0</f>
        <v>0</v>
      </c>
      <c r="U78" s="3"/>
      <c r="V78" s="20"/>
      <c r="W78" s="3"/>
      <c r="X78" s="3">
        <f t="shared" si="10"/>
        <v>-41216.85</v>
      </c>
      <c r="Y78" s="3"/>
      <c r="Z78" s="20">
        <f t="shared" si="11"/>
        <v>0</v>
      </c>
    </row>
    <row r="79" spans="1:26" s="69" customFormat="1" ht="15" hidden="1" customHeight="1" outlineLevel="1" x14ac:dyDescent="0.3">
      <c r="A79" s="42"/>
      <c r="B79" s="12" t="str">
        <f>CONCATENATE("          ","4301"," - ","SALES RETURN NON TAXABLE-NEW T")</f>
        <v xml:space="preserve">          4301 - SALES RETURN NON TAXABLE-NEW T</v>
      </c>
      <c r="C79" s="12"/>
      <c r="D79" s="3">
        <f>0</f>
        <v>0</v>
      </c>
      <c r="E79" s="3"/>
      <c r="F79" s="20"/>
      <c r="G79" s="3"/>
      <c r="H79" s="3">
        <f>-225.91</f>
        <v>-225.91</v>
      </c>
      <c r="I79" s="3"/>
      <c r="J79" s="20"/>
      <c r="K79" s="3"/>
      <c r="L79" s="3">
        <f t="shared" si="8"/>
        <v>225.91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-3463.2</f>
        <v>-3463.2</v>
      </c>
      <c r="U79" s="3"/>
      <c r="V79" s="20"/>
      <c r="W79" s="3"/>
      <c r="X79" s="3">
        <f t="shared" si="10"/>
        <v>3463.2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","4302"," - ","SALES RETURN NON TAXABLE-TEXT")</f>
        <v xml:space="preserve">          4302 - SALES RETURN NON TAXABLE-TEXT</v>
      </c>
      <c r="C80" s="12"/>
      <c r="D80" s="3">
        <f>0</f>
        <v>0</v>
      </c>
      <c r="E80" s="3"/>
      <c r="F80" s="20"/>
      <c r="G80" s="3"/>
      <c r="H80" s="3">
        <f>-98.97</f>
        <v>-98.97</v>
      </c>
      <c r="I80" s="3"/>
      <c r="J80" s="20"/>
      <c r="K80" s="3"/>
      <c r="L80" s="3">
        <f t="shared" si="8"/>
        <v>98.97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-2443.32</f>
        <v>-2443.3200000000002</v>
      </c>
      <c r="U80" s="3"/>
      <c r="V80" s="20"/>
      <c r="W80" s="3"/>
      <c r="X80" s="3">
        <f t="shared" si="10"/>
        <v>2443.3200000000002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","4304"," - ","SALES RETURN NON TAXABLE-DIGIT")</f>
        <v xml:space="preserve">          4304 - SALES RETURN NON TAXABLE-DIGIT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-27543.76</f>
        <v>-27543.759999999998</v>
      </c>
      <c r="U81" s="3"/>
      <c r="V81" s="20"/>
      <c r="W81" s="3"/>
      <c r="X81" s="3">
        <f t="shared" si="10"/>
        <v>27543.759999999998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","4340"," - ","SALES RETURN NON TAXABLE-LOGO")</f>
        <v xml:space="preserve">          4340 - SALES RETURN NON TAXABLE-LOGO</v>
      </c>
      <c r="C82" s="12"/>
      <c r="D82" s="3">
        <f>0</f>
        <v>0</v>
      </c>
      <c r="E82" s="3"/>
      <c r="F82" s="20"/>
      <c r="G82" s="3"/>
      <c r="H82" s="3">
        <f>-664.13</f>
        <v>-664.13</v>
      </c>
      <c r="I82" s="3"/>
      <c r="J82" s="20"/>
      <c r="K82" s="3"/>
      <c r="L82" s="3">
        <f t="shared" si="8"/>
        <v>664.13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-3307.52</f>
        <v>-3307.52</v>
      </c>
      <c r="U82" s="3"/>
      <c r="V82" s="20"/>
      <c r="W82" s="3"/>
      <c r="X82" s="3">
        <f t="shared" si="10"/>
        <v>3307.52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","4341"," - ","SALES RETURN NON TAXABLE-LOGO")</f>
        <v xml:space="preserve">          4341 - SALES RETURN NON TAXABLE-LOGO</v>
      </c>
      <c r="C83" s="12"/>
      <c r="D83" s="3">
        <f>0</f>
        <v>0</v>
      </c>
      <c r="E83" s="3"/>
      <c r="F83" s="20"/>
      <c r="G83" s="3"/>
      <c r="H83" s="3">
        <f>-9.9</f>
        <v>-9.9</v>
      </c>
      <c r="I83" s="3"/>
      <c r="J83" s="20"/>
      <c r="K83" s="3"/>
      <c r="L83" s="3">
        <f t="shared" si="8"/>
        <v>9.9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-402.44</f>
        <v>-402.44</v>
      </c>
      <c r="U83" s="3"/>
      <c r="V83" s="20"/>
      <c r="W83" s="3"/>
      <c r="X83" s="3">
        <f t="shared" si="10"/>
        <v>402.44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","4342"," - ","SALES RETURN NON TAXABLE-EVERY")</f>
        <v xml:space="preserve">          4342 - SALES RETURN NON TAXABLE-EVERY</v>
      </c>
      <c r="C84" s="12"/>
      <c r="D84" s="3">
        <f>0</f>
        <v>0</v>
      </c>
      <c r="E84" s="3"/>
      <c r="F84" s="20"/>
      <c r="G84" s="3"/>
      <c r="H84" s="3">
        <f>0</f>
        <v>0</v>
      </c>
      <c r="I84" s="3"/>
      <c r="J84" s="20"/>
      <c r="K84" s="3"/>
      <c r="L84" s="3">
        <f t="shared" si="8"/>
        <v>0</v>
      </c>
      <c r="M84" s="3"/>
      <c r="N84" s="20">
        <f t="shared" si="9"/>
        <v>0</v>
      </c>
      <c r="O84" s="12"/>
      <c r="P84" s="3">
        <f>0</f>
        <v>0</v>
      </c>
      <c r="Q84" s="3"/>
      <c r="R84" s="20"/>
      <c r="S84" s="3"/>
      <c r="T84" s="3">
        <f>-118.7</f>
        <v>-118.7</v>
      </c>
      <c r="U84" s="3"/>
      <c r="V84" s="20"/>
      <c r="W84" s="3"/>
      <c r="X84" s="3">
        <f t="shared" si="10"/>
        <v>118.7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","4500"," - ","SALES DISCOUNT")</f>
        <v xml:space="preserve">          4500 - SALES DISCOUNT</v>
      </c>
      <c r="C85" s="12"/>
      <c r="D85" s="3">
        <f>-14706.77</f>
        <v>-14706.77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-14706.77</v>
      </c>
      <c r="M85" s="3"/>
      <c r="N85" s="20">
        <f t="shared" si="9"/>
        <v>0</v>
      </c>
      <c r="O85" s="12"/>
      <c r="P85" s="3">
        <f>-106613.91</f>
        <v>-106613.91</v>
      </c>
      <c r="Q85" s="3"/>
      <c r="R85" s="20"/>
      <c r="S85" s="3"/>
      <c r="T85" s="3">
        <f>0</f>
        <v>0</v>
      </c>
      <c r="U85" s="3"/>
      <c r="V85" s="20"/>
      <c r="W85" s="3"/>
      <c r="X85" s="3">
        <f t="shared" si="10"/>
        <v>-106613.91</v>
      </c>
      <c r="Y85" s="3"/>
      <c r="Z85" s="20">
        <f t="shared" si="11"/>
        <v>0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collapsed="1" x14ac:dyDescent="0.3">
      <c r="A87" s="11"/>
      <c r="B87" s="27" t="s">
        <v>287</v>
      </c>
      <c r="C87" s="11"/>
      <c r="D87" s="5">
        <f>SUM(OSRRefD16x_0)</f>
        <v>427318.31999999995</v>
      </c>
      <c r="E87" s="5"/>
      <c r="F87" s="13">
        <f t="shared" ref="F87:F130" si="12">IF(D$12=0,0,D87/D$12)</f>
        <v>0.43740698078982299</v>
      </c>
      <c r="G87" s="5"/>
      <c r="H87" s="5">
        <f>SUM(OSRRefH16x_0)</f>
        <v>223382.47</v>
      </c>
      <c r="I87" s="5"/>
      <c r="J87" s="13">
        <f t="shared" ref="J87:J130" si="13">IF(H$12=0,0,H87/H$12)</f>
        <v>0.50940306661451207</v>
      </c>
      <c r="K87" s="5"/>
      <c r="L87" s="5">
        <f t="shared" ref="L87:L130" si="14">+D87-H87</f>
        <v>203935.84999999995</v>
      </c>
      <c r="M87" s="5"/>
      <c r="N87" s="13">
        <f t="shared" ref="N87:N130" si="15">IF(H87=0,0,L87/H87)</f>
        <v>0.9129447355470639</v>
      </c>
      <c r="O87" s="11"/>
      <c r="P87" s="5">
        <f>SUM(OSRRefP16x_0)</f>
        <v>3887244.79</v>
      </c>
      <c r="Q87" s="5"/>
      <c r="R87" s="13">
        <f t="shared" ref="R87:R130" si="16">IF(P$12=0,0,P87/P$12)</f>
        <v>0.5495730607909135</v>
      </c>
      <c r="S87" s="5"/>
      <c r="T87" s="5">
        <f>SUM(OSRRefT16x_0)</f>
        <v>2972577.5900000008</v>
      </c>
      <c r="U87" s="5"/>
      <c r="V87" s="13">
        <f t="shared" ref="V87:V130" si="17">IF(T$12=0,0,T87/T$12)</f>
        <v>0.63172240878662766</v>
      </c>
      <c r="W87" s="5"/>
      <c r="X87" s="5">
        <f t="shared" ref="X87:X130" si="18">+P87-T87</f>
        <v>914667.19999999925</v>
      </c>
      <c r="Y87" s="5"/>
      <c r="Z87" s="13">
        <f t="shared" ref="Z87:Z130" si="19">IF(T87=0,0,X87/T87)</f>
        <v>0.30770170745988806</v>
      </c>
    </row>
    <row r="88" spans="1:26" s="69" customFormat="1" ht="15" hidden="1" customHeight="1" outlineLevel="1" x14ac:dyDescent="0.3">
      <c r="A88" s="42"/>
      <c r="B88" s="12" t="str">
        <f>CONCATENATE("          ","5000"," - ","PURCHASES @ COST")</f>
        <v xml:space="preserve">          5000 - PURCHASES @ COST</v>
      </c>
      <c r="C88" s="12"/>
      <c r="D88" s="3">
        <v>154408.57999999999</v>
      </c>
      <c r="E88" s="3"/>
      <c r="F88" s="20">
        <f t="shared" si="12"/>
        <v>0.15805404922925806</v>
      </c>
      <c r="G88" s="3"/>
      <c r="H88" s="3"/>
      <c r="I88" s="3"/>
      <c r="J88" s="20">
        <f t="shared" si="13"/>
        <v>0</v>
      </c>
      <c r="K88" s="3"/>
      <c r="L88" s="3">
        <f t="shared" si="14"/>
        <v>154408.57999999999</v>
      </c>
      <c r="M88" s="3"/>
      <c r="N88" s="20">
        <f t="shared" si="15"/>
        <v>0</v>
      </c>
      <c r="O88" s="12"/>
      <c r="P88" s="3">
        <v>3675986.07</v>
      </c>
      <c r="Q88" s="3"/>
      <c r="R88" s="20">
        <f t="shared" si="16"/>
        <v>0.51970560771261876</v>
      </c>
      <c r="S88" s="3"/>
      <c r="T88" s="3">
        <v>0</v>
      </c>
      <c r="U88" s="3"/>
      <c r="V88" s="20">
        <f t="shared" si="17"/>
        <v>0</v>
      </c>
      <c r="W88" s="3"/>
      <c r="X88" s="3">
        <f t="shared" si="18"/>
        <v>3675986.07</v>
      </c>
      <c r="Y88" s="3"/>
      <c r="Z88" s="20">
        <f t="shared" si="19"/>
        <v>0</v>
      </c>
    </row>
    <row r="89" spans="1:26" s="69" customFormat="1" ht="15" hidden="1" customHeight="1" outlineLevel="1" x14ac:dyDescent="0.3">
      <c r="A89" s="42"/>
      <c r="B89" s="12" t="str">
        <f>CONCATENATE("          ","5001"," - ","PURCHASES @ COST-NEW TEXT")</f>
        <v xml:space="preserve">          5001 - PURCHASES @ COST-NEW TEXT</v>
      </c>
      <c r="C89" s="12"/>
      <c r="D89" s="3"/>
      <c r="E89" s="3"/>
      <c r="F89" s="20">
        <f t="shared" si="12"/>
        <v>0</v>
      </c>
      <c r="G89" s="3"/>
      <c r="H89" s="3">
        <v>-28969.93</v>
      </c>
      <c r="I89" s="3"/>
      <c r="J89" s="20">
        <f t="shared" si="13"/>
        <v>-6.6063246509933185E-2</v>
      </c>
      <c r="K89" s="3"/>
      <c r="L89" s="3">
        <f t="shared" si="14"/>
        <v>28969.93</v>
      </c>
      <c r="M89" s="3"/>
      <c r="N89" s="20">
        <f t="shared" si="15"/>
        <v>-1</v>
      </c>
      <c r="O89" s="12"/>
      <c r="P89" s="3">
        <v>0</v>
      </c>
      <c r="Q89" s="3"/>
      <c r="R89" s="20">
        <f t="shared" si="16"/>
        <v>0</v>
      </c>
      <c r="S89" s="3"/>
      <c r="T89" s="3">
        <v>1006546.47</v>
      </c>
      <c r="U89" s="3"/>
      <c r="V89" s="20">
        <f t="shared" si="17"/>
        <v>0.21390794397534191</v>
      </c>
      <c r="W89" s="3"/>
      <c r="X89" s="3">
        <f t="shared" si="18"/>
        <v>-1006546.47</v>
      </c>
      <c r="Y89" s="3"/>
      <c r="Z89" s="20">
        <f t="shared" si="19"/>
        <v>-1</v>
      </c>
    </row>
    <row r="90" spans="1:26" s="69" customFormat="1" ht="15" hidden="1" customHeight="1" outlineLevel="1" x14ac:dyDescent="0.3">
      <c r="A90" s="42"/>
      <c r="B90" s="12" t="str">
        <f>CONCATENATE("          ","5002"," - ","PURCHASES @ COST-USED TEXT")</f>
        <v xml:space="preserve">          5002 - PURCHASES @ COST-USED TEXT</v>
      </c>
      <c r="C90" s="12"/>
      <c r="D90" s="3"/>
      <c r="E90" s="3"/>
      <c r="F90" s="20">
        <f t="shared" si="12"/>
        <v>0</v>
      </c>
      <c r="G90" s="3"/>
      <c r="H90" s="3">
        <v>-122091.65</v>
      </c>
      <c r="I90" s="3"/>
      <c r="J90" s="20">
        <f t="shared" si="13"/>
        <v>-0.27841871798635631</v>
      </c>
      <c r="K90" s="3"/>
      <c r="L90" s="3">
        <f t="shared" si="14"/>
        <v>122091.65</v>
      </c>
      <c r="M90" s="3"/>
      <c r="N90" s="20">
        <f t="shared" si="15"/>
        <v>-1</v>
      </c>
      <c r="O90" s="12"/>
      <c r="P90" s="3">
        <v>0</v>
      </c>
      <c r="Q90" s="3"/>
      <c r="R90" s="20">
        <f t="shared" si="16"/>
        <v>0</v>
      </c>
      <c r="S90" s="3"/>
      <c r="T90" s="3">
        <v>274961.02</v>
      </c>
      <c r="U90" s="3"/>
      <c r="V90" s="20">
        <f t="shared" si="17"/>
        <v>5.8433811269104019E-2</v>
      </c>
      <c r="W90" s="3"/>
      <c r="X90" s="3">
        <f t="shared" si="18"/>
        <v>-274961.02</v>
      </c>
      <c r="Y90" s="3"/>
      <c r="Z90" s="20">
        <f t="shared" si="19"/>
        <v>-1</v>
      </c>
    </row>
    <row r="91" spans="1:26" s="69" customFormat="1" ht="15" hidden="1" customHeight="1" outlineLevel="1" x14ac:dyDescent="0.3">
      <c r="A91" s="42"/>
      <c r="B91" s="12" t="str">
        <f>CONCATENATE("          ","5003"," - ","PURCHASES @ COST-RENTAL TEXT")</f>
        <v xml:space="preserve">          5003 - PURCHASES @ COST-RENTAL TEXT</v>
      </c>
      <c r="C91" s="12"/>
      <c r="D91" s="3"/>
      <c r="E91" s="3"/>
      <c r="F91" s="20">
        <f t="shared" si="12"/>
        <v>0</v>
      </c>
      <c r="G91" s="3"/>
      <c r="H91" s="3"/>
      <c r="I91" s="3"/>
      <c r="J91" s="20">
        <f t="shared" si="13"/>
        <v>0</v>
      </c>
      <c r="K91" s="3"/>
      <c r="L91" s="3">
        <f t="shared" si="14"/>
        <v>0</v>
      </c>
      <c r="M91" s="3"/>
      <c r="N91" s="20">
        <f t="shared" si="15"/>
        <v>0</v>
      </c>
      <c r="O91" s="12"/>
      <c r="P91" s="3"/>
      <c r="Q91" s="3"/>
      <c r="R91" s="20">
        <f t="shared" si="16"/>
        <v>0</v>
      </c>
      <c r="S91" s="3"/>
      <c r="T91" s="3">
        <v>32.520000000000003</v>
      </c>
      <c r="U91" s="3"/>
      <c r="V91" s="20">
        <f t="shared" si="17"/>
        <v>6.9110433997926788E-6</v>
      </c>
      <c r="W91" s="3"/>
      <c r="X91" s="3">
        <f t="shared" si="18"/>
        <v>-32.520000000000003</v>
      </c>
      <c r="Y91" s="3"/>
      <c r="Z91" s="20">
        <f t="shared" si="19"/>
        <v>-1</v>
      </c>
    </row>
    <row r="92" spans="1:26" s="69" customFormat="1" ht="15" hidden="1" customHeight="1" outlineLevel="1" x14ac:dyDescent="0.3">
      <c r="A92" s="42"/>
      <c r="B92" s="12" t="str">
        <f>CONCATENATE("          ","5004"," - ","PURCHASES @ COST-DIGITAL TEXT")</f>
        <v xml:space="preserve">          5004 - PURCHASES @ COST-DIGITAL TEXT</v>
      </c>
      <c r="C92" s="12"/>
      <c r="D92" s="3"/>
      <c r="E92" s="3"/>
      <c r="F92" s="20">
        <f t="shared" si="12"/>
        <v>0</v>
      </c>
      <c r="G92" s="3"/>
      <c r="H92" s="3">
        <v>887.88</v>
      </c>
      <c r="I92" s="3"/>
      <c r="J92" s="20">
        <f t="shared" si="13"/>
        <v>2.0247282375635521E-3</v>
      </c>
      <c r="K92" s="3"/>
      <c r="L92" s="3">
        <f t="shared" si="14"/>
        <v>-887.88</v>
      </c>
      <c r="M92" s="3"/>
      <c r="N92" s="20">
        <f t="shared" si="15"/>
        <v>-1</v>
      </c>
      <c r="O92" s="12"/>
      <c r="P92" s="3">
        <v>0</v>
      </c>
      <c r="Q92" s="3"/>
      <c r="R92" s="20">
        <f t="shared" si="16"/>
        <v>0</v>
      </c>
      <c r="S92" s="3"/>
      <c r="T92" s="3">
        <v>207450.38</v>
      </c>
      <c r="U92" s="3"/>
      <c r="V92" s="20">
        <f t="shared" si="17"/>
        <v>4.4086672185838963E-2</v>
      </c>
      <c r="W92" s="3"/>
      <c r="X92" s="3">
        <f t="shared" si="18"/>
        <v>-207450.38</v>
      </c>
      <c r="Y92" s="3"/>
      <c r="Z92" s="20">
        <f t="shared" si="19"/>
        <v>-1</v>
      </c>
    </row>
    <row r="93" spans="1:26" s="69" customFormat="1" ht="15" hidden="1" customHeight="1" outlineLevel="1" x14ac:dyDescent="0.3">
      <c r="A93" s="42"/>
      <c r="B93" s="12" t="str">
        <f>CONCATENATE("          ","5011"," - ","PURCHASES @ COST-NO VALUE TEXT")</f>
        <v xml:space="preserve">          5011 - PURCHASES @ COST-NO VALUE TEXT</v>
      </c>
      <c r="C93" s="12"/>
      <c r="D93" s="3"/>
      <c r="E93" s="3"/>
      <c r="F93" s="20">
        <f t="shared" si="12"/>
        <v>0</v>
      </c>
      <c r="G93" s="3"/>
      <c r="H93" s="3"/>
      <c r="I93" s="3"/>
      <c r="J93" s="20">
        <f t="shared" si="13"/>
        <v>0</v>
      </c>
      <c r="K93" s="3"/>
      <c r="L93" s="3">
        <f t="shared" si="14"/>
        <v>0</v>
      </c>
      <c r="M93" s="3"/>
      <c r="N93" s="20">
        <f t="shared" si="15"/>
        <v>0</v>
      </c>
      <c r="O93" s="12"/>
      <c r="P93" s="3"/>
      <c r="Q93" s="3"/>
      <c r="R93" s="20">
        <f t="shared" si="16"/>
        <v>0</v>
      </c>
      <c r="S93" s="3"/>
      <c r="T93" s="3">
        <v>67.17</v>
      </c>
      <c r="U93" s="3"/>
      <c r="V93" s="20">
        <f t="shared" si="17"/>
        <v>1.4274747391269195E-5</v>
      </c>
      <c r="W93" s="3"/>
      <c r="X93" s="3">
        <f t="shared" si="18"/>
        <v>-67.17</v>
      </c>
      <c r="Y93" s="3"/>
      <c r="Z93" s="20">
        <f t="shared" si="19"/>
        <v>-1</v>
      </c>
    </row>
    <row r="94" spans="1:26" s="69" customFormat="1" ht="15" hidden="1" customHeight="1" outlineLevel="1" x14ac:dyDescent="0.3">
      <c r="A94" s="42"/>
      <c r="B94" s="12" t="str">
        <f>CONCATENATE("          ","5013"," - ","PURCHASES @ COST-TRADE BOOKS")</f>
        <v xml:space="preserve">          5013 - PURCHASES @ COST-TRADE BOOKS</v>
      </c>
      <c r="C94" s="12"/>
      <c r="D94" s="3"/>
      <c r="E94" s="3"/>
      <c r="F94" s="20">
        <f t="shared" si="12"/>
        <v>0</v>
      </c>
      <c r="G94" s="3"/>
      <c r="H94" s="3">
        <v>800</v>
      </c>
      <c r="I94" s="3"/>
      <c r="J94" s="20">
        <f t="shared" si="13"/>
        <v>1.8243260238442599E-3</v>
      </c>
      <c r="K94" s="3"/>
      <c r="L94" s="3">
        <f t="shared" si="14"/>
        <v>-800</v>
      </c>
      <c r="M94" s="3"/>
      <c r="N94" s="20">
        <f t="shared" si="15"/>
        <v>-1</v>
      </c>
      <c r="O94" s="12"/>
      <c r="P94" s="3"/>
      <c r="Q94" s="3"/>
      <c r="R94" s="20">
        <f t="shared" si="16"/>
        <v>0</v>
      </c>
      <c r="S94" s="3"/>
      <c r="T94" s="3">
        <v>9670.02</v>
      </c>
      <c r="U94" s="3"/>
      <c r="V94" s="20">
        <f t="shared" si="17"/>
        <v>2.0550408332368755E-3</v>
      </c>
      <c r="W94" s="3"/>
      <c r="X94" s="3">
        <f t="shared" si="18"/>
        <v>-9670.02</v>
      </c>
      <c r="Y94" s="3"/>
      <c r="Z94" s="20">
        <f t="shared" si="19"/>
        <v>-1</v>
      </c>
    </row>
    <row r="95" spans="1:26" s="69" customFormat="1" ht="15" hidden="1" customHeight="1" outlineLevel="1" x14ac:dyDescent="0.3">
      <c r="A95" s="42"/>
      <c r="B95" s="12" t="str">
        <f>CONCATENATE("          ","5014"," - ","PURCHASES @ COST-REMAINDERS")</f>
        <v xml:space="preserve">          5014 - PURCHASES @ COST-REMAINDERS</v>
      </c>
      <c r="C95" s="12"/>
      <c r="D95" s="3"/>
      <c r="E95" s="3"/>
      <c r="F95" s="20">
        <f t="shared" si="12"/>
        <v>0</v>
      </c>
      <c r="G95" s="3"/>
      <c r="H95" s="3"/>
      <c r="I95" s="3"/>
      <c r="J95" s="20">
        <f t="shared" si="13"/>
        <v>0</v>
      </c>
      <c r="K95" s="3"/>
      <c r="L95" s="3">
        <f t="shared" si="14"/>
        <v>0</v>
      </c>
      <c r="M95" s="3"/>
      <c r="N95" s="20">
        <f t="shared" si="15"/>
        <v>0</v>
      </c>
      <c r="O95" s="12"/>
      <c r="P95" s="3"/>
      <c r="Q95" s="3"/>
      <c r="R95" s="20">
        <f t="shared" si="16"/>
        <v>0</v>
      </c>
      <c r="S95" s="3"/>
      <c r="T95" s="3">
        <v>111.57</v>
      </c>
      <c r="U95" s="3"/>
      <c r="V95" s="20">
        <f t="shared" si="17"/>
        <v>2.3710489302425249E-5</v>
      </c>
      <c r="W95" s="3"/>
      <c r="X95" s="3">
        <f t="shared" si="18"/>
        <v>-111.57</v>
      </c>
      <c r="Y95" s="3"/>
      <c r="Z95" s="20">
        <f t="shared" si="19"/>
        <v>-1</v>
      </c>
    </row>
    <row r="96" spans="1:26" s="69" customFormat="1" ht="15" hidden="1" customHeight="1" outlineLevel="1" x14ac:dyDescent="0.3">
      <c r="A96" s="42"/>
      <c r="B96" s="12" t="str">
        <f>CONCATENATE("          ","5018"," - ","PURCHASES @ COST-STUDY GUIDES")</f>
        <v xml:space="preserve">          5018 - PURCHASES @ COST-STUDY GUIDES</v>
      </c>
      <c r="C96" s="12"/>
      <c r="D96" s="3"/>
      <c r="E96" s="3"/>
      <c r="F96" s="20">
        <f t="shared" si="12"/>
        <v>0</v>
      </c>
      <c r="G96" s="3"/>
      <c r="H96" s="3"/>
      <c r="I96" s="3"/>
      <c r="J96" s="20">
        <f t="shared" si="13"/>
        <v>0</v>
      </c>
      <c r="K96" s="3"/>
      <c r="L96" s="3">
        <f t="shared" si="14"/>
        <v>0</v>
      </c>
      <c r="M96" s="3"/>
      <c r="N96" s="20">
        <f t="shared" si="15"/>
        <v>0</v>
      </c>
      <c r="O96" s="12"/>
      <c r="P96" s="3"/>
      <c r="Q96" s="3"/>
      <c r="R96" s="20">
        <f t="shared" si="16"/>
        <v>0</v>
      </c>
      <c r="S96" s="3"/>
      <c r="T96" s="3">
        <v>967.21</v>
      </c>
      <c r="U96" s="3"/>
      <c r="V96" s="20">
        <f t="shared" si="17"/>
        <v>2.055482867993074E-4</v>
      </c>
      <c r="W96" s="3"/>
      <c r="X96" s="3">
        <f t="shared" si="18"/>
        <v>-967.21</v>
      </c>
      <c r="Y96" s="3"/>
      <c r="Z96" s="20">
        <f t="shared" si="19"/>
        <v>-1</v>
      </c>
    </row>
    <row r="97" spans="1:26" s="69" customFormat="1" ht="15" hidden="1" customHeight="1" outlineLevel="1" x14ac:dyDescent="0.3">
      <c r="A97" s="42"/>
      <c r="B97" s="12" t="str">
        <f>CONCATENATE("          ","5025"," - ","PURCHASES @ COST-TEST FORMS")</f>
        <v xml:space="preserve">          5025 - PURCHASES @ COST-TEST FORMS</v>
      </c>
      <c r="C97" s="12"/>
      <c r="D97" s="3"/>
      <c r="E97" s="3"/>
      <c r="F97" s="20">
        <f t="shared" si="12"/>
        <v>0</v>
      </c>
      <c r="G97" s="3"/>
      <c r="H97" s="3"/>
      <c r="I97" s="3"/>
      <c r="J97" s="20">
        <f t="shared" si="13"/>
        <v>0</v>
      </c>
      <c r="K97" s="3"/>
      <c r="L97" s="3">
        <f t="shared" si="14"/>
        <v>0</v>
      </c>
      <c r="M97" s="3"/>
      <c r="N97" s="20">
        <f t="shared" si="15"/>
        <v>0</v>
      </c>
      <c r="O97" s="12"/>
      <c r="P97" s="3"/>
      <c r="Q97" s="3"/>
      <c r="R97" s="20">
        <f t="shared" si="16"/>
        <v>0</v>
      </c>
      <c r="S97" s="3"/>
      <c r="T97" s="3">
        <v>599.29</v>
      </c>
      <c r="U97" s="3"/>
      <c r="V97" s="20">
        <f t="shared" si="17"/>
        <v>1.2735913896253856E-4</v>
      </c>
      <c r="W97" s="3"/>
      <c r="X97" s="3">
        <f t="shared" si="18"/>
        <v>-599.29</v>
      </c>
      <c r="Y97" s="3"/>
      <c r="Z97" s="20">
        <f t="shared" si="19"/>
        <v>-1</v>
      </c>
    </row>
    <row r="98" spans="1:26" s="69" customFormat="1" ht="15" hidden="1" customHeight="1" outlineLevel="1" x14ac:dyDescent="0.3">
      <c r="A98" s="42"/>
      <c r="B98" s="12" t="str">
        <f>CONCATENATE("          ","5026"," - ","PURCHASES @ COST-WRITING INSTR")</f>
        <v xml:space="preserve">          5026 - PURCHASES @ COST-WRITING INSTR</v>
      </c>
      <c r="C98" s="12"/>
      <c r="D98" s="3"/>
      <c r="E98" s="3"/>
      <c r="F98" s="20">
        <f t="shared" si="12"/>
        <v>0</v>
      </c>
      <c r="G98" s="3"/>
      <c r="H98" s="3"/>
      <c r="I98" s="3"/>
      <c r="J98" s="20">
        <f t="shared" si="13"/>
        <v>0</v>
      </c>
      <c r="K98" s="3"/>
      <c r="L98" s="3">
        <f t="shared" si="14"/>
        <v>0</v>
      </c>
      <c r="M98" s="3"/>
      <c r="N98" s="20">
        <f t="shared" si="15"/>
        <v>0</v>
      </c>
      <c r="O98" s="12"/>
      <c r="P98" s="3">
        <v>0</v>
      </c>
      <c r="Q98" s="3"/>
      <c r="R98" s="20">
        <f t="shared" si="16"/>
        <v>0</v>
      </c>
      <c r="S98" s="3"/>
      <c r="T98" s="3">
        <v>584.54999999999995</v>
      </c>
      <c r="U98" s="3"/>
      <c r="V98" s="20">
        <f t="shared" si="17"/>
        <v>1.2422664266140251E-4</v>
      </c>
      <c r="W98" s="3"/>
      <c r="X98" s="3">
        <f t="shared" si="18"/>
        <v>-584.54999999999995</v>
      </c>
      <c r="Y98" s="3"/>
      <c r="Z98" s="20">
        <f t="shared" si="19"/>
        <v>-1</v>
      </c>
    </row>
    <row r="99" spans="1:26" s="69" customFormat="1" ht="15" hidden="1" customHeight="1" outlineLevel="1" x14ac:dyDescent="0.3">
      <c r="A99" s="42"/>
      <c r="B99" s="12" t="str">
        <f>CONCATENATE("          ","5027"," - ","PURCHASES @ COST-SCHOOL SUPPLI")</f>
        <v xml:space="preserve">          5027 - PURCHASES @ COST-SCHOOL SUPPLI</v>
      </c>
      <c r="C99" s="12"/>
      <c r="D99" s="3"/>
      <c r="E99" s="3"/>
      <c r="F99" s="20">
        <f t="shared" si="12"/>
        <v>0</v>
      </c>
      <c r="G99" s="3"/>
      <c r="H99" s="3">
        <v>1838.72</v>
      </c>
      <c r="I99" s="3"/>
      <c r="J99" s="20">
        <f t="shared" si="13"/>
        <v>4.1930309332036475E-3</v>
      </c>
      <c r="K99" s="3"/>
      <c r="L99" s="3">
        <f t="shared" si="14"/>
        <v>-1838.72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23734.6</v>
      </c>
      <c r="U99" s="3"/>
      <c r="V99" s="20">
        <f t="shared" si="17"/>
        <v>5.0439990983001011E-3</v>
      </c>
      <c r="W99" s="3"/>
      <c r="X99" s="3">
        <f t="shared" si="18"/>
        <v>-23734.6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","5028"," - ","PURCHASES @ COST-ART/TECH")</f>
        <v xml:space="preserve">          5028 - PURCHASES @ COST-ART/TECH</v>
      </c>
      <c r="C100" s="12"/>
      <c r="D100" s="3"/>
      <c r="E100" s="3"/>
      <c r="F100" s="20">
        <f t="shared" si="12"/>
        <v>0</v>
      </c>
      <c r="G100" s="3"/>
      <c r="H100" s="3">
        <v>1371.26</v>
      </c>
      <c r="I100" s="3"/>
      <c r="J100" s="20">
        <f t="shared" si="13"/>
        <v>3.1270316293208499E-3</v>
      </c>
      <c r="K100" s="3"/>
      <c r="L100" s="3">
        <f t="shared" si="14"/>
        <v>-1371.26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47006.62</v>
      </c>
      <c r="U100" s="3"/>
      <c r="V100" s="20">
        <f t="shared" si="17"/>
        <v>9.9896922170222176E-3</v>
      </c>
      <c r="W100" s="3"/>
      <c r="X100" s="3">
        <f t="shared" si="18"/>
        <v>-47006.62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","5031"," - ","PURCHASES @ COST-FOOD")</f>
        <v xml:space="preserve">          5031 - PURCHASES @ COST-FOOD</v>
      </c>
      <c r="C101" s="12"/>
      <c r="D101" s="3"/>
      <c r="E101" s="3"/>
      <c r="F101" s="20">
        <f t="shared" si="12"/>
        <v>0</v>
      </c>
      <c r="G101" s="3"/>
      <c r="H101" s="3"/>
      <c r="I101" s="3"/>
      <c r="J101" s="20">
        <f t="shared" si="13"/>
        <v>0</v>
      </c>
      <c r="K101" s="3"/>
      <c r="L101" s="3">
        <f t="shared" si="14"/>
        <v>0</v>
      </c>
      <c r="M101" s="3"/>
      <c r="N101" s="20">
        <f t="shared" si="15"/>
        <v>0</v>
      </c>
      <c r="O101" s="12"/>
      <c r="P101" s="3">
        <v>0</v>
      </c>
      <c r="Q101" s="3"/>
      <c r="R101" s="20">
        <f t="shared" si="16"/>
        <v>0</v>
      </c>
      <c r="S101" s="3"/>
      <c r="T101" s="3">
        <v>7785.72</v>
      </c>
      <c r="U101" s="3"/>
      <c r="V101" s="20">
        <f t="shared" si="17"/>
        <v>1.6545955971289622E-3</v>
      </c>
      <c r="W101" s="3"/>
      <c r="X101" s="3">
        <f t="shared" si="18"/>
        <v>-7785.72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","5040"," - ","PURCHASES @ COST-LOGO CLOTHING")</f>
        <v xml:space="preserve">          5040 - PURCHASES @ COST-LOGO CLOTHING</v>
      </c>
      <c r="C102" s="12"/>
      <c r="D102" s="3"/>
      <c r="E102" s="3"/>
      <c r="F102" s="20">
        <f t="shared" si="12"/>
        <v>0</v>
      </c>
      <c r="G102" s="3"/>
      <c r="H102" s="3">
        <v>39218.65</v>
      </c>
      <c r="I102" s="3"/>
      <c r="J102" s="20">
        <f t="shared" si="13"/>
        <v>8.9434504768799605E-2</v>
      </c>
      <c r="K102" s="3"/>
      <c r="L102" s="3">
        <f t="shared" si="14"/>
        <v>-39218.65</v>
      </c>
      <c r="M102" s="3"/>
      <c r="N102" s="20">
        <f t="shared" si="15"/>
        <v>-1</v>
      </c>
      <c r="O102" s="12"/>
      <c r="P102" s="3">
        <v>0</v>
      </c>
      <c r="Q102" s="3"/>
      <c r="R102" s="20">
        <f t="shared" si="16"/>
        <v>0</v>
      </c>
      <c r="S102" s="3"/>
      <c r="T102" s="3">
        <v>279090.25</v>
      </c>
      <c r="U102" s="3"/>
      <c r="V102" s="20">
        <f t="shared" si="17"/>
        <v>5.9311341642342821E-2</v>
      </c>
      <c r="W102" s="3"/>
      <c r="X102" s="3">
        <f t="shared" si="18"/>
        <v>-279090.25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","5041"," - ","PURCHASES @ COST-LOGO GIFTS")</f>
        <v xml:space="preserve">          5041 - PURCHASES @ COST-LOGO GIFTS</v>
      </c>
      <c r="C103" s="12"/>
      <c r="D103" s="3"/>
      <c r="E103" s="3"/>
      <c r="F103" s="20">
        <f t="shared" si="12"/>
        <v>0</v>
      </c>
      <c r="G103" s="3"/>
      <c r="H103" s="3">
        <v>15798.51</v>
      </c>
      <c r="I103" s="3"/>
      <c r="J103" s="20">
        <f t="shared" si="13"/>
        <v>3.6027041163704726E-2</v>
      </c>
      <c r="K103" s="3"/>
      <c r="L103" s="3">
        <f t="shared" si="14"/>
        <v>-15798.51</v>
      </c>
      <c r="M103" s="3"/>
      <c r="N103" s="20">
        <f t="shared" si="15"/>
        <v>-1</v>
      </c>
      <c r="O103" s="12"/>
      <c r="P103" s="3">
        <v>0</v>
      </c>
      <c r="Q103" s="3"/>
      <c r="R103" s="20">
        <f t="shared" si="16"/>
        <v>0</v>
      </c>
      <c r="S103" s="3"/>
      <c r="T103" s="3">
        <v>84261.95</v>
      </c>
      <c r="U103" s="3"/>
      <c r="V103" s="20">
        <f t="shared" si="17"/>
        <v>1.7907072367809369E-2</v>
      </c>
      <c r="W103" s="3"/>
      <c r="X103" s="3">
        <f t="shared" si="18"/>
        <v>-84261.95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","5042"," - ","PURCHASES @ COST-EVERYDAY GIFT")</f>
        <v xml:space="preserve">          5042 - PURCHASES @ COST-EVERYDAY GIFT</v>
      </c>
      <c r="C104" s="12"/>
      <c r="D104" s="3"/>
      <c r="E104" s="3"/>
      <c r="F104" s="20">
        <f t="shared" si="12"/>
        <v>0</v>
      </c>
      <c r="G104" s="3"/>
      <c r="H104" s="3"/>
      <c r="I104" s="3"/>
      <c r="J104" s="20">
        <f t="shared" si="13"/>
        <v>0</v>
      </c>
      <c r="K104" s="3"/>
      <c r="L104" s="3">
        <f t="shared" si="14"/>
        <v>0</v>
      </c>
      <c r="M104" s="3"/>
      <c r="N104" s="20">
        <f t="shared" si="15"/>
        <v>0</v>
      </c>
      <c r="O104" s="12"/>
      <c r="P104" s="3">
        <v>0</v>
      </c>
      <c r="Q104" s="3"/>
      <c r="R104" s="20">
        <f t="shared" si="16"/>
        <v>0</v>
      </c>
      <c r="S104" s="3"/>
      <c r="T104" s="3">
        <v>18748.18</v>
      </c>
      <c r="U104" s="3"/>
      <c r="V104" s="20">
        <f t="shared" si="17"/>
        <v>3.9843015266643632E-3</v>
      </c>
      <c r="W104" s="3"/>
      <c r="X104" s="3">
        <f t="shared" si="18"/>
        <v>-18748.18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","5043"," - ","PURCHASES @ COST-CARDS")</f>
        <v xml:space="preserve">          5043 - PURCHASES @ COST-CARDS</v>
      </c>
      <c r="C105" s="12"/>
      <c r="D105" s="3"/>
      <c r="E105" s="3"/>
      <c r="F105" s="20">
        <f t="shared" si="12"/>
        <v>0</v>
      </c>
      <c r="G105" s="3"/>
      <c r="H105" s="3">
        <v>41</v>
      </c>
      <c r="I105" s="3"/>
      <c r="J105" s="20">
        <f t="shared" si="13"/>
        <v>9.3496708722018329E-5</v>
      </c>
      <c r="K105" s="3"/>
      <c r="L105" s="3">
        <f t="shared" si="14"/>
        <v>-41</v>
      </c>
      <c r="M105" s="3"/>
      <c r="N105" s="20">
        <f t="shared" si="15"/>
        <v>-1</v>
      </c>
      <c r="O105" s="12"/>
      <c r="P105" s="3">
        <v>0</v>
      </c>
      <c r="Q105" s="3"/>
      <c r="R105" s="20">
        <f t="shared" si="16"/>
        <v>0</v>
      </c>
      <c r="S105" s="3"/>
      <c r="T105" s="3">
        <v>55405.33</v>
      </c>
      <c r="U105" s="3"/>
      <c r="V105" s="20">
        <f t="shared" si="17"/>
        <v>1.1774558432036755E-2</v>
      </c>
      <c r="W105" s="3"/>
      <c r="X105" s="3">
        <f t="shared" si="18"/>
        <v>-55405.33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","5044"," - ","PURCHASES @ COST-ACCESSORIES")</f>
        <v xml:space="preserve">          5044 - PURCHASES @ COST-ACCESSORIES</v>
      </c>
      <c r="C106" s="12"/>
      <c r="D106" s="3"/>
      <c r="E106" s="3"/>
      <c r="F106" s="20">
        <f t="shared" si="12"/>
        <v>0</v>
      </c>
      <c r="G106" s="3"/>
      <c r="H106" s="3">
        <v>1490.88</v>
      </c>
      <c r="I106" s="3"/>
      <c r="J106" s="20">
        <f t="shared" si="13"/>
        <v>3.3998139780361631E-3</v>
      </c>
      <c r="K106" s="3"/>
      <c r="L106" s="3">
        <f t="shared" si="14"/>
        <v>-1490.88</v>
      </c>
      <c r="M106" s="3"/>
      <c r="N106" s="20">
        <f t="shared" si="15"/>
        <v>-1</v>
      </c>
      <c r="O106" s="12"/>
      <c r="P106" s="3">
        <v>0</v>
      </c>
      <c r="Q106" s="3"/>
      <c r="R106" s="20">
        <f t="shared" si="16"/>
        <v>0</v>
      </c>
      <c r="S106" s="3"/>
      <c r="T106" s="3">
        <v>2555.71</v>
      </c>
      <c r="U106" s="3"/>
      <c r="V106" s="20">
        <f t="shared" si="17"/>
        <v>5.431310801747892E-4</v>
      </c>
      <c r="W106" s="3"/>
      <c r="X106" s="3">
        <f t="shared" si="18"/>
        <v>-2555.71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","5045"," - ","PURCHASES @ COST-SPECIAL ORDER")</f>
        <v xml:space="preserve">          5045 - PURCHASES @ COST-SPECIAL ORDER</v>
      </c>
      <c r="C107" s="12"/>
      <c r="D107" s="3"/>
      <c r="E107" s="3"/>
      <c r="F107" s="20">
        <f t="shared" si="12"/>
        <v>0</v>
      </c>
      <c r="G107" s="3"/>
      <c r="H107" s="3">
        <v>5771.38</v>
      </c>
      <c r="I107" s="3"/>
      <c r="J107" s="20">
        <f t="shared" si="13"/>
        <v>1.3161098409367857E-2</v>
      </c>
      <c r="K107" s="3"/>
      <c r="L107" s="3">
        <f t="shared" si="14"/>
        <v>-5771.38</v>
      </c>
      <c r="M107" s="3"/>
      <c r="N107" s="20">
        <f t="shared" si="15"/>
        <v>-1</v>
      </c>
      <c r="O107" s="12"/>
      <c r="P107" s="3">
        <v>0</v>
      </c>
      <c r="Q107" s="3"/>
      <c r="R107" s="20">
        <f t="shared" si="16"/>
        <v>0</v>
      </c>
      <c r="S107" s="3"/>
      <c r="T107" s="3">
        <v>114998.07</v>
      </c>
      <c r="U107" s="3"/>
      <c r="V107" s="20">
        <f t="shared" si="17"/>
        <v>2.4439011459483285E-2</v>
      </c>
      <c r="W107" s="3"/>
      <c r="X107" s="3">
        <f t="shared" si="18"/>
        <v>-114998.07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","5053"," - ","PURCHASES @ COST-FOOD")</f>
        <v xml:space="preserve">          5053 - PURCHASES @ COST-FOOD</v>
      </c>
      <c r="C108" s="12"/>
      <c r="D108" s="3">
        <v>1344.8</v>
      </c>
      <c r="E108" s="3"/>
      <c r="F108" s="20">
        <f t="shared" si="12"/>
        <v>1.376549706004072E-3</v>
      </c>
      <c r="G108" s="3"/>
      <c r="H108" s="3">
        <v>176.4</v>
      </c>
      <c r="I108" s="3"/>
      <c r="J108" s="20">
        <f t="shared" si="13"/>
        <v>4.0226388825765936E-4</v>
      </c>
      <c r="K108" s="3"/>
      <c r="L108" s="3">
        <f t="shared" si="14"/>
        <v>1168.3999999999999</v>
      </c>
      <c r="M108" s="3"/>
      <c r="N108" s="20">
        <f t="shared" si="15"/>
        <v>6.6235827664399087</v>
      </c>
      <c r="O108" s="12"/>
      <c r="P108" s="3">
        <v>28404.14</v>
      </c>
      <c r="Q108" s="3"/>
      <c r="R108" s="20">
        <f t="shared" si="16"/>
        <v>4.0157363382648248E-3</v>
      </c>
      <c r="S108" s="3"/>
      <c r="T108" s="3">
        <v>-2470.15</v>
      </c>
      <c r="U108" s="3"/>
      <c r="V108" s="20">
        <f t="shared" si="17"/>
        <v>-5.2494815049193989E-4</v>
      </c>
      <c r="W108" s="3"/>
      <c r="X108" s="3">
        <f t="shared" si="18"/>
        <v>30874.29</v>
      </c>
      <c r="Y108" s="3"/>
      <c r="Z108" s="20">
        <f t="shared" si="19"/>
        <v>-12.498953504847883</v>
      </c>
    </row>
    <row r="109" spans="1:26" s="69" customFormat="1" ht="15" hidden="1" customHeight="1" outlineLevel="1" x14ac:dyDescent="0.3">
      <c r="A109" s="42"/>
      <c r="B109" s="12" t="str">
        <f>CONCATENATE("          ","5059"," - ","PURCHASES @ COST-FOOD")</f>
        <v xml:space="preserve">          5059 - PURCHASES @ COST-FOOD</v>
      </c>
      <c r="C109" s="12"/>
      <c r="D109" s="3">
        <v>48685.02</v>
      </c>
      <c r="E109" s="3"/>
      <c r="F109" s="20">
        <f t="shared" si="12"/>
        <v>4.9834436323469934E-2</v>
      </c>
      <c r="G109" s="3"/>
      <c r="H109" s="3">
        <v>24.08</v>
      </c>
      <c r="I109" s="3"/>
      <c r="J109" s="20">
        <f t="shared" si="13"/>
        <v>5.4912213317712221E-5</v>
      </c>
      <c r="K109" s="3"/>
      <c r="L109" s="3">
        <f t="shared" si="14"/>
        <v>48660.939999999995</v>
      </c>
      <c r="M109" s="3"/>
      <c r="N109" s="20">
        <f t="shared" si="15"/>
        <v>2020.8031561461794</v>
      </c>
      <c r="O109" s="12"/>
      <c r="P109" s="3">
        <v>167582.81</v>
      </c>
      <c r="Q109" s="3"/>
      <c r="R109" s="20">
        <f t="shared" si="16"/>
        <v>2.3692615928013659E-2</v>
      </c>
      <c r="S109" s="3"/>
      <c r="T109" s="3">
        <v>30889.99</v>
      </c>
      <c r="U109" s="3"/>
      <c r="V109" s="20">
        <f t="shared" si="17"/>
        <v>6.5646390377971046E-3</v>
      </c>
      <c r="W109" s="3"/>
      <c r="X109" s="3">
        <f t="shared" si="18"/>
        <v>136692.82</v>
      </c>
      <c r="Y109" s="3"/>
      <c r="Z109" s="20">
        <f t="shared" si="19"/>
        <v>4.4251493768693351</v>
      </c>
    </row>
    <row r="110" spans="1:26" s="69" customFormat="1" ht="15" hidden="1" customHeight="1" outlineLevel="1" x14ac:dyDescent="0.3">
      <c r="A110" s="42"/>
      <c r="B110" s="12" t="str">
        <f>CONCATENATE("          ","5086"," - ","PURCHASES @ COST-COMPUTER SUPP")</f>
        <v xml:space="preserve">          5086 - PURCHASES @ COST-COMPUTER SUPP</v>
      </c>
      <c r="C110" s="12"/>
      <c r="D110" s="3"/>
      <c r="E110" s="3"/>
      <c r="F110" s="20">
        <f t="shared" si="12"/>
        <v>0</v>
      </c>
      <c r="G110" s="3"/>
      <c r="H110" s="3"/>
      <c r="I110" s="3"/>
      <c r="J110" s="20">
        <f t="shared" si="13"/>
        <v>0</v>
      </c>
      <c r="K110" s="3"/>
      <c r="L110" s="3">
        <f t="shared" si="14"/>
        <v>0</v>
      </c>
      <c r="M110" s="3"/>
      <c r="N110" s="20">
        <f t="shared" si="15"/>
        <v>0</v>
      </c>
      <c r="O110" s="12"/>
      <c r="P110" s="3"/>
      <c r="Q110" s="3"/>
      <c r="R110" s="20">
        <f t="shared" si="16"/>
        <v>0</v>
      </c>
      <c r="S110" s="3"/>
      <c r="T110" s="3">
        <v>13.21</v>
      </c>
      <c r="U110" s="3"/>
      <c r="V110" s="20">
        <f t="shared" si="17"/>
        <v>2.8073457352786372E-6</v>
      </c>
      <c r="W110" s="3"/>
      <c r="X110" s="3">
        <f t="shared" si="18"/>
        <v>-13.21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","5092"," - ","PURCHASES @ COST-GRAD MERCH")</f>
        <v xml:space="preserve">          5092 - PURCHASES @ COST-GRAD MERCH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/>
      <c r="Q111" s="3"/>
      <c r="R111" s="20">
        <f t="shared" si="16"/>
        <v>0</v>
      </c>
      <c r="S111" s="3"/>
      <c r="T111" s="3">
        <v>0</v>
      </c>
      <c r="U111" s="3"/>
      <c r="V111" s="20">
        <f t="shared" si="17"/>
        <v>0</v>
      </c>
      <c r="W111" s="3"/>
      <c r="X111" s="3">
        <f t="shared" si="18"/>
        <v>0</v>
      </c>
      <c r="Y111" s="3"/>
      <c r="Z111" s="20">
        <f t="shared" si="19"/>
        <v>0</v>
      </c>
    </row>
    <row r="112" spans="1:26" s="69" customFormat="1" ht="15" hidden="1" customHeight="1" outlineLevel="1" x14ac:dyDescent="0.3">
      <c r="A112" s="42"/>
      <c r="B112" s="12" t="str">
        <f>CONCATENATE("          ","5200"," - ","PURCHASES OFFSET")</f>
        <v xml:space="preserve">          5200 - PURCHASES OFFSET</v>
      </c>
      <c r="C112" s="12"/>
      <c r="D112" s="3">
        <v>-214885.79</v>
      </c>
      <c r="E112" s="3"/>
      <c r="F112" s="20">
        <f t="shared" si="12"/>
        <v>-0.21995908019702021</v>
      </c>
      <c r="G112" s="3"/>
      <c r="H112" s="3">
        <v>78563.789999999994</v>
      </c>
      <c r="I112" s="3"/>
      <c r="J112" s="20">
        <f t="shared" si="13"/>
        <v>0.17915745828604426</v>
      </c>
      <c r="K112" s="3"/>
      <c r="L112" s="3">
        <f t="shared" si="14"/>
        <v>-293449.58</v>
      </c>
      <c r="M112" s="3"/>
      <c r="N112" s="20">
        <f t="shared" si="15"/>
        <v>-3.7351759633795676</v>
      </c>
      <c r="O112" s="12"/>
      <c r="P112" s="3">
        <v>-3568024.44</v>
      </c>
      <c r="Q112" s="3"/>
      <c r="R112" s="20">
        <f t="shared" si="16"/>
        <v>-0.50444214820533217</v>
      </c>
      <c r="S112" s="3"/>
      <c r="T112" s="3">
        <v>-1685385.13</v>
      </c>
      <c r="U112" s="3"/>
      <c r="V112" s="20">
        <f t="shared" si="17"/>
        <v>-0.35817250242297738</v>
      </c>
      <c r="W112" s="3"/>
      <c r="X112" s="3">
        <f t="shared" si="18"/>
        <v>-1882639.31</v>
      </c>
      <c r="Y112" s="3"/>
      <c r="Z112" s="20">
        <f t="shared" si="19"/>
        <v>1.1170380445922174</v>
      </c>
    </row>
    <row r="113" spans="1:26" s="69" customFormat="1" ht="15" hidden="1" customHeight="1" outlineLevel="1" x14ac:dyDescent="0.3">
      <c r="A113" s="42"/>
      <c r="B113" s="12" t="str">
        <f>CONCATENATE("          ","5300"," - ","COG$ OFFSET")</f>
        <v xml:space="preserve">          5300 - COG$ OFFSET</v>
      </c>
      <c r="C113" s="12"/>
      <c r="D113" s="3">
        <v>402607.93</v>
      </c>
      <c r="E113" s="3"/>
      <c r="F113" s="20">
        <f t="shared" si="12"/>
        <v>0.4121131972608626</v>
      </c>
      <c r="G113" s="3"/>
      <c r="H113" s="3">
        <v>222888</v>
      </c>
      <c r="I113" s="3"/>
      <c r="J113" s="20">
        <f t="shared" si="13"/>
        <v>0.50827547350324931</v>
      </c>
      <c r="K113" s="3"/>
      <c r="L113" s="3">
        <f t="shared" si="14"/>
        <v>179719.93</v>
      </c>
      <c r="M113" s="3"/>
      <c r="N113" s="20">
        <f t="shared" si="15"/>
        <v>0.80632393848031292</v>
      </c>
      <c r="O113" s="12"/>
      <c r="P113" s="3">
        <v>3400022.02</v>
      </c>
      <c r="Q113" s="3"/>
      <c r="R113" s="20">
        <f t="shared" si="16"/>
        <v>0.48069020842083493</v>
      </c>
      <c r="S113" s="3"/>
      <c r="T113" s="3">
        <v>2400396</v>
      </c>
      <c r="U113" s="3"/>
      <c r="V113" s="20">
        <f t="shared" si="17"/>
        <v>0.51012425992277821</v>
      </c>
      <c r="W113" s="3"/>
      <c r="X113" s="3">
        <f t="shared" si="18"/>
        <v>999626.02</v>
      </c>
      <c r="Y113" s="3"/>
      <c r="Z113" s="20">
        <f t="shared" si="19"/>
        <v>0.41644212871542863</v>
      </c>
    </row>
    <row r="114" spans="1:26" s="69" customFormat="1" ht="15" hidden="1" customHeight="1" outlineLevel="1" x14ac:dyDescent="0.3">
      <c r="A114" s="42"/>
      <c r="B114" s="12" t="str">
        <f>CONCATENATE("          ","5500"," - ","FREIGHT-IN")</f>
        <v xml:space="preserve">          5500 - FREIGHT-IN</v>
      </c>
      <c r="C114" s="12"/>
      <c r="D114" s="3">
        <v>35157.78</v>
      </c>
      <c r="E114" s="3"/>
      <c r="F114" s="20">
        <f t="shared" si="12"/>
        <v>3.5987828467248545E-2</v>
      </c>
      <c r="G114" s="3"/>
      <c r="H114" s="3"/>
      <c r="I114" s="3"/>
      <c r="J114" s="20">
        <f t="shared" si="13"/>
        <v>0</v>
      </c>
      <c r="K114" s="3"/>
      <c r="L114" s="3">
        <f t="shared" si="14"/>
        <v>35157.78</v>
      </c>
      <c r="M114" s="3"/>
      <c r="N114" s="20">
        <f t="shared" si="15"/>
        <v>0</v>
      </c>
      <c r="O114" s="12"/>
      <c r="P114" s="3">
        <v>183274.19</v>
      </c>
      <c r="Q114" s="3"/>
      <c r="R114" s="20">
        <f t="shared" si="16"/>
        <v>2.591104059651346E-2</v>
      </c>
      <c r="S114" s="3"/>
      <c r="T114" s="3">
        <v>0</v>
      </c>
      <c r="U114" s="3"/>
      <c r="V114" s="20">
        <f t="shared" si="17"/>
        <v>0</v>
      </c>
      <c r="W114" s="3"/>
      <c r="X114" s="3">
        <f t="shared" si="18"/>
        <v>183274.19</v>
      </c>
      <c r="Y114" s="3"/>
      <c r="Z114" s="20">
        <f t="shared" si="19"/>
        <v>0</v>
      </c>
    </row>
    <row r="115" spans="1:26" s="69" customFormat="1" ht="15" hidden="1" customHeight="1" outlineLevel="1" x14ac:dyDescent="0.3">
      <c r="A115" s="42"/>
      <c r="B115" s="12" t="str">
        <f>CONCATENATE("          ","5501"," - ","FREIGHT-IN-NEW TEXT")</f>
        <v xml:space="preserve">          5501 - FREIGHT-IN-NEW TEXT</v>
      </c>
      <c r="C115" s="12"/>
      <c r="D115" s="3"/>
      <c r="E115" s="3"/>
      <c r="F115" s="20">
        <f t="shared" si="12"/>
        <v>0</v>
      </c>
      <c r="G115" s="3"/>
      <c r="H115" s="3">
        <v>271.27</v>
      </c>
      <c r="I115" s="3"/>
      <c r="J115" s="20">
        <f t="shared" si="13"/>
        <v>6.1860615061029047E-4</v>
      </c>
      <c r="K115" s="3"/>
      <c r="L115" s="3">
        <f t="shared" si="14"/>
        <v>-271.27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50313.73</v>
      </c>
      <c r="U115" s="3"/>
      <c r="V115" s="20">
        <f t="shared" si="17"/>
        <v>1.0692508352873643E-2</v>
      </c>
      <c r="W115" s="3"/>
      <c r="X115" s="3">
        <f t="shared" si="18"/>
        <v>-50313.73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","5502"," - ","FREIGHT-IN-USED TEXT")</f>
        <v xml:space="preserve">          5502 - FREIGHT-IN-USED TEXT</v>
      </c>
      <c r="C116" s="12"/>
      <c r="D116" s="3"/>
      <c r="E116" s="3"/>
      <c r="F116" s="20">
        <f t="shared" si="12"/>
        <v>0</v>
      </c>
      <c r="G116" s="3"/>
      <c r="H116" s="3">
        <v>58.77</v>
      </c>
      <c r="I116" s="3"/>
      <c r="J116" s="20">
        <f t="shared" si="13"/>
        <v>1.3401955052665896E-4</v>
      </c>
      <c r="K116" s="3"/>
      <c r="L116" s="3">
        <f t="shared" si="14"/>
        <v>-58.77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17858.900000000001</v>
      </c>
      <c r="U116" s="3"/>
      <c r="V116" s="20">
        <f t="shared" si="17"/>
        <v>3.7953146670528129E-3</v>
      </c>
      <c r="W116" s="3"/>
      <c r="X116" s="3">
        <f t="shared" si="18"/>
        <v>-17858.900000000001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","5504"," - ","FREIGHT-IN-DIGITAL TEXT")</f>
        <v xml:space="preserve">          5504 - FREIGHT-IN-DIGITAL TEXT</v>
      </c>
      <c r="C117" s="12"/>
      <c r="D117" s="3"/>
      <c r="E117" s="3"/>
      <c r="F117" s="20">
        <f t="shared" si="12"/>
        <v>0</v>
      </c>
      <c r="G117" s="3"/>
      <c r="H117" s="3"/>
      <c r="I117" s="3"/>
      <c r="J117" s="20">
        <f t="shared" si="13"/>
        <v>0</v>
      </c>
      <c r="K117" s="3"/>
      <c r="L117" s="3">
        <f t="shared" si="14"/>
        <v>0</v>
      </c>
      <c r="M117" s="3"/>
      <c r="N117" s="20">
        <f t="shared" si="15"/>
        <v>0</v>
      </c>
      <c r="O117" s="12"/>
      <c r="P117" s="3"/>
      <c r="Q117" s="3"/>
      <c r="R117" s="20">
        <f t="shared" si="16"/>
        <v>0</v>
      </c>
      <c r="S117" s="3"/>
      <c r="T117" s="3">
        <v>28.92</v>
      </c>
      <c r="U117" s="3"/>
      <c r="V117" s="20">
        <f t="shared" si="17"/>
        <v>6.1459832448340792E-6</v>
      </c>
      <c r="W117" s="3"/>
      <c r="X117" s="3">
        <f t="shared" si="18"/>
        <v>-28.92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","5513"," - ","FREIGHT-IN-TRADE BOOKS")</f>
        <v xml:space="preserve">          5513 - FREIGHT-IN-TRADE BOOKS</v>
      </c>
      <c r="C118" s="12"/>
      <c r="D118" s="3"/>
      <c r="E118" s="3"/>
      <c r="F118" s="20">
        <f t="shared" si="12"/>
        <v>0</v>
      </c>
      <c r="G118" s="3"/>
      <c r="H118" s="3"/>
      <c r="I118" s="3"/>
      <c r="J118" s="20">
        <f t="shared" si="13"/>
        <v>0</v>
      </c>
      <c r="K118" s="3"/>
      <c r="L118" s="3">
        <f t="shared" si="14"/>
        <v>0</v>
      </c>
      <c r="M118" s="3"/>
      <c r="N118" s="20">
        <f t="shared" si="15"/>
        <v>0</v>
      </c>
      <c r="O118" s="12"/>
      <c r="P118" s="3"/>
      <c r="Q118" s="3"/>
      <c r="R118" s="20">
        <f t="shared" si="16"/>
        <v>0</v>
      </c>
      <c r="S118" s="3"/>
      <c r="T118" s="3">
        <v>85.28</v>
      </c>
      <c r="U118" s="3"/>
      <c r="V118" s="20">
        <f t="shared" si="17"/>
        <v>1.8123425004130368E-5</v>
      </c>
      <c r="W118" s="3"/>
      <c r="X118" s="3">
        <f t="shared" si="18"/>
        <v>-85.28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","5518"," - ","FREIGHT-IN-STUDY GUIDES")</f>
        <v xml:space="preserve">          5518 - FREIGHT-IN-STUDY GUIDES</v>
      </c>
      <c r="C119" s="12"/>
      <c r="D119" s="3"/>
      <c r="E119" s="3"/>
      <c r="F119" s="20">
        <f t="shared" si="12"/>
        <v>0</v>
      </c>
      <c r="G119" s="3"/>
      <c r="H119" s="3"/>
      <c r="I119" s="3"/>
      <c r="J119" s="20">
        <f t="shared" si="13"/>
        <v>0</v>
      </c>
      <c r="K119" s="3"/>
      <c r="L119" s="3">
        <f t="shared" si="14"/>
        <v>0</v>
      </c>
      <c r="M119" s="3"/>
      <c r="N119" s="20">
        <f t="shared" si="15"/>
        <v>0</v>
      </c>
      <c r="O119" s="12"/>
      <c r="P119" s="3">
        <v>0</v>
      </c>
      <c r="Q119" s="3"/>
      <c r="R119" s="20">
        <f t="shared" si="16"/>
        <v>0</v>
      </c>
      <c r="S119" s="3"/>
      <c r="T119" s="3"/>
      <c r="U119" s="3"/>
      <c r="V119" s="20">
        <f t="shared" si="17"/>
        <v>0</v>
      </c>
      <c r="W119" s="3"/>
      <c r="X119" s="3">
        <f t="shared" si="18"/>
        <v>0</v>
      </c>
      <c r="Y119" s="3"/>
      <c r="Z119" s="20">
        <f t="shared" si="19"/>
        <v>0</v>
      </c>
    </row>
    <row r="120" spans="1:26" s="69" customFormat="1" ht="15" hidden="1" customHeight="1" outlineLevel="1" x14ac:dyDescent="0.3">
      <c r="A120" s="42"/>
      <c r="B120" s="12" t="str">
        <f>CONCATENATE("          ","5525"," - ","FREIGHT-IN-TEST FORMS")</f>
        <v xml:space="preserve">          5525 - FREIGHT-IN-TEST FORMS</v>
      </c>
      <c r="C120" s="12"/>
      <c r="D120" s="3"/>
      <c r="E120" s="3"/>
      <c r="F120" s="20">
        <f t="shared" si="12"/>
        <v>0</v>
      </c>
      <c r="G120" s="3"/>
      <c r="H120" s="3"/>
      <c r="I120" s="3"/>
      <c r="J120" s="20">
        <f t="shared" si="13"/>
        <v>0</v>
      </c>
      <c r="K120" s="3"/>
      <c r="L120" s="3">
        <f t="shared" si="14"/>
        <v>0</v>
      </c>
      <c r="M120" s="3"/>
      <c r="N120" s="20">
        <f t="shared" si="15"/>
        <v>0</v>
      </c>
      <c r="O120" s="12"/>
      <c r="P120" s="3"/>
      <c r="Q120" s="3"/>
      <c r="R120" s="20">
        <f t="shared" si="16"/>
        <v>0</v>
      </c>
      <c r="S120" s="3"/>
      <c r="T120" s="3">
        <v>48.14</v>
      </c>
      <c r="U120" s="3"/>
      <c r="V120" s="20">
        <f t="shared" si="17"/>
        <v>1.0230554405474156E-5</v>
      </c>
      <c r="W120" s="3"/>
      <c r="X120" s="3">
        <f t="shared" si="18"/>
        <v>-48.14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","5526"," - ","FREIGHT-IN-WRITING INSTRUMENTS")</f>
        <v xml:space="preserve">          5526 - FREIGHT-IN-WRITING INSTRUMENTS</v>
      </c>
      <c r="C121" s="12"/>
      <c r="D121" s="3"/>
      <c r="E121" s="3"/>
      <c r="F121" s="20">
        <f t="shared" si="12"/>
        <v>0</v>
      </c>
      <c r="G121" s="3"/>
      <c r="H121" s="3"/>
      <c r="I121" s="3"/>
      <c r="J121" s="20">
        <f t="shared" si="13"/>
        <v>0</v>
      </c>
      <c r="K121" s="3"/>
      <c r="L121" s="3">
        <f t="shared" si="14"/>
        <v>0</v>
      </c>
      <c r="M121" s="3"/>
      <c r="N121" s="20">
        <f t="shared" si="15"/>
        <v>0</v>
      </c>
      <c r="O121" s="12"/>
      <c r="P121" s="3"/>
      <c r="Q121" s="3"/>
      <c r="R121" s="20">
        <f t="shared" si="16"/>
        <v>0</v>
      </c>
      <c r="S121" s="3"/>
      <c r="T121" s="3">
        <v>0</v>
      </c>
      <c r="U121" s="3"/>
      <c r="V121" s="20">
        <f t="shared" si="17"/>
        <v>0</v>
      </c>
      <c r="W121" s="3"/>
      <c r="X121" s="3">
        <f t="shared" si="18"/>
        <v>0</v>
      </c>
      <c r="Y121" s="3"/>
      <c r="Z121" s="20">
        <f t="shared" si="19"/>
        <v>0</v>
      </c>
    </row>
    <row r="122" spans="1:26" s="69" customFormat="1" ht="15" hidden="1" customHeight="1" outlineLevel="1" x14ac:dyDescent="0.3">
      <c r="A122" s="42"/>
      <c r="B122" s="12" t="str">
        <f>CONCATENATE("          ","5527"," - ","FREIGHT-IN-SCHOOL SUPPLIES")</f>
        <v xml:space="preserve">          5527 - FREIGHT-IN-SCHOOL SUPPLIES</v>
      </c>
      <c r="C122" s="12"/>
      <c r="D122" s="3"/>
      <c r="E122" s="3"/>
      <c r="F122" s="20">
        <f t="shared" si="12"/>
        <v>0</v>
      </c>
      <c r="G122" s="3"/>
      <c r="H122" s="3"/>
      <c r="I122" s="3"/>
      <c r="J122" s="20">
        <f t="shared" si="13"/>
        <v>0</v>
      </c>
      <c r="K122" s="3"/>
      <c r="L122" s="3">
        <f t="shared" si="14"/>
        <v>0</v>
      </c>
      <c r="M122" s="3"/>
      <c r="N122" s="20">
        <f t="shared" si="15"/>
        <v>0</v>
      </c>
      <c r="O122" s="12"/>
      <c r="P122" s="3">
        <v>0</v>
      </c>
      <c r="Q122" s="3"/>
      <c r="R122" s="20">
        <f t="shared" si="16"/>
        <v>0</v>
      </c>
      <c r="S122" s="3"/>
      <c r="T122" s="3">
        <v>218.62</v>
      </c>
      <c r="U122" s="3"/>
      <c r="V122" s="20">
        <f t="shared" si="17"/>
        <v>4.6460403076958034E-5</v>
      </c>
      <c r="W122" s="3"/>
      <c r="X122" s="3">
        <f t="shared" si="18"/>
        <v>-218.62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","5528"," - ","FREIGHT-IN-ART/TECH")</f>
        <v xml:space="preserve">          5528 - FREIGHT-IN-ART/TECH</v>
      </c>
      <c r="C123" s="12"/>
      <c r="D123" s="3"/>
      <c r="E123" s="3"/>
      <c r="F123" s="20">
        <f t="shared" si="12"/>
        <v>0</v>
      </c>
      <c r="G123" s="3"/>
      <c r="H123" s="3">
        <v>89.22</v>
      </c>
      <c r="I123" s="3"/>
      <c r="J123" s="20">
        <f t="shared" si="13"/>
        <v>2.0345795980923108E-4</v>
      </c>
      <c r="K123" s="3"/>
      <c r="L123" s="3">
        <f t="shared" si="14"/>
        <v>-89.22</v>
      </c>
      <c r="M123" s="3"/>
      <c r="N123" s="20">
        <f t="shared" si="15"/>
        <v>-1</v>
      </c>
      <c r="O123" s="12"/>
      <c r="P123" s="3">
        <v>0</v>
      </c>
      <c r="Q123" s="3"/>
      <c r="R123" s="20">
        <f t="shared" si="16"/>
        <v>0</v>
      </c>
      <c r="S123" s="3"/>
      <c r="T123" s="3">
        <v>544.42999999999995</v>
      </c>
      <c r="U123" s="3"/>
      <c r="V123" s="20">
        <f t="shared" si="17"/>
        <v>1.1570047226780835E-4</v>
      </c>
      <c r="W123" s="3"/>
      <c r="X123" s="3">
        <f t="shared" si="18"/>
        <v>-544.42999999999995</v>
      </c>
      <c r="Y123" s="3"/>
      <c r="Z123" s="20">
        <f t="shared" si="19"/>
        <v>-1</v>
      </c>
    </row>
    <row r="124" spans="1:26" s="69" customFormat="1" ht="15" hidden="1" customHeight="1" outlineLevel="1" x14ac:dyDescent="0.3">
      <c r="A124" s="42"/>
      <c r="B124" s="12" t="str">
        <f>CONCATENATE("          ","5540"," - ","FREIGHT-IN-LOGO CLOTHING")</f>
        <v xml:space="preserve">          5540 - FREIGHT-IN-LOGO CLOTHING</v>
      </c>
      <c r="C124" s="12"/>
      <c r="D124" s="3"/>
      <c r="E124" s="3"/>
      <c r="F124" s="20">
        <f t="shared" si="12"/>
        <v>0</v>
      </c>
      <c r="G124" s="3"/>
      <c r="H124" s="3">
        <v>2107.65</v>
      </c>
      <c r="I124" s="3"/>
      <c r="J124" s="20">
        <f t="shared" si="13"/>
        <v>4.8063009301941937E-3</v>
      </c>
      <c r="K124" s="3"/>
      <c r="L124" s="3">
        <f t="shared" si="14"/>
        <v>-2107.65</v>
      </c>
      <c r="M124" s="3"/>
      <c r="N124" s="20">
        <f t="shared" si="15"/>
        <v>-1</v>
      </c>
      <c r="O124" s="12"/>
      <c r="P124" s="3">
        <v>0</v>
      </c>
      <c r="Q124" s="3"/>
      <c r="R124" s="20">
        <f t="shared" si="16"/>
        <v>0</v>
      </c>
      <c r="S124" s="3"/>
      <c r="T124" s="3">
        <v>9216.02</v>
      </c>
      <c r="U124" s="3"/>
      <c r="V124" s="20">
        <f t="shared" si="17"/>
        <v>1.9585582470282078E-3</v>
      </c>
      <c r="W124" s="3"/>
      <c r="X124" s="3">
        <f t="shared" si="18"/>
        <v>-9216.02</v>
      </c>
      <c r="Y124" s="3"/>
      <c r="Z124" s="20">
        <f t="shared" si="19"/>
        <v>-1</v>
      </c>
    </row>
    <row r="125" spans="1:26" s="69" customFormat="1" ht="15" hidden="1" customHeight="1" outlineLevel="1" x14ac:dyDescent="0.3">
      <c r="A125" s="42"/>
      <c r="B125" s="12" t="str">
        <f>CONCATENATE("          ","5541"," - ","FREIGHT-IN-LOGO GIFTS")</f>
        <v xml:space="preserve">          5541 - FREIGHT-IN-LOGO GIFTS</v>
      </c>
      <c r="C125" s="12"/>
      <c r="D125" s="3"/>
      <c r="E125" s="3"/>
      <c r="F125" s="20">
        <f t="shared" si="12"/>
        <v>0</v>
      </c>
      <c r="G125" s="3"/>
      <c r="H125" s="3">
        <v>2877.99</v>
      </c>
      <c r="I125" s="3"/>
      <c r="J125" s="20">
        <f t="shared" si="13"/>
        <v>6.562990066704427E-3</v>
      </c>
      <c r="K125" s="3"/>
      <c r="L125" s="3">
        <f t="shared" si="14"/>
        <v>-2877.99</v>
      </c>
      <c r="M125" s="3"/>
      <c r="N125" s="20">
        <f t="shared" si="15"/>
        <v>-1</v>
      </c>
      <c r="O125" s="12"/>
      <c r="P125" s="3">
        <v>0</v>
      </c>
      <c r="Q125" s="3"/>
      <c r="R125" s="20">
        <f t="shared" si="16"/>
        <v>0</v>
      </c>
      <c r="S125" s="3"/>
      <c r="T125" s="3">
        <v>5015.99</v>
      </c>
      <c r="U125" s="3"/>
      <c r="V125" s="20">
        <f t="shared" si="17"/>
        <v>1.0659816907418842E-3</v>
      </c>
      <c r="W125" s="3"/>
      <c r="X125" s="3">
        <f t="shared" si="18"/>
        <v>-5015.99</v>
      </c>
      <c r="Y125" s="3"/>
      <c r="Z125" s="20">
        <f t="shared" si="19"/>
        <v>-1</v>
      </c>
    </row>
    <row r="126" spans="1:26" s="69" customFormat="1" ht="15" hidden="1" customHeight="1" outlineLevel="1" x14ac:dyDescent="0.3">
      <c r="A126" s="42"/>
      <c r="B126" s="12" t="str">
        <f>CONCATENATE("          ","5542"," - ","FREIGHT-IN-EVERYDAY GIFTS")</f>
        <v xml:space="preserve">          5542 - FREIGHT-IN-EVERYDAY GIFTS</v>
      </c>
      <c r="C126" s="12"/>
      <c r="D126" s="3"/>
      <c r="E126" s="3"/>
      <c r="F126" s="20">
        <f t="shared" si="12"/>
        <v>0</v>
      </c>
      <c r="G126" s="3"/>
      <c r="H126" s="3"/>
      <c r="I126" s="3"/>
      <c r="J126" s="20">
        <f t="shared" si="13"/>
        <v>0</v>
      </c>
      <c r="K126" s="3"/>
      <c r="L126" s="3">
        <f t="shared" si="14"/>
        <v>0</v>
      </c>
      <c r="M126" s="3"/>
      <c r="N126" s="20">
        <f t="shared" si="15"/>
        <v>0</v>
      </c>
      <c r="O126" s="12"/>
      <c r="P126" s="3">
        <v>0</v>
      </c>
      <c r="Q126" s="3"/>
      <c r="R126" s="20">
        <f t="shared" si="16"/>
        <v>0</v>
      </c>
      <c r="S126" s="3"/>
      <c r="T126" s="3">
        <v>681.72</v>
      </c>
      <c r="U126" s="3"/>
      <c r="V126" s="20">
        <f t="shared" si="17"/>
        <v>1.4487689134399338E-4</v>
      </c>
      <c r="W126" s="3"/>
      <c r="X126" s="3">
        <f t="shared" si="18"/>
        <v>-681.72</v>
      </c>
      <c r="Y126" s="3"/>
      <c r="Z126" s="20">
        <f t="shared" si="19"/>
        <v>-1</v>
      </c>
    </row>
    <row r="127" spans="1:26" s="69" customFormat="1" ht="15" hidden="1" customHeight="1" outlineLevel="1" x14ac:dyDescent="0.3">
      <c r="A127" s="42"/>
      <c r="B127" s="12" t="str">
        <f>CONCATENATE("          ","5543"," - ","FREIGHT-IN-CARDS")</f>
        <v xml:space="preserve">          5543 - FREIGHT-IN-CARDS</v>
      </c>
      <c r="C127" s="12"/>
      <c r="D127" s="3"/>
      <c r="E127" s="3"/>
      <c r="F127" s="20">
        <f t="shared" si="12"/>
        <v>0</v>
      </c>
      <c r="G127" s="3"/>
      <c r="H127" s="3"/>
      <c r="I127" s="3"/>
      <c r="J127" s="20">
        <f t="shared" si="13"/>
        <v>0</v>
      </c>
      <c r="K127" s="3"/>
      <c r="L127" s="3">
        <f t="shared" si="14"/>
        <v>0</v>
      </c>
      <c r="M127" s="3"/>
      <c r="N127" s="20">
        <f t="shared" si="15"/>
        <v>0</v>
      </c>
      <c r="O127" s="12"/>
      <c r="P127" s="3"/>
      <c r="Q127" s="3"/>
      <c r="R127" s="20">
        <f t="shared" si="16"/>
        <v>0</v>
      </c>
      <c r="S127" s="3"/>
      <c r="T127" s="3">
        <v>9110.5300000000007</v>
      </c>
      <c r="U127" s="3"/>
      <c r="V127" s="20">
        <f t="shared" si="17"/>
        <v>1.9361398593208238E-3</v>
      </c>
      <c r="W127" s="3"/>
      <c r="X127" s="3">
        <f t="shared" si="18"/>
        <v>-9110.5300000000007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","5544"," - ","FREIGHT-IN-ACCESSORIES")</f>
        <v xml:space="preserve">          5544 - FREIGHT-IN-ACCESSORIES</v>
      </c>
      <c r="C128" s="12"/>
      <c r="D128" s="3"/>
      <c r="E128" s="3"/>
      <c r="F128" s="20">
        <f t="shared" si="12"/>
        <v>0</v>
      </c>
      <c r="G128" s="3"/>
      <c r="H128" s="3"/>
      <c r="I128" s="3"/>
      <c r="J128" s="20">
        <f t="shared" si="13"/>
        <v>0</v>
      </c>
      <c r="K128" s="3"/>
      <c r="L128" s="3">
        <f t="shared" si="14"/>
        <v>0</v>
      </c>
      <c r="M128" s="3"/>
      <c r="N128" s="20">
        <f t="shared" si="15"/>
        <v>0</v>
      </c>
      <c r="O128" s="12"/>
      <c r="P128" s="3">
        <v>0</v>
      </c>
      <c r="Q128" s="3"/>
      <c r="R128" s="20">
        <f t="shared" si="16"/>
        <v>0</v>
      </c>
      <c r="S128" s="3"/>
      <c r="T128" s="3"/>
      <c r="U128" s="3"/>
      <c r="V128" s="20">
        <f t="shared" si="17"/>
        <v>0</v>
      </c>
      <c r="W128" s="3"/>
      <c r="X128" s="3">
        <f t="shared" si="18"/>
        <v>0</v>
      </c>
      <c r="Y128" s="3"/>
      <c r="Z128" s="20">
        <f t="shared" si="19"/>
        <v>0</v>
      </c>
    </row>
    <row r="129" spans="1:26" s="69" customFormat="1" ht="15" hidden="1" customHeight="1" outlineLevel="1" x14ac:dyDescent="0.3">
      <c r="A129" s="42"/>
      <c r="B129" s="12" t="str">
        <f>CONCATENATE("          ","5545"," - ","FREIGHT-IN-SPECIAL ORDERS")</f>
        <v xml:space="preserve">          5545 - FREIGHT-IN-SPECIAL ORDERS</v>
      </c>
      <c r="C129" s="12"/>
      <c r="D129" s="3"/>
      <c r="E129" s="3"/>
      <c r="F129" s="20">
        <f t="shared" si="12"/>
        <v>0</v>
      </c>
      <c r="G129" s="3"/>
      <c r="H129" s="3">
        <v>168.6</v>
      </c>
      <c r="I129" s="3"/>
      <c r="J129" s="20">
        <f t="shared" si="13"/>
        <v>3.8447670952517778E-4</v>
      </c>
      <c r="K129" s="3"/>
      <c r="L129" s="3">
        <f t="shared" si="14"/>
        <v>-168.6</v>
      </c>
      <c r="M129" s="3"/>
      <c r="N129" s="20">
        <f t="shared" si="15"/>
        <v>-1</v>
      </c>
      <c r="O129" s="12"/>
      <c r="P129" s="3">
        <v>0</v>
      </c>
      <c r="Q129" s="3"/>
      <c r="R129" s="20">
        <f t="shared" si="16"/>
        <v>0</v>
      </c>
      <c r="S129" s="3"/>
      <c r="T129" s="3">
        <v>1434.76</v>
      </c>
      <c r="U129" s="3"/>
      <c r="V129" s="20">
        <f t="shared" si="17"/>
        <v>3.0491047442455545E-4</v>
      </c>
      <c r="W129" s="3"/>
      <c r="X129" s="3">
        <f t="shared" si="18"/>
        <v>-1434.76</v>
      </c>
      <c r="Y129" s="3"/>
      <c r="Z129" s="20">
        <f t="shared" si="19"/>
        <v>-1</v>
      </c>
    </row>
    <row r="130" spans="1:26" s="69" customFormat="1" ht="15" hidden="1" customHeight="1" outlineLevel="1" x14ac:dyDescent="0.3">
      <c r="A130" s="42"/>
      <c r="B130" s="12" t="str">
        <f>CONCATENATE("          ","5592"," - ","FREIGHT-IN-GRAD MERCH")</f>
        <v xml:space="preserve">          5592 - FREIGHT-IN-GRAD MERCH</v>
      </c>
      <c r="C130" s="12"/>
      <c r="D130" s="3"/>
      <c r="E130" s="3"/>
      <c r="F130" s="20">
        <f t="shared" si="12"/>
        <v>0</v>
      </c>
      <c r="G130" s="3"/>
      <c r="H130" s="3"/>
      <c r="I130" s="3"/>
      <c r="J130" s="20">
        <f t="shared" si="13"/>
        <v>0</v>
      </c>
      <c r="K130" s="3"/>
      <c r="L130" s="3">
        <f t="shared" si="14"/>
        <v>0</v>
      </c>
      <c r="M130" s="3"/>
      <c r="N130" s="20">
        <f t="shared" si="15"/>
        <v>0</v>
      </c>
      <c r="O130" s="12"/>
      <c r="P130" s="3"/>
      <c r="Q130" s="3"/>
      <c r="R130" s="20">
        <f t="shared" si="16"/>
        <v>0</v>
      </c>
      <c r="S130" s="3"/>
      <c r="T130" s="3">
        <v>0</v>
      </c>
      <c r="U130" s="3"/>
      <c r="V130" s="20">
        <f t="shared" si="17"/>
        <v>0</v>
      </c>
      <c r="W130" s="3"/>
      <c r="X130" s="3">
        <f t="shared" si="18"/>
        <v>0</v>
      </c>
      <c r="Y130" s="3"/>
      <c r="Z130" s="20">
        <f t="shared" si="19"/>
        <v>0</v>
      </c>
    </row>
    <row r="131" spans="1:26" ht="15" customHeight="1" x14ac:dyDescent="0.3">
      <c r="A131" s="10"/>
      <c r="B131" s="11"/>
      <c r="C131" s="11"/>
      <c r="D131" s="4"/>
      <c r="E131" s="4"/>
      <c r="F131" s="9"/>
      <c r="G131" s="4"/>
      <c r="H131" s="4"/>
      <c r="I131" s="4"/>
      <c r="J131" s="9"/>
      <c r="K131" s="4"/>
      <c r="L131" s="4"/>
      <c r="M131" s="4"/>
      <c r="N131" s="9"/>
      <c r="O131" s="11"/>
      <c r="P131" s="4"/>
      <c r="Q131" s="4"/>
      <c r="R131" s="9"/>
      <c r="S131" s="4"/>
      <c r="T131" s="4"/>
      <c r="U131" s="4"/>
      <c r="V131" s="9"/>
      <c r="W131" s="4"/>
      <c r="X131" s="4"/>
      <c r="Y131" s="4"/>
      <c r="Z131" s="9"/>
    </row>
    <row r="132" spans="1:26" s="62" customFormat="1" ht="15" customHeight="1" x14ac:dyDescent="0.3">
      <c r="A132" s="11"/>
      <c r="B132" s="28" t="s">
        <v>288</v>
      </c>
      <c r="C132" s="28"/>
      <c r="D132" s="21">
        <f>D12-D87</f>
        <v>549616.9800000001</v>
      </c>
      <c r="E132" s="15"/>
      <c r="F132" s="23">
        <f>IF(D$12=0,0,D132/D$12)</f>
        <v>0.56259301921017701</v>
      </c>
      <c r="G132" s="15"/>
      <c r="H132" s="21">
        <f>H12-H87</f>
        <v>215135.6400000001</v>
      </c>
      <c r="I132" s="15"/>
      <c r="J132" s="23">
        <f>IF(H$12=0,0,H132/H$12)</f>
        <v>0.49059693338548788</v>
      </c>
      <c r="K132" s="16"/>
      <c r="L132" s="21">
        <f>+D132-H132</f>
        <v>334481.33999999997</v>
      </c>
      <c r="M132" s="16"/>
      <c r="N132" s="23">
        <f>IF(H132=0,0,L132/H132)</f>
        <v>1.5547462986606952</v>
      </c>
      <c r="O132" s="27"/>
      <c r="P132" s="21">
        <f>P12-P87</f>
        <v>3185963.6099999994</v>
      </c>
      <c r="Q132" s="15"/>
      <c r="R132" s="23">
        <f>IF(P$12=0,0,P132/P$12)</f>
        <v>0.45042693920908644</v>
      </c>
      <c r="S132" s="15"/>
      <c r="T132" s="21">
        <f>T12-T87</f>
        <v>1732934.7499999991</v>
      </c>
      <c r="U132" s="15"/>
      <c r="V132" s="23">
        <f>IF(T$12=0,0,T132/T$12)</f>
        <v>0.36827759121337234</v>
      </c>
      <c r="W132" s="16"/>
      <c r="X132" s="21">
        <f>+P132-T132</f>
        <v>1453028.8600000003</v>
      </c>
      <c r="Y132" s="16"/>
      <c r="Z132" s="23">
        <f>IF(T132=0,0,X132/T132)</f>
        <v>0.83847869055658397</v>
      </c>
    </row>
    <row r="133" spans="1:26" ht="15" customHeight="1" x14ac:dyDescent="0.3">
      <c r="A133" s="10"/>
      <c r="B133" s="11"/>
      <c r="C133" s="10"/>
      <c r="D133" s="2"/>
      <c r="E133" s="2"/>
      <c r="F133" s="6"/>
      <c r="G133" s="2"/>
      <c r="H133" s="2"/>
      <c r="I133" s="2"/>
      <c r="J133" s="6"/>
      <c r="K133" s="2"/>
      <c r="L133" s="2"/>
      <c r="M133" s="2"/>
      <c r="N133" s="6"/>
      <c r="O133" s="36"/>
      <c r="P133" s="2"/>
      <c r="Q133" s="2"/>
      <c r="R133" s="6"/>
      <c r="S133" s="2"/>
      <c r="T133" s="2"/>
      <c r="U133" s="2"/>
      <c r="V133" s="6"/>
      <c r="W133" s="2"/>
      <c r="X133" s="2"/>
      <c r="Y133" s="2"/>
      <c r="Z133" s="6"/>
    </row>
    <row r="134" spans="1:26" s="62" customFormat="1" ht="15" customHeight="1" x14ac:dyDescent="0.3">
      <c r="A134" s="11"/>
      <c r="B134" s="27" t="s">
        <v>289</v>
      </c>
      <c r="C134" s="11"/>
      <c r="D134" s="22" cm="1">
        <f t="array" ref="D134">SUM(OSRRefD22x_0)</f>
        <v>422292.66999999993</v>
      </c>
      <c r="E134" s="22"/>
      <c r="F134" s="32">
        <f t="shared" ref="F134:F165" si="20">IF(D$12=0,0,D134/D$12)</f>
        <v>0.43226267901262233</v>
      </c>
      <c r="G134" s="22"/>
      <c r="H134" s="22" cm="1">
        <f t="array" ref="H134">SUM(OSRRefH22x_0)</f>
        <v>271150.80999999994</v>
      </c>
      <c r="I134" s="22"/>
      <c r="J134" s="32">
        <f t="shared" ref="J134:J165" si="21">IF(H$12=0,0,H134/H$12)</f>
        <v>0.61833434883681282</v>
      </c>
      <c r="K134" s="5"/>
      <c r="L134" s="22">
        <f t="shared" ref="L134:L165" si="22">+D134-H134</f>
        <v>151141.85999999999</v>
      </c>
      <c r="M134" s="5"/>
      <c r="N134" s="32">
        <f t="shared" ref="N134:N165" si="23">IF(H134=0,0,L134/H134)</f>
        <v>0.55740884565308879</v>
      </c>
      <c r="O134" s="11"/>
      <c r="P134" s="22" cm="1">
        <f t="array" ref="P134">SUM(OSRRefP22x_0)</f>
        <v>3541116.1699999995</v>
      </c>
      <c r="Q134" s="22"/>
      <c r="R134" s="32">
        <f t="shared" ref="R134:R165" si="24">IF(P$12=0,0,P134/P$12)</f>
        <v>0.50063789580977136</v>
      </c>
      <c r="S134" s="22"/>
      <c r="T134" s="22" cm="1">
        <f t="array" ref="T134">SUM(OSRRefT22x_0)</f>
        <v>2871436.7500000009</v>
      </c>
      <c r="U134" s="22"/>
      <c r="V134" s="32">
        <f t="shared" ref="V134:V165" si="25">IF(T$12=0,0,T134/T$12)</f>
        <v>0.61022829025244907</v>
      </c>
      <c r="W134" s="5"/>
      <c r="X134" s="22">
        <f t="shared" ref="X134:X165" si="26">+P134-T134</f>
        <v>669679.41999999853</v>
      </c>
      <c r="Y134" s="5"/>
      <c r="Z134" s="32">
        <f t="shared" ref="Z134:Z165" si="27">IF(T134=0,0,X134/T134)</f>
        <v>0.23322102428340039</v>
      </c>
    </row>
    <row r="135" spans="1:26" s="68" customFormat="1" ht="15" customHeight="1" outlineLevel="1" collapsed="1" x14ac:dyDescent="0.3">
      <c r="A135" s="25"/>
      <c r="B135" s="14" t="str">
        <f>CONCATENATE("     ","*Benefits                                         ")</f>
        <v xml:space="preserve">     *Benefits                                         </v>
      </c>
      <c r="C135" s="14"/>
      <c r="D135" s="2">
        <f>SUM(OSRRefD22_0x_0)</f>
        <v>58704.43</v>
      </c>
      <c r="E135" s="2"/>
      <c r="F135" s="6">
        <f t="shared" si="20"/>
        <v>6.0090396979206297E-2</v>
      </c>
      <c r="G135" s="2"/>
      <c r="H135" s="2">
        <f>SUM(OSRRefH22_0x_0)</f>
        <v>53608.380000000005</v>
      </c>
      <c r="I135" s="2"/>
      <c r="J135" s="6">
        <f t="shared" si="21"/>
        <v>0.1222489534126652</v>
      </c>
      <c r="K135" s="2"/>
      <c r="L135" s="2">
        <f t="shared" si="22"/>
        <v>5096.0499999999956</v>
      </c>
      <c r="M135" s="2"/>
      <c r="N135" s="6">
        <f t="shared" si="23"/>
        <v>9.5060697599890082E-2</v>
      </c>
      <c r="O135" s="14"/>
      <c r="P135" s="2">
        <f>SUM(OSRRefP22_0x_0)</f>
        <v>503604.64999999991</v>
      </c>
      <c r="Q135" s="2"/>
      <c r="R135" s="6">
        <f t="shared" si="24"/>
        <v>7.1198898932484433E-2</v>
      </c>
      <c r="S135" s="2"/>
      <c r="T135" s="2">
        <f>SUM(OSRRefT22_0x_0)</f>
        <v>498887.14999999991</v>
      </c>
      <c r="U135" s="2"/>
      <c r="V135" s="6">
        <f t="shared" si="25"/>
        <v>0.10602185563495939</v>
      </c>
      <c r="W135" s="2"/>
      <c r="X135" s="2">
        <f t="shared" si="26"/>
        <v>4717.5</v>
      </c>
      <c r="Y135" s="2"/>
      <c r="Z135" s="6">
        <f t="shared" si="27"/>
        <v>9.4560463222995439E-3</v>
      </c>
    </row>
    <row r="136" spans="1:26" s="69" customFormat="1" ht="15" hidden="1" customHeight="1" outlineLevel="2" x14ac:dyDescent="0.3">
      <c r="A136" s="26"/>
      <c r="B136" s="12" t="str">
        <f>CONCATENATE("          ","6111"," - ","F.I.C.A.")</f>
        <v xml:space="preserve">          6111 - F.I.C.A.</v>
      </c>
      <c r="C136" s="12"/>
      <c r="D136" s="8">
        <v>11444.7</v>
      </c>
      <c r="E136" s="3"/>
      <c r="F136" s="7">
        <f t="shared" si="20"/>
        <v>1.1714900669471151E-2</v>
      </c>
      <c r="G136" s="3"/>
      <c r="H136" s="8">
        <v>10750.32</v>
      </c>
      <c r="I136" s="3"/>
      <c r="J136" s="7">
        <f t="shared" si="21"/>
        <v>2.4515110675816781E-2</v>
      </c>
      <c r="K136" s="3"/>
      <c r="L136" s="8">
        <f t="shared" si="22"/>
        <v>694.38000000000102</v>
      </c>
      <c r="M136" s="3"/>
      <c r="N136" s="7">
        <f t="shared" si="23"/>
        <v>6.4591565646418062E-2</v>
      </c>
      <c r="O136" s="12"/>
      <c r="P136" s="8">
        <v>93692.36</v>
      </c>
      <c r="Q136" s="3"/>
      <c r="R136" s="7">
        <f t="shared" si="24"/>
        <v>1.3246090699094912E-2</v>
      </c>
      <c r="S136" s="3"/>
      <c r="T136" s="8">
        <v>93127.86</v>
      </c>
      <c r="U136" s="3"/>
      <c r="V136" s="7">
        <f t="shared" si="25"/>
        <v>1.9791226389600756E-2</v>
      </c>
      <c r="W136" s="3"/>
      <c r="X136" s="8">
        <f t="shared" si="26"/>
        <v>564.5</v>
      </c>
      <c r="Y136" s="3"/>
      <c r="Z136" s="7">
        <f t="shared" si="27"/>
        <v>6.0615588074288407E-3</v>
      </c>
    </row>
    <row r="137" spans="1:26" s="69" customFormat="1" ht="15" hidden="1" customHeight="1" outlineLevel="2" x14ac:dyDescent="0.3">
      <c r="A137" s="26"/>
      <c r="B137" s="12" t="str">
        <f>CONCATENATE("          ","6112"," - ","COMPENSATION INSURANCE")</f>
        <v xml:space="preserve">          6112 - COMPENSATION INSURANCE</v>
      </c>
      <c r="C137" s="12"/>
      <c r="D137" s="8">
        <v>2668.97</v>
      </c>
      <c r="E137" s="3"/>
      <c r="F137" s="7">
        <f t="shared" si="20"/>
        <v>2.731982353386145E-3</v>
      </c>
      <c r="G137" s="3"/>
      <c r="H137" s="8">
        <v>1599.53</v>
      </c>
      <c r="I137" s="3"/>
      <c r="J137" s="7">
        <f t="shared" si="21"/>
        <v>3.6475802561495114E-3</v>
      </c>
      <c r="K137" s="3"/>
      <c r="L137" s="8">
        <f t="shared" si="22"/>
        <v>1069.4399999999998</v>
      </c>
      <c r="M137" s="3"/>
      <c r="N137" s="7">
        <f t="shared" si="23"/>
        <v>0.66859640019255651</v>
      </c>
      <c r="O137" s="12"/>
      <c r="P137" s="8">
        <v>26506.28</v>
      </c>
      <c r="Q137" s="3"/>
      <c r="R137" s="7">
        <f t="shared" si="24"/>
        <v>3.7474196292590503E-3</v>
      </c>
      <c r="S137" s="3"/>
      <c r="T137" s="8">
        <v>22409</v>
      </c>
      <c r="U137" s="3"/>
      <c r="V137" s="7">
        <f t="shared" si="25"/>
        <v>4.7622869479075685E-3</v>
      </c>
      <c r="W137" s="3"/>
      <c r="X137" s="8">
        <f t="shared" si="26"/>
        <v>4097.2799999999988</v>
      </c>
      <c r="Y137" s="3"/>
      <c r="Z137" s="7">
        <f t="shared" si="27"/>
        <v>0.18284082288366277</v>
      </c>
    </row>
    <row r="138" spans="1:26" s="69" customFormat="1" ht="15" hidden="1" customHeight="1" outlineLevel="2" x14ac:dyDescent="0.3">
      <c r="A138" s="26"/>
      <c r="B138" s="12" t="str">
        <f>CONCATENATE("          ","6113"," - ","GROUP INSURANCE")</f>
        <v xml:space="preserve">          6113 - GROUP INSURANCE</v>
      </c>
      <c r="C138" s="12"/>
      <c r="D138" s="8">
        <v>17292.98</v>
      </c>
      <c r="E138" s="3"/>
      <c r="F138" s="7">
        <f t="shared" si="20"/>
        <v>1.7701254115804803E-2</v>
      </c>
      <c r="G138" s="3"/>
      <c r="H138" s="8">
        <v>18284.05</v>
      </c>
      <c r="I138" s="3"/>
      <c r="J138" s="7">
        <f t="shared" si="21"/>
        <v>4.1695085295337053E-2</v>
      </c>
      <c r="K138" s="3"/>
      <c r="L138" s="8">
        <f t="shared" si="22"/>
        <v>-991.06999999999971</v>
      </c>
      <c r="M138" s="3"/>
      <c r="N138" s="7">
        <f t="shared" si="23"/>
        <v>-5.4204074042676527E-2</v>
      </c>
      <c r="O138" s="12"/>
      <c r="P138" s="8">
        <v>176727.12</v>
      </c>
      <c r="Q138" s="3"/>
      <c r="R138" s="7">
        <f t="shared" si="24"/>
        <v>2.4985425284514452E-2</v>
      </c>
      <c r="S138" s="3"/>
      <c r="T138" s="8">
        <v>182937.86</v>
      </c>
      <c r="U138" s="3"/>
      <c r="V138" s="7">
        <f t="shared" si="25"/>
        <v>3.8877352088720694E-2</v>
      </c>
      <c r="W138" s="3"/>
      <c r="X138" s="8">
        <f t="shared" si="26"/>
        <v>-6210.7399999999907</v>
      </c>
      <c r="Y138" s="3"/>
      <c r="Z138" s="7">
        <f t="shared" si="27"/>
        <v>-3.3949998103181001E-2</v>
      </c>
    </row>
    <row r="139" spans="1:26" s="69" customFormat="1" ht="15" hidden="1" customHeight="1" outlineLevel="2" x14ac:dyDescent="0.3">
      <c r="A139" s="26"/>
      <c r="B139" s="12" t="str">
        <f>CONCATENATE("          ","6114"," - ","STATE UNEMPLOYMENT INSURANCE")</f>
        <v xml:space="preserve">          6114 - STATE UNEMPLOYMENT INSURANCE</v>
      </c>
      <c r="C139" s="12"/>
      <c r="D139" s="8">
        <v>477.36</v>
      </c>
      <c r="E139" s="3"/>
      <c r="F139" s="7">
        <f t="shared" si="20"/>
        <v>4.8863010682488389E-4</v>
      </c>
      <c r="G139" s="3"/>
      <c r="H139" s="8">
        <v>297.08999999999997</v>
      </c>
      <c r="I139" s="3"/>
      <c r="J139" s="7">
        <f t="shared" si="21"/>
        <v>6.7748627302986395E-4</v>
      </c>
      <c r="K139" s="3"/>
      <c r="L139" s="8">
        <f t="shared" si="22"/>
        <v>180.27000000000004</v>
      </c>
      <c r="M139" s="3"/>
      <c r="N139" s="7">
        <f t="shared" si="23"/>
        <v>0.60678582247803714</v>
      </c>
      <c r="O139" s="12"/>
      <c r="P139" s="8">
        <v>4748.8</v>
      </c>
      <c r="Q139" s="3"/>
      <c r="R139" s="7">
        <f t="shared" si="24"/>
        <v>6.7137849352777456E-4</v>
      </c>
      <c r="S139" s="3"/>
      <c r="T139" s="8">
        <v>3665.58</v>
      </c>
      <c r="U139" s="3"/>
      <c r="V139" s="7">
        <f t="shared" si="25"/>
        <v>7.7899700078142822E-4</v>
      </c>
      <c r="W139" s="3"/>
      <c r="X139" s="8">
        <f t="shared" si="26"/>
        <v>1083.2200000000003</v>
      </c>
      <c r="Y139" s="3"/>
      <c r="Z139" s="7">
        <f t="shared" si="27"/>
        <v>0.29551121514194212</v>
      </c>
    </row>
    <row r="140" spans="1:26" s="69" customFormat="1" ht="15" hidden="1" customHeight="1" outlineLevel="2" x14ac:dyDescent="0.3">
      <c r="A140" s="26"/>
      <c r="B140" s="12" t="str">
        <f>CONCATENATE("          ","6115"," - ","P.E.R.S.")</f>
        <v xml:space="preserve">          6115 - P.E.R.S.</v>
      </c>
      <c r="C140" s="12"/>
      <c r="D140" s="8">
        <v>7847.66</v>
      </c>
      <c r="E140" s="3"/>
      <c r="F140" s="7">
        <f t="shared" si="20"/>
        <v>8.0329372886822695E-3</v>
      </c>
      <c r="G140" s="3"/>
      <c r="H140" s="8">
        <v>6172.91</v>
      </c>
      <c r="I140" s="3"/>
      <c r="J140" s="7">
        <f t="shared" si="21"/>
        <v>1.4076750444810588E-2</v>
      </c>
      <c r="K140" s="3"/>
      <c r="L140" s="8">
        <f t="shared" si="22"/>
        <v>1674.75</v>
      </c>
      <c r="M140" s="3"/>
      <c r="N140" s="7">
        <f t="shared" si="23"/>
        <v>0.27130640168089282</v>
      </c>
      <c r="O140" s="12"/>
      <c r="P140" s="8">
        <v>69741.399999999994</v>
      </c>
      <c r="Q140" s="3"/>
      <c r="R140" s="7">
        <f t="shared" si="24"/>
        <v>9.8599385252101431E-3</v>
      </c>
      <c r="S140" s="3"/>
      <c r="T140" s="8">
        <v>73870.539999999994</v>
      </c>
      <c r="U140" s="3"/>
      <c r="V140" s="7">
        <f t="shared" si="25"/>
        <v>1.5698724105354275E-2</v>
      </c>
      <c r="W140" s="3"/>
      <c r="X140" s="8">
        <f t="shared" si="26"/>
        <v>-4129.1399999999994</v>
      </c>
      <c r="Y140" s="3"/>
      <c r="Z140" s="7">
        <f t="shared" si="27"/>
        <v>-5.5896978687308904E-2</v>
      </c>
    </row>
    <row r="141" spans="1:26" s="69" customFormat="1" ht="15" hidden="1" customHeight="1" outlineLevel="2" x14ac:dyDescent="0.3">
      <c r="A141" s="26"/>
      <c r="B141" s="12" t="str">
        <f>CONCATENATE("          ","6116"," - ","EDUCATIONAL BENEFITS")</f>
        <v xml:space="preserve">          6116 - EDUCATIONAL BENEFITS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/>
      <c r="Q141" s="3"/>
      <c r="R141" s="7">
        <f t="shared" si="24"/>
        <v>0</v>
      </c>
      <c r="S141" s="3"/>
      <c r="T141" s="8">
        <v>0</v>
      </c>
      <c r="U141" s="3"/>
      <c r="V141" s="7">
        <f t="shared" si="25"/>
        <v>0</v>
      </c>
      <c r="W141" s="3"/>
      <c r="X141" s="8">
        <f t="shared" si="26"/>
        <v>0</v>
      </c>
      <c r="Y141" s="3"/>
      <c r="Z141" s="7">
        <f t="shared" si="27"/>
        <v>0</v>
      </c>
    </row>
    <row r="142" spans="1:26" s="69" customFormat="1" ht="15" hidden="1" customHeight="1" outlineLevel="2" x14ac:dyDescent="0.3">
      <c r="A142" s="26"/>
      <c r="B142" s="12" t="str">
        <f>CONCATENATE("          ","6117"," - ","RETIREMENT STAFF HOURLY")</f>
        <v xml:space="preserve">          6117 - RETIREMENT STAFF HOURLY</v>
      </c>
      <c r="C142" s="12"/>
      <c r="D142" s="8">
        <v>947.19</v>
      </c>
      <c r="E142" s="3"/>
      <c r="F142" s="7">
        <f t="shared" si="20"/>
        <v>9.6955243607227621E-4</v>
      </c>
      <c r="G142" s="3"/>
      <c r="H142" s="8">
        <v>359.71</v>
      </c>
      <c r="I142" s="3"/>
      <c r="J142" s="7">
        <f t="shared" si="21"/>
        <v>8.202853925462734E-4</v>
      </c>
      <c r="K142" s="3"/>
      <c r="L142" s="8">
        <f t="shared" si="22"/>
        <v>587.48</v>
      </c>
      <c r="M142" s="3"/>
      <c r="N142" s="7">
        <f t="shared" si="23"/>
        <v>1.6332045258680605</v>
      </c>
      <c r="O142" s="12"/>
      <c r="P142" s="8">
        <v>7843.88</v>
      </c>
      <c r="Q142" s="3"/>
      <c r="R142" s="7">
        <f t="shared" si="24"/>
        <v>1.1089564390609501E-3</v>
      </c>
      <c r="S142" s="3"/>
      <c r="T142" s="8">
        <v>3760.97</v>
      </c>
      <c r="U142" s="3"/>
      <c r="V142" s="7">
        <f t="shared" si="25"/>
        <v>7.9926896972073395E-4</v>
      </c>
      <c r="W142" s="3"/>
      <c r="X142" s="8">
        <f t="shared" si="26"/>
        <v>4082.9100000000003</v>
      </c>
      <c r="Y142" s="3"/>
      <c r="Z142" s="7">
        <f t="shared" si="27"/>
        <v>1.08560025738041</v>
      </c>
    </row>
    <row r="143" spans="1:26" s="69" customFormat="1" ht="15" hidden="1" customHeight="1" outlineLevel="2" x14ac:dyDescent="0.3">
      <c r="A143" s="26"/>
      <c r="B143" s="12" t="str">
        <f>CONCATENATE("          ","6118"," - ","VACATION")</f>
        <v xml:space="preserve">          6118 - VACATION</v>
      </c>
      <c r="C143" s="12"/>
      <c r="D143" s="8">
        <v>8327.99</v>
      </c>
      <c r="E143" s="3"/>
      <c r="F143" s="7">
        <f t="shared" si="20"/>
        <v>8.5246075149500687E-3</v>
      </c>
      <c r="G143" s="3"/>
      <c r="H143" s="8">
        <v>8608.57</v>
      </c>
      <c r="I143" s="3"/>
      <c r="J143" s="7">
        <f t="shared" si="21"/>
        <v>1.9631047848856227E-2</v>
      </c>
      <c r="K143" s="3"/>
      <c r="L143" s="8">
        <f t="shared" si="22"/>
        <v>-280.57999999999993</v>
      </c>
      <c r="M143" s="3"/>
      <c r="N143" s="7">
        <f t="shared" si="23"/>
        <v>-3.2593101990226012E-2</v>
      </c>
      <c r="O143" s="12"/>
      <c r="P143" s="8">
        <v>66965.429999999993</v>
      </c>
      <c r="Q143" s="3"/>
      <c r="R143" s="7">
        <f t="shared" si="24"/>
        <v>9.467475891138737E-3</v>
      </c>
      <c r="S143" s="3"/>
      <c r="T143" s="8">
        <v>60940.61</v>
      </c>
      <c r="U143" s="3"/>
      <c r="V143" s="7">
        <f t="shared" si="25"/>
        <v>1.295089792496432E-2</v>
      </c>
      <c r="W143" s="3"/>
      <c r="X143" s="8">
        <f t="shared" si="26"/>
        <v>6024.8199999999924</v>
      </c>
      <c r="Y143" s="3"/>
      <c r="Z143" s="7">
        <f t="shared" si="27"/>
        <v>9.8863795423117559E-2</v>
      </c>
    </row>
    <row r="144" spans="1:26" s="69" customFormat="1" ht="15" hidden="1" customHeight="1" outlineLevel="2" x14ac:dyDescent="0.3">
      <c r="A144" s="26"/>
      <c r="B144" s="12" t="str">
        <f>CONCATENATE("          ","6119"," - ","SICK LEAVE")</f>
        <v xml:space="preserve">          6119 - SICK LEAVE</v>
      </c>
      <c r="C144" s="12"/>
      <c r="D144" s="8">
        <v>6132.14</v>
      </c>
      <c r="E144" s="3"/>
      <c r="F144" s="7">
        <f t="shared" si="20"/>
        <v>6.2769151652110429E-3</v>
      </c>
      <c r="G144" s="3"/>
      <c r="H144" s="8">
        <v>5736.04</v>
      </c>
      <c r="I144" s="3"/>
      <c r="J144" s="7">
        <f t="shared" si="21"/>
        <v>1.3080508807264536E-2</v>
      </c>
      <c r="K144" s="3"/>
      <c r="L144" s="8">
        <f t="shared" si="22"/>
        <v>396.10000000000036</v>
      </c>
      <c r="M144" s="3"/>
      <c r="N144" s="7">
        <f t="shared" si="23"/>
        <v>6.9054609103144399E-2</v>
      </c>
      <c r="O144" s="12"/>
      <c r="P144" s="8">
        <v>26638.53</v>
      </c>
      <c r="Q144" s="3"/>
      <c r="R144" s="7">
        <f t="shared" si="24"/>
        <v>3.7661169434792846E-3</v>
      </c>
      <c r="S144" s="3"/>
      <c r="T144" s="8">
        <v>43151.73</v>
      </c>
      <c r="U144" s="3"/>
      <c r="V144" s="7">
        <f t="shared" si="25"/>
        <v>9.1704636779254521E-3</v>
      </c>
      <c r="W144" s="3"/>
      <c r="X144" s="8">
        <f t="shared" si="26"/>
        <v>-16513.200000000004</v>
      </c>
      <c r="Y144" s="3"/>
      <c r="Z144" s="7">
        <f t="shared" si="27"/>
        <v>-0.38267758905610511</v>
      </c>
    </row>
    <row r="145" spans="1:26" s="69" customFormat="1" ht="15" hidden="1" customHeight="1" outlineLevel="2" x14ac:dyDescent="0.3">
      <c r="A145" s="26"/>
      <c r="B145" s="12" t="str">
        <f>CONCATENATE("          ","6156"," - ","EMPLOYEE MEALS")</f>
        <v xml:space="preserve">          6156 - EMPLOYEE MEALS</v>
      </c>
      <c r="C145" s="12"/>
      <c r="D145" s="8">
        <v>3565.44</v>
      </c>
      <c r="E145" s="3"/>
      <c r="F145" s="7">
        <f t="shared" si="20"/>
        <v>3.6496173288036574E-3</v>
      </c>
      <c r="G145" s="3"/>
      <c r="H145" s="8">
        <v>1800.16</v>
      </c>
      <c r="I145" s="3"/>
      <c r="J145" s="7">
        <f t="shared" si="21"/>
        <v>4.1050984188543537E-3</v>
      </c>
      <c r="K145" s="3"/>
      <c r="L145" s="8">
        <f t="shared" si="22"/>
        <v>1765.28</v>
      </c>
      <c r="M145" s="3"/>
      <c r="N145" s="7">
        <f t="shared" si="23"/>
        <v>0.98062394453826318</v>
      </c>
      <c r="O145" s="12"/>
      <c r="P145" s="8">
        <v>30740.85</v>
      </c>
      <c r="Q145" s="3"/>
      <c r="R145" s="7">
        <f t="shared" si="24"/>
        <v>4.3460970271991424E-3</v>
      </c>
      <c r="S145" s="3"/>
      <c r="T145" s="8">
        <v>15023</v>
      </c>
      <c r="U145" s="3"/>
      <c r="V145" s="7">
        <f t="shared" si="25"/>
        <v>3.1926385299841761E-3</v>
      </c>
      <c r="W145" s="3"/>
      <c r="X145" s="8">
        <f t="shared" si="26"/>
        <v>15717.849999999999</v>
      </c>
      <c r="Y145" s="3"/>
      <c r="Z145" s="7">
        <f t="shared" si="27"/>
        <v>1.0462524129667841</v>
      </c>
    </row>
    <row r="146" spans="1:26" s="68" customFormat="1" ht="15" customHeight="1" outlineLevel="1" collapsed="1" x14ac:dyDescent="0.3">
      <c r="A146" s="25"/>
      <c r="B146" s="14" t="str">
        <f>CONCATENATE("     ","*Payroll                                          ")</f>
        <v xml:space="preserve">     *Payroll                                          </v>
      </c>
      <c r="C146" s="14"/>
      <c r="D146" s="2">
        <f>SUM(OSRRefD22_1x_0)</f>
        <v>224666.99</v>
      </c>
      <c r="E146" s="2"/>
      <c r="F146" s="6">
        <f t="shared" si="20"/>
        <v>0.22997120689568692</v>
      </c>
      <c r="G146" s="2"/>
      <c r="H146" s="2">
        <f>SUM(OSRRefH22_1x_0)</f>
        <v>125797.98</v>
      </c>
      <c r="I146" s="2"/>
      <c r="J146" s="6">
        <f t="shared" si="21"/>
        <v>0.28687066082629964</v>
      </c>
      <c r="K146" s="2"/>
      <c r="L146" s="2">
        <f t="shared" si="22"/>
        <v>98869.01</v>
      </c>
      <c r="M146" s="2"/>
      <c r="N146" s="6">
        <f t="shared" si="23"/>
        <v>0.78593479799914112</v>
      </c>
      <c r="O146" s="14"/>
      <c r="P146" s="2">
        <f>SUM(OSRRefP22_1x_0)</f>
        <v>1825041.96</v>
      </c>
      <c r="Q146" s="2"/>
      <c r="R146" s="6">
        <f t="shared" si="24"/>
        <v>0.25802179955563026</v>
      </c>
      <c r="S146" s="2"/>
      <c r="T146" s="2">
        <f>SUM(OSRRefT22_1x_0)</f>
        <v>1290820.1599999999</v>
      </c>
      <c r="U146" s="2"/>
      <c r="V146" s="6">
        <f t="shared" si="25"/>
        <v>0.27432085323146765</v>
      </c>
      <c r="W146" s="2"/>
      <c r="X146" s="2">
        <f t="shared" si="26"/>
        <v>534221.80000000005</v>
      </c>
      <c r="Y146" s="2"/>
      <c r="Z146" s="6">
        <f t="shared" si="27"/>
        <v>0.41386229976451566</v>
      </c>
    </row>
    <row r="147" spans="1:26" s="69" customFormat="1" ht="15" hidden="1" customHeight="1" outlineLevel="2" x14ac:dyDescent="0.3">
      <c r="A147" s="26"/>
      <c r="B147" s="12" t="str">
        <f>CONCATENATE("          ","6001"," - ","ADMINISTRATIVE SALARIES")</f>
        <v xml:space="preserve">          6001 - ADMINISTRATIVE SALARIES</v>
      </c>
      <c r="C147" s="12"/>
      <c r="D147" s="8">
        <v>2749.47</v>
      </c>
      <c r="E147" s="3"/>
      <c r="F147" s="7">
        <f t="shared" si="20"/>
        <v>2.814382897209262E-3</v>
      </c>
      <c r="G147" s="3"/>
      <c r="H147" s="8">
        <v>4416.46</v>
      </c>
      <c r="I147" s="3"/>
      <c r="J147" s="7">
        <f t="shared" si="21"/>
        <v>1.0071328639084026E-2</v>
      </c>
      <c r="K147" s="3"/>
      <c r="L147" s="8">
        <f t="shared" si="22"/>
        <v>-1666.9900000000002</v>
      </c>
      <c r="M147" s="3"/>
      <c r="N147" s="7">
        <f t="shared" si="23"/>
        <v>-0.37744935989457623</v>
      </c>
      <c r="O147" s="12"/>
      <c r="P147" s="8">
        <v>47666.53</v>
      </c>
      <c r="Q147" s="3"/>
      <c r="R147" s="7">
        <f t="shared" si="24"/>
        <v>6.7390252491358804E-3</v>
      </c>
      <c r="S147" s="3"/>
      <c r="T147" s="8">
        <v>43192.79</v>
      </c>
      <c r="U147" s="3"/>
      <c r="V147" s="7">
        <f t="shared" si="25"/>
        <v>9.1791896140261744E-3</v>
      </c>
      <c r="W147" s="3"/>
      <c r="X147" s="8">
        <f t="shared" si="26"/>
        <v>4473.739999999998</v>
      </c>
      <c r="Y147" s="3"/>
      <c r="Z147" s="7">
        <f t="shared" si="27"/>
        <v>0.1035760829527335</v>
      </c>
    </row>
    <row r="148" spans="1:26" s="69" customFormat="1" ht="15" hidden="1" customHeight="1" outlineLevel="2" x14ac:dyDescent="0.3">
      <c r="A148" s="26"/>
      <c r="B148" s="12" t="str">
        <f>CONCATENATE("          ","6002"," - ","STAFF SALARIES")</f>
        <v xml:space="preserve">          6002 - STAFF SALARIES</v>
      </c>
      <c r="C148" s="12"/>
      <c r="D148" s="8">
        <v>64090.58</v>
      </c>
      <c r="E148" s="3"/>
      <c r="F148" s="7">
        <f t="shared" si="20"/>
        <v>6.5603709887440853E-2</v>
      </c>
      <c r="G148" s="3"/>
      <c r="H148" s="8">
        <v>68299.41</v>
      </c>
      <c r="I148" s="3"/>
      <c r="J148" s="7">
        <f t="shared" si="21"/>
        <v>0.1557504888452611</v>
      </c>
      <c r="K148" s="3"/>
      <c r="L148" s="8">
        <f t="shared" si="22"/>
        <v>-4208.8300000000017</v>
      </c>
      <c r="M148" s="3"/>
      <c r="N148" s="7">
        <f t="shared" si="23"/>
        <v>-6.162322632069591E-2</v>
      </c>
      <c r="O148" s="12"/>
      <c r="P148" s="8">
        <v>594990.6</v>
      </c>
      <c r="Q148" s="3"/>
      <c r="R148" s="7">
        <f t="shared" si="24"/>
        <v>8.4118912712935201E-2</v>
      </c>
      <c r="S148" s="3"/>
      <c r="T148" s="8">
        <v>643003.30000000005</v>
      </c>
      <c r="U148" s="3"/>
      <c r="V148" s="7">
        <f t="shared" si="25"/>
        <v>0.13664894564913627</v>
      </c>
      <c r="W148" s="3"/>
      <c r="X148" s="8">
        <f t="shared" si="26"/>
        <v>-48012.70000000007</v>
      </c>
      <c r="Y148" s="3"/>
      <c r="Z148" s="7">
        <f t="shared" si="27"/>
        <v>-7.4669445708910154E-2</v>
      </c>
    </row>
    <row r="149" spans="1:26" s="69" customFormat="1" ht="15" hidden="1" customHeight="1" outlineLevel="2" x14ac:dyDescent="0.3">
      <c r="A149" s="26"/>
      <c r="B149" s="12" t="str">
        <f>CONCATENATE("          ","6004"," - ","STAFF HOURLY")</f>
        <v xml:space="preserve">          6004 - STAFF HOURLY</v>
      </c>
      <c r="C149" s="12"/>
      <c r="D149" s="8">
        <v>44607.34</v>
      </c>
      <c r="E149" s="3"/>
      <c r="F149" s="7">
        <f t="shared" si="20"/>
        <v>4.5660485397548842E-2</v>
      </c>
      <c r="G149" s="3"/>
      <c r="H149" s="8">
        <v>17783.84</v>
      </c>
      <c r="I149" s="3"/>
      <c r="J149" s="7">
        <f t="shared" si="21"/>
        <v>4.0554402644853133E-2</v>
      </c>
      <c r="K149" s="3"/>
      <c r="L149" s="8">
        <f t="shared" si="22"/>
        <v>26823.499999999996</v>
      </c>
      <c r="M149" s="3"/>
      <c r="N149" s="7">
        <f t="shared" si="23"/>
        <v>1.508307542128134</v>
      </c>
      <c r="O149" s="12"/>
      <c r="P149" s="8">
        <v>269848.02</v>
      </c>
      <c r="Q149" s="3"/>
      <c r="R149" s="7">
        <f t="shared" si="24"/>
        <v>3.8150723793179915E-2</v>
      </c>
      <c r="S149" s="3"/>
      <c r="T149" s="8">
        <v>155291.97</v>
      </c>
      <c r="U149" s="3"/>
      <c r="V149" s="7">
        <f t="shared" si="25"/>
        <v>3.3002138508896141E-2</v>
      </c>
      <c r="W149" s="3"/>
      <c r="X149" s="8">
        <f t="shared" si="26"/>
        <v>114556.05000000002</v>
      </c>
      <c r="Y149" s="3"/>
      <c r="Z149" s="7">
        <f t="shared" si="27"/>
        <v>0.73768173589400676</v>
      </c>
    </row>
    <row r="150" spans="1:26" s="69" customFormat="1" ht="15" hidden="1" customHeight="1" outlineLevel="2" x14ac:dyDescent="0.3">
      <c r="A150" s="26"/>
      <c r="B150" s="12" t="str">
        <f>CONCATENATE("          ","6005"," - ","TEMPORARY WAGES-HOURLY")</f>
        <v xml:space="preserve">          6005 - TEMPORARY WAGES-HOURLY</v>
      </c>
      <c r="C150" s="12"/>
      <c r="D150" s="8">
        <v>11516.03</v>
      </c>
      <c r="E150" s="3"/>
      <c r="F150" s="7">
        <f t="shared" si="20"/>
        <v>1.1787914716563113E-2</v>
      </c>
      <c r="G150" s="3"/>
      <c r="H150" s="8">
        <v>16005.07</v>
      </c>
      <c r="I150" s="3"/>
      <c r="J150" s="7">
        <f t="shared" si="21"/>
        <v>3.6498082143061314E-2</v>
      </c>
      <c r="K150" s="3"/>
      <c r="L150" s="8">
        <f t="shared" si="22"/>
        <v>-4489.0399999999991</v>
      </c>
      <c r="M150" s="3"/>
      <c r="N150" s="7">
        <f t="shared" si="23"/>
        <v>-0.28047612412816686</v>
      </c>
      <c r="O150" s="12"/>
      <c r="P150" s="8">
        <v>104920.95</v>
      </c>
      <c r="Q150" s="3"/>
      <c r="R150" s="7">
        <f t="shared" si="24"/>
        <v>1.4833572555277744E-2</v>
      </c>
      <c r="S150" s="3"/>
      <c r="T150" s="8">
        <v>154364.01</v>
      </c>
      <c r="U150" s="3"/>
      <c r="V150" s="7">
        <f t="shared" si="25"/>
        <v>3.2804931502952987E-2</v>
      </c>
      <c r="W150" s="3"/>
      <c r="X150" s="8">
        <f t="shared" si="26"/>
        <v>-49443.060000000012</v>
      </c>
      <c r="Y150" s="3"/>
      <c r="Z150" s="7">
        <f t="shared" si="27"/>
        <v>-0.32030173354527397</v>
      </c>
    </row>
    <row r="151" spans="1:26" s="69" customFormat="1" ht="15" hidden="1" customHeight="1" outlineLevel="2" x14ac:dyDescent="0.3">
      <c r="A151" s="26"/>
      <c r="B151" s="12" t="str">
        <f>CONCATENATE("          ","6006"," - ","TEMPORARY PART TIME")</f>
        <v xml:space="preserve">          6006 - TEMPORARY PART TIME</v>
      </c>
      <c r="C151" s="12"/>
      <c r="D151" s="8">
        <v>5340.79</v>
      </c>
      <c r="E151" s="3"/>
      <c r="F151" s="7">
        <f t="shared" si="20"/>
        <v>5.4668819931064008E-3</v>
      </c>
      <c r="G151" s="3"/>
      <c r="H151" s="8">
        <v>2893.47</v>
      </c>
      <c r="I151" s="3"/>
      <c r="J151" s="7">
        <f t="shared" si="21"/>
        <v>6.5982907752658131E-3</v>
      </c>
      <c r="K151" s="3"/>
      <c r="L151" s="8">
        <f t="shared" si="22"/>
        <v>2447.3200000000002</v>
      </c>
      <c r="M151" s="3"/>
      <c r="N151" s="7">
        <f t="shared" si="23"/>
        <v>0.84580797450811662</v>
      </c>
      <c r="O151" s="12"/>
      <c r="P151" s="8">
        <v>23036.14</v>
      </c>
      <c r="Q151" s="3"/>
      <c r="R151" s="7">
        <f t="shared" si="24"/>
        <v>3.2568162419758483E-3</v>
      </c>
      <c r="S151" s="3"/>
      <c r="T151" s="8">
        <v>16946.759999999998</v>
      </c>
      <c r="U151" s="3"/>
      <c r="V151" s="7">
        <f t="shared" si="25"/>
        <v>3.6014696754572743E-3</v>
      </c>
      <c r="W151" s="3"/>
      <c r="X151" s="8">
        <f t="shared" si="26"/>
        <v>6089.380000000001</v>
      </c>
      <c r="Y151" s="3"/>
      <c r="Z151" s="7">
        <f t="shared" si="27"/>
        <v>0.35932414219591247</v>
      </c>
    </row>
    <row r="152" spans="1:26" s="69" customFormat="1" ht="15" hidden="1" customHeight="1" outlineLevel="2" x14ac:dyDescent="0.3">
      <c r="A152" s="26"/>
      <c r="B152" s="12" t="str">
        <f>CONCATENATE("          ","6007"," - ","STUDENT HOURLY")</f>
        <v xml:space="preserve">          6007 - STUDENT HOURLY</v>
      </c>
      <c r="C152" s="12"/>
      <c r="D152" s="8">
        <v>73779.45</v>
      </c>
      <c r="E152" s="3"/>
      <c r="F152" s="7">
        <f t="shared" si="20"/>
        <v>7.5521326744974818E-2</v>
      </c>
      <c r="G152" s="3"/>
      <c r="H152" s="8">
        <v>14809.4</v>
      </c>
      <c r="I152" s="3"/>
      <c r="J152" s="7">
        <f t="shared" si="21"/>
        <v>3.3771467271898982E-2</v>
      </c>
      <c r="K152" s="3"/>
      <c r="L152" s="8">
        <f t="shared" si="22"/>
        <v>58970.049999999996</v>
      </c>
      <c r="M152" s="3"/>
      <c r="N152" s="7">
        <f t="shared" si="23"/>
        <v>3.9819337717935905</v>
      </c>
      <c r="O152" s="12"/>
      <c r="P152" s="8">
        <v>669984.05000000005</v>
      </c>
      <c r="Q152" s="3"/>
      <c r="R152" s="7">
        <f t="shared" si="24"/>
        <v>9.4721378490700212E-2</v>
      </c>
      <c r="S152" s="3"/>
      <c r="T152" s="8">
        <v>268019.38</v>
      </c>
      <c r="U152" s="3"/>
      <c r="V152" s="7">
        <f t="shared" si="25"/>
        <v>5.6958596776307678E-2</v>
      </c>
      <c r="W152" s="3"/>
      <c r="X152" s="8">
        <f t="shared" si="26"/>
        <v>401964.67000000004</v>
      </c>
      <c r="Y152" s="3"/>
      <c r="Z152" s="7">
        <f t="shared" si="27"/>
        <v>1.4997597188680909</v>
      </c>
    </row>
    <row r="153" spans="1:26" s="69" customFormat="1" ht="15" hidden="1" customHeight="1" outlineLevel="2" x14ac:dyDescent="0.3">
      <c r="A153" s="26"/>
      <c r="B153" s="12" t="str">
        <f>CONCATENATE("          ","6008"," - ","STUDENT HOURLY-FICA EXEMPT")</f>
        <v xml:space="preserve">          6008 - STUDENT HOURLY-FICA EXEMPT</v>
      </c>
      <c r="C153" s="12"/>
      <c r="D153" s="8">
        <v>22583.33</v>
      </c>
      <c r="E153" s="3"/>
      <c r="F153" s="7">
        <f t="shared" si="20"/>
        <v>2.311650525884365E-2</v>
      </c>
      <c r="G153" s="3"/>
      <c r="H153" s="8">
        <v>1590.33</v>
      </c>
      <c r="I153" s="3"/>
      <c r="J153" s="7">
        <f t="shared" si="21"/>
        <v>3.6266005068753024E-3</v>
      </c>
      <c r="K153" s="3"/>
      <c r="L153" s="8">
        <f t="shared" si="22"/>
        <v>20993</v>
      </c>
      <c r="M153" s="3"/>
      <c r="N153" s="7">
        <f t="shared" si="23"/>
        <v>13.200404947400855</v>
      </c>
      <c r="O153" s="12"/>
      <c r="P153" s="8">
        <v>114595.67</v>
      </c>
      <c r="Q153" s="3"/>
      <c r="R153" s="7">
        <f t="shared" si="24"/>
        <v>1.6201370512425452E-2</v>
      </c>
      <c r="S153" s="3"/>
      <c r="T153" s="8">
        <v>10001.950000000001</v>
      </c>
      <c r="U153" s="3"/>
      <c r="V153" s="7">
        <f t="shared" si="25"/>
        <v>2.1255815046911557E-3</v>
      </c>
      <c r="W153" s="3"/>
      <c r="X153" s="8">
        <f t="shared" si="26"/>
        <v>104593.72</v>
      </c>
      <c r="Y153" s="3"/>
      <c r="Z153" s="7">
        <f t="shared" si="27"/>
        <v>10.457332820100079</v>
      </c>
    </row>
    <row r="154" spans="1:26" s="68" customFormat="1" ht="15" customHeight="1" outlineLevel="1" collapsed="1" x14ac:dyDescent="0.3">
      <c r="A154" s="25"/>
      <c r="B154" s="14" t="str">
        <f>CONCATENATE("     ","Advertising/Promo                                 ")</f>
        <v xml:space="preserve">     Advertising/Promo                                 </v>
      </c>
      <c r="C154" s="14"/>
      <c r="D154" s="2">
        <f>SUM(OSRRefD22_2x_0)</f>
        <v>3210.66</v>
      </c>
      <c r="E154" s="2"/>
      <c r="F154" s="6">
        <f t="shared" si="20"/>
        <v>3.2864612426227202E-3</v>
      </c>
      <c r="G154" s="2"/>
      <c r="H154" s="2">
        <f>SUM(OSRRefH22_2x_0)</f>
        <v>1313.83</v>
      </c>
      <c r="I154" s="2"/>
      <c r="J154" s="6">
        <f t="shared" si="21"/>
        <v>2.99606782488413E-3</v>
      </c>
      <c r="K154" s="2"/>
      <c r="L154" s="2">
        <f t="shared" si="22"/>
        <v>1896.83</v>
      </c>
      <c r="M154" s="2"/>
      <c r="N154" s="6">
        <f t="shared" si="23"/>
        <v>1.4437408188273977</v>
      </c>
      <c r="O154" s="14"/>
      <c r="P154" s="2">
        <f>SUM(OSRRefP22_2x_0)</f>
        <v>12835.45</v>
      </c>
      <c r="Q154" s="2"/>
      <c r="R154" s="6">
        <f t="shared" si="24"/>
        <v>1.81465740497622E-3</v>
      </c>
      <c r="S154" s="2"/>
      <c r="T154" s="2">
        <f>SUM(OSRRefT22_2x_0)</f>
        <v>17536.05</v>
      </c>
      <c r="U154" s="2"/>
      <c r="V154" s="6">
        <f t="shared" si="25"/>
        <v>3.7267036473227059E-3</v>
      </c>
      <c r="W154" s="2"/>
      <c r="X154" s="2">
        <f t="shared" si="26"/>
        <v>-4700.5999999999985</v>
      </c>
      <c r="Y154" s="2"/>
      <c r="Z154" s="6">
        <f t="shared" si="27"/>
        <v>-0.26805352402622018</v>
      </c>
    </row>
    <row r="155" spans="1:26" s="69" customFormat="1" ht="15" hidden="1" customHeight="1" outlineLevel="2" x14ac:dyDescent="0.3">
      <c r="A155" s="26"/>
      <c r="B155" s="12" t="str">
        <f>CONCATENATE("          ","6362"," - ","ADVERTISING EXPENSE")</f>
        <v xml:space="preserve">          6362 - ADVERTISING EXPENSE</v>
      </c>
      <c r="C155" s="12"/>
      <c r="D155" s="8">
        <v>3210.66</v>
      </c>
      <c r="E155" s="3"/>
      <c r="F155" s="7">
        <f t="shared" si="20"/>
        <v>3.2864612426227202E-3</v>
      </c>
      <c r="G155" s="3"/>
      <c r="H155" s="8">
        <v>1313.83</v>
      </c>
      <c r="I155" s="3"/>
      <c r="J155" s="7">
        <f t="shared" si="21"/>
        <v>2.99606782488413E-3</v>
      </c>
      <c r="K155" s="3"/>
      <c r="L155" s="8">
        <f t="shared" si="22"/>
        <v>1896.83</v>
      </c>
      <c r="M155" s="3"/>
      <c r="N155" s="7">
        <f t="shared" si="23"/>
        <v>1.4437408188273977</v>
      </c>
      <c r="O155" s="12"/>
      <c r="P155" s="8">
        <v>12835.45</v>
      </c>
      <c r="Q155" s="3"/>
      <c r="R155" s="7">
        <f t="shared" si="24"/>
        <v>1.81465740497622E-3</v>
      </c>
      <c r="S155" s="3"/>
      <c r="T155" s="8">
        <v>17536.05</v>
      </c>
      <c r="U155" s="3"/>
      <c r="V155" s="7">
        <f t="shared" si="25"/>
        <v>3.7267036473227059E-3</v>
      </c>
      <c r="W155" s="3"/>
      <c r="X155" s="8">
        <f t="shared" si="26"/>
        <v>-4700.5999999999985</v>
      </c>
      <c r="Y155" s="3"/>
      <c r="Z155" s="7">
        <f t="shared" si="27"/>
        <v>-0.26805352402622018</v>
      </c>
    </row>
    <row r="156" spans="1:26" s="68" customFormat="1" ht="15" customHeight="1" outlineLevel="1" collapsed="1" x14ac:dyDescent="0.3">
      <c r="A156" s="25"/>
      <c r="B156" s="14" t="str">
        <f>CONCATENATE("     ","Bad Debts/Over/Short                              ")</f>
        <v xml:space="preserve">     Bad Debts/Over/Short                              </v>
      </c>
      <c r="C156" s="14"/>
      <c r="D156" s="2">
        <f>SUM(OSRRefD22_3x_0)</f>
        <v>-45.88</v>
      </c>
      <c r="E156" s="2"/>
      <c r="F156" s="6">
        <f t="shared" si="20"/>
        <v>-4.6963191932976522E-5</v>
      </c>
      <c r="G156" s="2"/>
      <c r="H156" s="2">
        <f>SUM(OSRRefH22_3x_0)</f>
        <v>-1.25</v>
      </c>
      <c r="I156" s="2"/>
      <c r="J156" s="6">
        <f t="shared" si="21"/>
        <v>-2.8505094122566564E-6</v>
      </c>
      <c r="K156" s="2"/>
      <c r="L156" s="2">
        <f t="shared" si="22"/>
        <v>-44.63</v>
      </c>
      <c r="M156" s="2"/>
      <c r="N156" s="6">
        <f t="shared" si="23"/>
        <v>35.704000000000001</v>
      </c>
      <c r="O156" s="14"/>
      <c r="P156" s="2">
        <f>SUM(OSRRefP22_3x_0)</f>
        <v>15.53</v>
      </c>
      <c r="Q156" s="2"/>
      <c r="R156" s="6">
        <f t="shared" si="24"/>
        <v>2.1956089969016041E-6</v>
      </c>
      <c r="S156" s="2"/>
      <c r="T156" s="2">
        <f>SUM(OSRRefT22_3x_0)</f>
        <v>5186.01</v>
      </c>
      <c r="U156" s="2"/>
      <c r="V156" s="6">
        <f t="shared" si="25"/>
        <v>1.1021137817269014E-3</v>
      </c>
      <c r="W156" s="2"/>
      <c r="X156" s="2">
        <f t="shared" si="26"/>
        <v>-5170.4800000000005</v>
      </c>
      <c r="Y156" s="2"/>
      <c r="Z156" s="6">
        <f t="shared" si="27"/>
        <v>-0.99700540492594503</v>
      </c>
    </row>
    <row r="157" spans="1:26" s="69" customFormat="1" ht="15" hidden="1" customHeight="1" outlineLevel="2" x14ac:dyDescent="0.3">
      <c r="A157" s="26"/>
      <c r="B157" s="12" t="str">
        <f>CONCATENATE("          ","6272"," - ","CASH (OVER/SHORT)")</f>
        <v xml:space="preserve">          6272 - CASH (OVER/SHORT)</v>
      </c>
      <c r="C157" s="12"/>
      <c r="D157" s="8">
        <v>-45.88</v>
      </c>
      <c r="E157" s="3"/>
      <c r="F157" s="7">
        <f t="shared" si="20"/>
        <v>-4.6963191932976522E-5</v>
      </c>
      <c r="G157" s="3"/>
      <c r="H157" s="8">
        <v>-1.25</v>
      </c>
      <c r="I157" s="3"/>
      <c r="J157" s="7">
        <f t="shared" si="21"/>
        <v>-2.8505094122566564E-6</v>
      </c>
      <c r="K157" s="3"/>
      <c r="L157" s="8">
        <f t="shared" si="22"/>
        <v>-44.63</v>
      </c>
      <c r="M157" s="3"/>
      <c r="N157" s="7">
        <f t="shared" si="23"/>
        <v>35.704000000000001</v>
      </c>
      <c r="O157" s="12"/>
      <c r="P157" s="8">
        <v>15.53</v>
      </c>
      <c r="Q157" s="3"/>
      <c r="R157" s="7">
        <f t="shared" si="24"/>
        <v>2.1956089969016041E-6</v>
      </c>
      <c r="S157" s="3"/>
      <c r="T157" s="8">
        <v>-163.41</v>
      </c>
      <c r="U157" s="3"/>
      <c r="V157" s="7">
        <f t="shared" si="25"/>
        <v>-3.4727355533829077E-5</v>
      </c>
      <c r="W157" s="3"/>
      <c r="X157" s="8">
        <f t="shared" si="26"/>
        <v>178.94</v>
      </c>
      <c r="Y157" s="3"/>
      <c r="Z157" s="7">
        <f t="shared" si="27"/>
        <v>-1.095037023437978</v>
      </c>
    </row>
    <row r="158" spans="1:26" s="69" customFormat="1" ht="15" hidden="1" customHeight="1" outlineLevel="2" x14ac:dyDescent="0.3">
      <c r="A158" s="26"/>
      <c r="B158" s="12" t="str">
        <f>CONCATENATE("          ","6342"," - ","BAD DEBT")</f>
        <v xml:space="preserve">          6342 - BAD DEBT</v>
      </c>
      <c r="C158" s="12"/>
      <c r="D158" s="8"/>
      <c r="E158" s="3"/>
      <c r="F158" s="7">
        <f t="shared" si="20"/>
        <v>0</v>
      </c>
      <c r="G158" s="3"/>
      <c r="H158" s="8"/>
      <c r="I158" s="3"/>
      <c r="J158" s="7">
        <f t="shared" si="21"/>
        <v>0</v>
      </c>
      <c r="K158" s="3"/>
      <c r="L158" s="8">
        <f t="shared" si="22"/>
        <v>0</v>
      </c>
      <c r="M158" s="3"/>
      <c r="N158" s="7">
        <f t="shared" si="23"/>
        <v>0</v>
      </c>
      <c r="O158" s="12"/>
      <c r="P158" s="8"/>
      <c r="Q158" s="3"/>
      <c r="R158" s="7">
        <f t="shared" si="24"/>
        <v>0</v>
      </c>
      <c r="S158" s="3"/>
      <c r="T158" s="8">
        <v>5349.42</v>
      </c>
      <c r="U158" s="3"/>
      <c r="V158" s="7">
        <f t="shared" si="25"/>
        <v>1.1368411372607303E-3</v>
      </c>
      <c r="W158" s="3"/>
      <c r="X158" s="8">
        <f t="shared" si="26"/>
        <v>-5349.42</v>
      </c>
      <c r="Y158" s="3"/>
      <c r="Z158" s="7">
        <f t="shared" si="27"/>
        <v>-1</v>
      </c>
    </row>
    <row r="159" spans="1:26" s="68" customFormat="1" ht="15" customHeight="1" outlineLevel="1" collapsed="1" x14ac:dyDescent="0.3">
      <c r="A159" s="25"/>
      <c r="B159" s="14" t="str">
        <f>CONCATENATE("     ","Bank/card Fees                                    ")</f>
        <v xml:space="preserve">     Bank/card Fees                                    </v>
      </c>
      <c r="C159" s="14"/>
      <c r="D159" s="2">
        <f>SUM(OSRRefD22_4x_0)</f>
        <v>21124.28</v>
      </c>
      <c r="E159" s="2"/>
      <c r="F159" s="6">
        <f t="shared" si="20"/>
        <v>2.1623008197165151E-2</v>
      </c>
      <c r="G159" s="2"/>
      <c r="H159" s="2">
        <f>SUM(OSRRefH22_4x_0)</f>
        <v>6047.39</v>
      </c>
      <c r="I159" s="2"/>
      <c r="J159" s="6">
        <f t="shared" si="21"/>
        <v>1.3790513691669426E-2</v>
      </c>
      <c r="K159" s="2"/>
      <c r="L159" s="2">
        <f t="shared" si="22"/>
        <v>15076.89</v>
      </c>
      <c r="M159" s="2"/>
      <c r="N159" s="6">
        <f t="shared" si="23"/>
        <v>2.4931234797160426</v>
      </c>
      <c r="O159" s="14"/>
      <c r="P159" s="2">
        <f>SUM(OSRRefP22_4x_0)</f>
        <v>146450.32999999999</v>
      </c>
      <c r="Q159" s="2"/>
      <c r="R159" s="6">
        <f t="shared" si="24"/>
        <v>2.0704936390676682E-2</v>
      </c>
      <c r="S159" s="2"/>
      <c r="T159" s="2">
        <f>SUM(OSRRefT22_4x_0)</f>
        <v>76960.58</v>
      </c>
      <c r="U159" s="2"/>
      <c r="V159" s="6">
        <f t="shared" si="25"/>
        <v>1.6355409239028795E-2</v>
      </c>
      <c r="W159" s="2"/>
      <c r="X159" s="2">
        <f t="shared" si="26"/>
        <v>69489.749999999985</v>
      </c>
      <c r="Y159" s="2"/>
      <c r="Z159" s="6">
        <f t="shared" si="27"/>
        <v>0.9029265371960552</v>
      </c>
    </row>
    <row r="160" spans="1:26" s="69" customFormat="1" ht="15" hidden="1" customHeight="1" outlineLevel="2" x14ac:dyDescent="0.3">
      <c r="A160" s="26"/>
      <c r="B160" s="12" t="str">
        <f>CONCATENATE("          ","6381"," - ","BANK/CREDIT CARD FEES")</f>
        <v xml:space="preserve">          6381 - BANK/CREDIT CARD FEES</v>
      </c>
      <c r="C160" s="12"/>
      <c r="D160" s="8">
        <v>21124.28</v>
      </c>
      <c r="E160" s="3"/>
      <c r="F160" s="7">
        <f t="shared" si="20"/>
        <v>2.1623008197165151E-2</v>
      </c>
      <c r="G160" s="3"/>
      <c r="H160" s="8">
        <v>6047.39</v>
      </c>
      <c r="I160" s="3"/>
      <c r="J160" s="7">
        <f t="shared" si="21"/>
        <v>1.3790513691669426E-2</v>
      </c>
      <c r="K160" s="3"/>
      <c r="L160" s="8">
        <f t="shared" si="22"/>
        <v>15076.89</v>
      </c>
      <c r="M160" s="3"/>
      <c r="N160" s="7">
        <f t="shared" si="23"/>
        <v>2.4931234797160426</v>
      </c>
      <c r="O160" s="12"/>
      <c r="P160" s="8">
        <v>146450.32999999999</v>
      </c>
      <c r="Q160" s="3"/>
      <c r="R160" s="7">
        <f t="shared" si="24"/>
        <v>2.0704936390676682E-2</v>
      </c>
      <c r="S160" s="3"/>
      <c r="T160" s="8">
        <v>76960.58</v>
      </c>
      <c r="U160" s="3"/>
      <c r="V160" s="7">
        <f t="shared" si="25"/>
        <v>1.6355409239028795E-2</v>
      </c>
      <c r="W160" s="3"/>
      <c r="X160" s="8">
        <f t="shared" si="26"/>
        <v>69489.749999999985</v>
      </c>
      <c r="Y160" s="3"/>
      <c r="Z160" s="7">
        <f t="shared" si="27"/>
        <v>0.9029265371960552</v>
      </c>
    </row>
    <row r="161" spans="1:26" s="68" customFormat="1" ht="15" customHeight="1" outlineLevel="1" collapsed="1" x14ac:dyDescent="0.3">
      <c r="A161" s="25"/>
      <c r="B161" s="14" t="str">
        <f>CONCATENATE("     ","Depreciation                                      ")</f>
        <v xml:space="preserve">     Depreciation                                      </v>
      </c>
      <c r="C161" s="14"/>
      <c r="D161" s="2">
        <f>SUM(OSRRefD22_5x_0)</f>
        <v>22704.800000000003</v>
      </c>
      <c r="E161" s="2"/>
      <c r="F161" s="6">
        <f t="shared" si="20"/>
        <v>2.3240843073231158E-2</v>
      </c>
      <c r="G161" s="2"/>
      <c r="H161" s="2">
        <f>SUM(OSRRefH22_5x_0)</f>
        <v>39887.94</v>
      </c>
      <c r="I161" s="2"/>
      <c r="J161" s="6">
        <f t="shared" si="21"/>
        <v>9.0960758724423024E-2</v>
      </c>
      <c r="K161" s="2"/>
      <c r="L161" s="2">
        <f t="shared" si="22"/>
        <v>-17183.14</v>
      </c>
      <c r="M161" s="2"/>
      <c r="N161" s="6">
        <f t="shared" si="23"/>
        <v>-0.43078534514442207</v>
      </c>
      <c r="O161" s="14"/>
      <c r="P161" s="2">
        <f>SUM(OSRRefP22_5x_0)</f>
        <v>349496.48</v>
      </c>
      <c r="Q161" s="2"/>
      <c r="R161" s="6">
        <f t="shared" si="24"/>
        <v>4.9411308169571254E-2</v>
      </c>
      <c r="S161" s="2"/>
      <c r="T161" s="2">
        <f>SUM(OSRRefT22_5x_0)</f>
        <v>399356.17</v>
      </c>
      <c r="U161" s="2"/>
      <c r="V161" s="6">
        <f t="shared" si="25"/>
        <v>8.4869859251075722E-2</v>
      </c>
      <c r="W161" s="2"/>
      <c r="X161" s="2">
        <f t="shared" si="26"/>
        <v>-49859.69</v>
      </c>
      <c r="Y161" s="2"/>
      <c r="Z161" s="6">
        <f t="shared" si="27"/>
        <v>-0.12485018072964793</v>
      </c>
    </row>
    <row r="162" spans="1:26" s="69" customFormat="1" ht="15" hidden="1" customHeight="1" outlineLevel="2" x14ac:dyDescent="0.3">
      <c r="A162" s="26"/>
      <c r="B162" s="12" t="str">
        <f>CONCATENATE("          ","6321"," - ","BUILDING DEPRECIATION")</f>
        <v xml:space="preserve">          6321 - BUILDING DEPRECIATION</v>
      </c>
      <c r="C162" s="12"/>
      <c r="D162" s="8">
        <v>18402.22</v>
      </c>
      <c r="E162" s="3"/>
      <c r="F162" s="7">
        <f t="shared" si="20"/>
        <v>1.8836682429225354E-2</v>
      </c>
      <c r="G162" s="3"/>
      <c r="H162" s="8">
        <v>21477.03</v>
      </c>
      <c r="I162" s="3"/>
      <c r="J162" s="7">
        <f t="shared" si="21"/>
        <v>4.8976380929854853E-2</v>
      </c>
      <c r="K162" s="3"/>
      <c r="L162" s="8">
        <f t="shared" si="22"/>
        <v>-3074.8099999999977</v>
      </c>
      <c r="M162" s="3"/>
      <c r="N162" s="7">
        <f t="shared" si="23"/>
        <v>-0.14316737463233967</v>
      </c>
      <c r="O162" s="12"/>
      <c r="P162" s="8">
        <v>203280.94</v>
      </c>
      <c r="Q162" s="3"/>
      <c r="R162" s="7">
        <f t="shared" si="24"/>
        <v>2.8739566050393767E-2</v>
      </c>
      <c r="S162" s="3"/>
      <c r="T162" s="8">
        <v>214770.3</v>
      </c>
      <c r="U162" s="3"/>
      <c r="V162" s="7">
        <f t="shared" si="25"/>
        <v>4.5642277499584667E-2</v>
      </c>
      <c r="W162" s="3"/>
      <c r="X162" s="8">
        <f t="shared" si="26"/>
        <v>-11489.359999999986</v>
      </c>
      <c r="Y162" s="3"/>
      <c r="Z162" s="7">
        <f t="shared" si="27"/>
        <v>-5.3496037394369644E-2</v>
      </c>
    </row>
    <row r="163" spans="1:26" s="69" customFormat="1" ht="15" hidden="1" customHeight="1" outlineLevel="2" x14ac:dyDescent="0.3">
      <c r="A163" s="26"/>
      <c r="B163" s="12" t="str">
        <f>CONCATENATE("          ","6322"," - ","EQUIPMENT DEPRECIATION EXPENSE")</f>
        <v xml:space="preserve">          6322 - EQUIPMENT DEPRECIATION EXPENSE</v>
      </c>
      <c r="C163" s="12"/>
      <c r="D163" s="8">
        <v>4302.58</v>
      </c>
      <c r="E163" s="3"/>
      <c r="F163" s="7">
        <f t="shared" si="20"/>
        <v>4.4041606440057999E-3</v>
      </c>
      <c r="G163" s="3"/>
      <c r="H163" s="8">
        <v>18410.91</v>
      </c>
      <c r="I163" s="3"/>
      <c r="J163" s="7">
        <f t="shared" si="21"/>
        <v>4.1984377794568158E-2</v>
      </c>
      <c r="K163" s="3"/>
      <c r="L163" s="8">
        <f t="shared" si="22"/>
        <v>-14108.33</v>
      </c>
      <c r="M163" s="3"/>
      <c r="N163" s="7">
        <f t="shared" si="23"/>
        <v>-0.76630269769392168</v>
      </c>
      <c r="O163" s="12"/>
      <c r="P163" s="8">
        <v>146215.54</v>
      </c>
      <c r="Q163" s="3"/>
      <c r="R163" s="7">
        <f t="shared" si="24"/>
        <v>2.0671742119177491E-2</v>
      </c>
      <c r="S163" s="3"/>
      <c r="T163" s="8">
        <v>184585.87</v>
      </c>
      <c r="U163" s="3"/>
      <c r="V163" s="7">
        <f t="shared" si="25"/>
        <v>3.9227581751491061E-2</v>
      </c>
      <c r="W163" s="3"/>
      <c r="X163" s="8">
        <f t="shared" si="26"/>
        <v>-38370.329999999987</v>
      </c>
      <c r="Y163" s="3"/>
      <c r="Z163" s="7">
        <f t="shared" si="27"/>
        <v>-0.2078725202530399</v>
      </c>
    </row>
    <row r="164" spans="1:26" s="68" customFormat="1" ht="15" customHeight="1" outlineLevel="1" collapsed="1" x14ac:dyDescent="0.3">
      <c r="A164" s="25"/>
      <c r="B164" s="14" t="str">
        <f>CONCATENATE("     ","Discounts and Markdowns                           ")</f>
        <v xml:space="preserve">     Discounts and Markdowns                           </v>
      </c>
      <c r="C164" s="14"/>
      <c r="D164" s="2">
        <f>SUM(OSRRefD22_6x_0)</f>
        <v>-50.18</v>
      </c>
      <c r="E164" s="2"/>
      <c r="F164" s="6">
        <f t="shared" si="20"/>
        <v>-5.136471166514302E-5</v>
      </c>
      <c r="G164" s="2"/>
      <c r="H164" s="2">
        <f>SUM(OSRRefH22_6x_0)</f>
        <v>-15.43</v>
      </c>
      <c r="I164" s="2"/>
      <c r="J164" s="6">
        <f t="shared" si="21"/>
        <v>-3.5186688184896166E-5</v>
      </c>
      <c r="K164" s="2"/>
      <c r="L164" s="2">
        <f t="shared" si="22"/>
        <v>-34.75</v>
      </c>
      <c r="M164" s="2"/>
      <c r="N164" s="6">
        <f t="shared" si="23"/>
        <v>2.2521062864549579</v>
      </c>
      <c r="O164" s="14"/>
      <c r="P164" s="2">
        <f>SUM(OSRRefP22_6x_0)</f>
        <v>2006.6499999999999</v>
      </c>
      <c r="Q164" s="2"/>
      <c r="R164" s="6">
        <f t="shared" si="24"/>
        <v>2.8369728226868024E-4</v>
      </c>
      <c r="S164" s="2"/>
      <c r="T164" s="2">
        <f>SUM(OSRRefT22_6x_0)</f>
        <v>-15.43</v>
      </c>
      <c r="U164" s="2"/>
      <c r="V164" s="6">
        <f t="shared" si="25"/>
        <v>-3.2791328308364399E-6</v>
      </c>
      <c r="W164" s="2"/>
      <c r="X164" s="2">
        <f t="shared" si="26"/>
        <v>2022.08</v>
      </c>
      <c r="Y164" s="2"/>
      <c r="Z164" s="6">
        <f t="shared" si="27"/>
        <v>-131.04860661049904</v>
      </c>
    </row>
    <row r="165" spans="1:26" s="69" customFormat="1" ht="15" hidden="1" customHeight="1" outlineLevel="2" x14ac:dyDescent="0.3">
      <c r="A165" s="26"/>
      <c r="B165" s="12" t="str">
        <f>CONCATENATE("          ","6382"," - ","DISCOUNTS/MARK DOWNS")</f>
        <v xml:space="preserve">          6382 - DISCOUNTS/MARK DOWNS</v>
      </c>
      <c r="C165" s="12"/>
      <c r="D165" s="8"/>
      <c r="E165" s="3"/>
      <c r="F165" s="7">
        <f t="shared" si="20"/>
        <v>0</v>
      </c>
      <c r="G165" s="3"/>
      <c r="H165" s="8">
        <v>0</v>
      </c>
      <c r="I165" s="3"/>
      <c r="J165" s="7">
        <f t="shared" si="21"/>
        <v>0</v>
      </c>
      <c r="K165" s="3"/>
      <c r="L165" s="8">
        <f t="shared" si="22"/>
        <v>0</v>
      </c>
      <c r="M165" s="3"/>
      <c r="N165" s="7">
        <f t="shared" si="23"/>
        <v>0</v>
      </c>
      <c r="O165" s="12"/>
      <c r="P165" s="8">
        <v>2171.35</v>
      </c>
      <c r="Q165" s="3"/>
      <c r="R165" s="7">
        <f t="shared" si="24"/>
        <v>3.0698233067754657E-4</v>
      </c>
      <c r="S165" s="3"/>
      <c r="T165" s="8">
        <v>0</v>
      </c>
      <c r="U165" s="3"/>
      <c r="V165" s="7">
        <f t="shared" si="25"/>
        <v>0</v>
      </c>
      <c r="W165" s="3"/>
      <c r="X165" s="8">
        <f t="shared" si="26"/>
        <v>2171.35</v>
      </c>
      <c r="Y165" s="3"/>
      <c r="Z165" s="7">
        <f t="shared" si="27"/>
        <v>0</v>
      </c>
    </row>
    <row r="166" spans="1:26" s="69" customFormat="1" ht="15" hidden="1" customHeight="1" outlineLevel="2" x14ac:dyDescent="0.3">
      <c r="A166" s="26"/>
      <c r="B166" s="12" t="str">
        <f>CONCATENATE("          ","9175"," - ","EARNED DISCOUNTS")</f>
        <v xml:space="preserve">          9175 - EARNED DISCOUNTS</v>
      </c>
      <c r="C166" s="12"/>
      <c r="D166" s="8">
        <v>-50.18</v>
      </c>
      <c r="E166" s="3"/>
      <c r="F166" s="7">
        <f t="shared" ref="F166:F197" si="28">IF(D$12=0,0,D166/D$12)</f>
        <v>-5.136471166514302E-5</v>
      </c>
      <c r="G166" s="3"/>
      <c r="H166" s="8">
        <v>-15.43</v>
      </c>
      <c r="I166" s="3"/>
      <c r="J166" s="7">
        <f t="shared" ref="J166:J197" si="29">IF(H$12=0,0,H166/H$12)</f>
        <v>-3.5186688184896166E-5</v>
      </c>
      <c r="K166" s="3"/>
      <c r="L166" s="8">
        <f t="shared" ref="L166:L197" si="30">+D166-H166</f>
        <v>-34.75</v>
      </c>
      <c r="M166" s="3"/>
      <c r="N166" s="7">
        <f t="shared" ref="N166:N197" si="31">IF(H166=0,0,L166/H166)</f>
        <v>2.2521062864549579</v>
      </c>
      <c r="O166" s="12"/>
      <c r="P166" s="8">
        <v>-164.7</v>
      </c>
      <c r="Q166" s="3"/>
      <c r="R166" s="7">
        <f t="shared" ref="R166:R197" si="32">IF(P$12=0,0,P166/P$12)</f>
        <v>-2.3285048408866337E-5</v>
      </c>
      <c r="S166" s="3"/>
      <c r="T166" s="8">
        <v>-15.43</v>
      </c>
      <c r="U166" s="3"/>
      <c r="V166" s="7">
        <f t="shared" ref="V166:V197" si="33">IF(T$12=0,0,T166/T$12)</f>
        <v>-3.2791328308364399E-6</v>
      </c>
      <c r="W166" s="3"/>
      <c r="X166" s="8">
        <f t="shared" ref="X166:X197" si="34">+P166-T166</f>
        <v>-149.26999999999998</v>
      </c>
      <c r="Y166" s="3"/>
      <c r="Z166" s="7">
        <f t="shared" ref="Z166:Z197" si="35">IF(T166=0,0,X166/T166)</f>
        <v>9.6740116655865194</v>
      </c>
    </row>
    <row r="167" spans="1:26" s="68" customFormat="1" ht="15" customHeight="1" outlineLevel="1" collapsed="1" x14ac:dyDescent="0.3">
      <c r="A167" s="25"/>
      <c r="B167" s="14" t="str">
        <f>CONCATENATE("     ","Donations                                         ")</f>
        <v xml:space="preserve">     Donations                                         </v>
      </c>
      <c r="C167" s="14"/>
      <c r="D167" s="2">
        <f>SUM(OSRRefD22_7x_0)</f>
        <v>1488.53</v>
      </c>
      <c r="E167" s="2"/>
      <c r="F167" s="6">
        <f t="shared" si="28"/>
        <v>1.5236730620748374E-3</v>
      </c>
      <c r="G167" s="2"/>
      <c r="H167" s="2">
        <f>SUM(OSRRefH22_7x_0)</f>
        <v>360.9</v>
      </c>
      <c r="I167" s="2"/>
      <c r="J167" s="6">
        <f t="shared" si="29"/>
        <v>8.2299907750674173E-4</v>
      </c>
      <c r="K167" s="2"/>
      <c r="L167" s="2">
        <f t="shared" si="30"/>
        <v>1127.6300000000001</v>
      </c>
      <c r="M167" s="2"/>
      <c r="N167" s="6">
        <f t="shared" si="31"/>
        <v>3.1244943197561654</v>
      </c>
      <c r="O167" s="14"/>
      <c r="P167" s="2">
        <f>SUM(OSRRefP22_7x_0)</f>
        <v>7306.8</v>
      </c>
      <c r="Q167" s="2"/>
      <c r="R167" s="6">
        <f t="shared" si="32"/>
        <v>1.0330248434359719E-3</v>
      </c>
      <c r="S167" s="2"/>
      <c r="T167" s="2">
        <f>SUM(OSRRefT22_7x_0)</f>
        <v>360.9</v>
      </c>
      <c r="U167" s="2"/>
      <c r="V167" s="6">
        <f t="shared" si="33"/>
        <v>7.6697280534599553E-5</v>
      </c>
      <c r="W167" s="2"/>
      <c r="X167" s="2">
        <f t="shared" si="34"/>
        <v>6945.9000000000005</v>
      </c>
      <c r="Y167" s="2"/>
      <c r="Z167" s="6">
        <f t="shared" si="35"/>
        <v>19.246051537822115</v>
      </c>
    </row>
    <row r="168" spans="1:26" s="69" customFormat="1" ht="15" hidden="1" customHeight="1" outlineLevel="2" x14ac:dyDescent="0.3">
      <c r="A168" s="26"/>
      <c r="B168" s="12" t="str">
        <f>CONCATENATE("          ","6399"," - ","DONATION-ON CAMPUS")</f>
        <v xml:space="preserve">          6399 - DONATION-ON CAMPUS</v>
      </c>
      <c r="C168" s="12"/>
      <c r="D168" s="8">
        <v>1488.53</v>
      </c>
      <c r="E168" s="3"/>
      <c r="F168" s="7">
        <f t="shared" si="28"/>
        <v>1.5236730620748374E-3</v>
      </c>
      <c r="G168" s="3"/>
      <c r="H168" s="8">
        <v>360.9</v>
      </c>
      <c r="I168" s="3"/>
      <c r="J168" s="7">
        <f t="shared" si="29"/>
        <v>8.2299907750674173E-4</v>
      </c>
      <c r="K168" s="3"/>
      <c r="L168" s="8">
        <f t="shared" si="30"/>
        <v>1127.6300000000001</v>
      </c>
      <c r="M168" s="3"/>
      <c r="N168" s="7">
        <f t="shared" si="31"/>
        <v>3.1244943197561654</v>
      </c>
      <c r="O168" s="12"/>
      <c r="P168" s="8">
        <v>7306.8</v>
      </c>
      <c r="Q168" s="3"/>
      <c r="R168" s="7">
        <f t="shared" si="32"/>
        <v>1.0330248434359719E-3</v>
      </c>
      <c r="S168" s="3"/>
      <c r="T168" s="8">
        <v>360.9</v>
      </c>
      <c r="U168" s="3"/>
      <c r="V168" s="7">
        <f t="shared" si="33"/>
        <v>7.6697280534599553E-5</v>
      </c>
      <c r="W168" s="3"/>
      <c r="X168" s="8">
        <f t="shared" si="34"/>
        <v>6945.9000000000005</v>
      </c>
      <c r="Y168" s="3"/>
      <c r="Z168" s="7">
        <f t="shared" si="35"/>
        <v>19.246051537822115</v>
      </c>
    </row>
    <row r="169" spans="1:26" s="68" customFormat="1" ht="15" customHeight="1" outlineLevel="1" collapsed="1" x14ac:dyDescent="0.3">
      <c r="A169" s="25"/>
      <c r="B169" s="14" t="str">
        <f>CONCATENATE("     ","Employees' Appreciation                           ")</f>
        <v xml:space="preserve">     Employees' Appreciation                           </v>
      </c>
      <c r="C169" s="14"/>
      <c r="D169" s="2">
        <f>SUM(OSRRefD22_8x_0)</f>
        <v>0</v>
      </c>
      <c r="E169" s="2"/>
      <c r="F169" s="6">
        <f t="shared" si="28"/>
        <v>0</v>
      </c>
      <c r="G169" s="2"/>
      <c r="H169" s="2">
        <f>SUM(OSRRefH22_8x_0)</f>
        <v>0</v>
      </c>
      <c r="I169" s="2"/>
      <c r="J169" s="6">
        <f t="shared" si="29"/>
        <v>0</v>
      </c>
      <c r="K169" s="2"/>
      <c r="L169" s="2">
        <f t="shared" si="30"/>
        <v>0</v>
      </c>
      <c r="M169" s="2"/>
      <c r="N169" s="6">
        <f t="shared" si="31"/>
        <v>0</v>
      </c>
      <c r="O169" s="14"/>
      <c r="P169" s="2">
        <f>SUM(OSRRefP22_8x_0)</f>
        <v>4319.88</v>
      </c>
      <c r="Q169" s="2"/>
      <c r="R169" s="6">
        <f t="shared" si="32"/>
        <v>6.1073840267452046E-4</v>
      </c>
      <c r="S169" s="2"/>
      <c r="T169" s="2">
        <f>SUM(OSRRefT22_8x_0)</f>
        <v>186.03</v>
      </c>
      <c r="U169" s="2"/>
      <c r="V169" s="6">
        <f t="shared" si="33"/>
        <v>3.9534483507485607E-5</v>
      </c>
      <c r="W169" s="2"/>
      <c r="X169" s="2">
        <f t="shared" si="34"/>
        <v>4133.8500000000004</v>
      </c>
      <c r="Y169" s="2"/>
      <c r="Z169" s="6">
        <f t="shared" si="35"/>
        <v>22.221415900661185</v>
      </c>
    </row>
    <row r="170" spans="1:26" s="69" customFormat="1" ht="15" hidden="1" customHeight="1" outlineLevel="2" x14ac:dyDescent="0.3">
      <c r="A170" s="26"/>
      <c r="B170" s="12" t="str">
        <f>CONCATENATE("          ","6277"," - ","EMPLOYEE APPRECIATION")</f>
        <v xml:space="preserve">          6277 - EMPLOYEE APPRECIATION</v>
      </c>
      <c r="C170" s="12"/>
      <c r="D170" s="8"/>
      <c r="E170" s="3"/>
      <c r="F170" s="7">
        <f t="shared" si="28"/>
        <v>0</v>
      </c>
      <c r="G170" s="3"/>
      <c r="H170" s="8"/>
      <c r="I170" s="3"/>
      <c r="J170" s="7">
        <f t="shared" si="29"/>
        <v>0</v>
      </c>
      <c r="K170" s="3"/>
      <c r="L170" s="8">
        <f t="shared" si="30"/>
        <v>0</v>
      </c>
      <c r="M170" s="3"/>
      <c r="N170" s="7">
        <f t="shared" si="31"/>
        <v>0</v>
      </c>
      <c r="O170" s="12"/>
      <c r="P170" s="8">
        <v>4319.88</v>
      </c>
      <c r="Q170" s="3"/>
      <c r="R170" s="7">
        <f t="shared" si="32"/>
        <v>6.1073840267452046E-4</v>
      </c>
      <c r="S170" s="3"/>
      <c r="T170" s="8">
        <v>186.03</v>
      </c>
      <c r="U170" s="3"/>
      <c r="V170" s="7">
        <f t="shared" si="33"/>
        <v>3.9534483507485607E-5</v>
      </c>
      <c r="W170" s="3"/>
      <c r="X170" s="8">
        <f t="shared" si="34"/>
        <v>4133.8500000000004</v>
      </c>
      <c r="Y170" s="3"/>
      <c r="Z170" s="7">
        <f t="shared" si="35"/>
        <v>22.221415900661185</v>
      </c>
    </row>
    <row r="171" spans="1:26" s="68" customFormat="1" ht="15" customHeight="1" outlineLevel="1" collapsed="1" x14ac:dyDescent="0.3">
      <c r="A171" s="25"/>
      <c r="B171" s="14" t="str">
        <f>CONCATENATE("     ","Equipment Rental                                  ")</f>
        <v xml:space="preserve">     Equipment Rental                                  </v>
      </c>
      <c r="C171" s="14"/>
      <c r="D171" s="2">
        <f>SUM(OSRRefD22_9x_0)</f>
        <v>1388.16</v>
      </c>
      <c r="E171" s="2"/>
      <c r="F171" s="6">
        <f t="shared" si="28"/>
        <v>1.4209334026521511E-3</v>
      </c>
      <c r="G171" s="2"/>
      <c r="H171" s="2">
        <f>SUM(OSRRefH22_9x_0)</f>
        <v>1564.56</v>
      </c>
      <c r="I171" s="2"/>
      <c r="J171" s="6">
        <f t="shared" si="29"/>
        <v>3.5678344048322192E-3</v>
      </c>
      <c r="K171" s="2"/>
      <c r="L171" s="2">
        <f t="shared" si="30"/>
        <v>-176.39999999999986</v>
      </c>
      <c r="M171" s="2"/>
      <c r="N171" s="6">
        <f t="shared" si="31"/>
        <v>-0.11274735388863315</v>
      </c>
      <c r="O171" s="14"/>
      <c r="P171" s="2">
        <f>SUM(OSRRefP22_9x_0)</f>
        <v>15828.31</v>
      </c>
      <c r="Q171" s="2"/>
      <c r="R171" s="6">
        <f t="shared" si="32"/>
        <v>2.2377836343688107E-3</v>
      </c>
      <c r="S171" s="2"/>
      <c r="T171" s="2">
        <f>SUM(OSRRefT22_9x_0)</f>
        <v>15451.52</v>
      </c>
      <c r="U171" s="2"/>
      <c r="V171" s="6">
        <f t="shared" si="33"/>
        <v>3.2837061904294148E-3</v>
      </c>
      <c r="W171" s="2"/>
      <c r="X171" s="2">
        <f t="shared" si="34"/>
        <v>376.78999999999905</v>
      </c>
      <c r="Y171" s="2"/>
      <c r="Z171" s="6">
        <f t="shared" si="35"/>
        <v>2.4385303193472166E-2</v>
      </c>
    </row>
    <row r="172" spans="1:26" s="69" customFormat="1" ht="15" hidden="1" customHeight="1" outlineLevel="2" x14ac:dyDescent="0.3">
      <c r="A172" s="26"/>
      <c r="B172" s="12" t="str">
        <f>CONCATENATE("          ","6351"," - ","EQUIPMENT RENTAL")</f>
        <v xml:space="preserve">          6351 - EQUIPMENT RENTAL</v>
      </c>
      <c r="C172" s="12"/>
      <c r="D172" s="8">
        <v>1388.16</v>
      </c>
      <c r="E172" s="3"/>
      <c r="F172" s="7">
        <f t="shared" si="28"/>
        <v>1.4209334026521511E-3</v>
      </c>
      <c r="G172" s="3"/>
      <c r="H172" s="8">
        <v>1564.56</v>
      </c>
      <c r="I172" s="3"/>
      <c r="J172" s="7">
        <f t="shared" si="29"/>
        <v>3.5678344048322192E-3</v>
      </c>
      <c r="K172" s="3"/>
      <c r="L172" s="8">
        <f t="shared" si="30"/>
        <v>-176.39999999999986</v>
      </c>
      <c r="M172" s="3"/>
      <c r="N172" s="7">
        <f t="shared" si="31"/>
        <v>-0.11274735388863315</v>
      </c>
      <c r="O172" s="12"/>
      <c r="P172" s="8">
        <v>15828.31</v>
      </c>
      <c r="Q172" s="3"/>
      <c r="R172" s="7">
        <f t="shared" si="32"/>
        <v>2.2377836343688107E-3</v>
      </c>
      <c r="S172" s="3"/>
      <c r="T172" s="8">
        <v>15451.52</v>
      </c>
      <c r="U172" s="3"/>
      <c r="V172" s="7">
        <f t="shared" si="33"/>
        <v>3.2837061904294148E-3</v>
      </c>
      <c r="W172" s="3"/>
      <c r="X172" s="8">
        <f t="shared" si="34"/>
        <v>376.78999999999905</v>
      </c>
      <c r="Y172" s="3"/>
      <c r="Z172" s="7">
        <f t="shared" si="35"/>
        <v>2.4385303193472166E-2</v>
      </c>
    </row>
    <row r="173" spans="1:26" s="68" customFormat="1" ht="15" customHeight="1" outlineLevel="1" collapsed="1" x14ac:dyDescent="0.3">
      <c r="A173" s="25"/>
      <c r="B173" s="14" t="str">
        <f>CONCATENATE("     ","Freight out/Postage                               ")</f>
        <v xml:space="preserve">     Freight out/Postage                               </v>
      </c>
      <c r="C173" s="14"/>
      <c r="D173" s="2">
        <f>SUM(OSRRefD22_10x_0)</f>
        <v>750.14999999999964</v>
      </c>
      <c r="E173" s="2"/>
      <c r="F173" s="6">
        <f t="shared" si="28"/>
        <v>7.678604714150462E-4</v>
      </c>
      <c r="G173" s="2"/>
      <c r="H173" s="2">
        <f>SUM(OSRRefH22_10x_0)</f>
        <v>-12484.620000000003</v>
      </c>
      <c r="I173" s="2"/>
      <c r="J173" s="6">
        <f t="shared" si="29"/>
        <v>-2.8470021454758163E-2</v>
      </c>
      <c r="K173" s="2"/>
      <c r="L173" s="2">
        <f t="shared" si="30"/>
        <v>13234.770000000002</v>
      </c>
      <c r="M173" s="2"/>
      <c r="N173" s="6">
        <f t="shared" si="31"/>
        <v>-1.0600859297279372</v>
      </c>
      <c r="O173" s="14"/>
      <c r="P173" s="2">
        <f>SUM(OSRRefP22_10x_0)</f>
        <v>-43978.59</v>
      </c>
      <c r="Q173" s="2"/>
      <c r="R173" s="6">
        <f t="shared" si="32"/>
        <v>-6.2176296120442318E-3</v>
      </c>
      <c r="S173" s="2"/>
      <c r="T173" s="2">
        <f>SUM(OSRRefT22_10x_0)</f>
        <v>-46741.450000000012</v>
      </c>
      <c r="U173" s="2"/>
      <c r="V173" s="6">
        <f t="shared" si="33"/>
        <v>-9.9333391611082268E-3</v>
      </c>
      <c r="W173" s="2"/>
      <c r="X173" s="2">
        <f t="shared" si="34"/>
        <v>2762.8600000000151</v>
      </c>
      <c r="Y173" s="2"/>
      <c r="Z173" s="6">
        <f t="shared" si="35"/>
        <v>-5.9109420011574619E-2</v>
      </c>
    </row>
    <row r="174" spans="1:26" s="69" customFormat="1" ht="15" hidden="1" customHeight="1" outlineLevel="2" x14ac:dyDescent="0.3">
      <c r="A174" s="26"/>
      <c r="B174" s="12" t="str">
        <f>CONCATENATE("          ","6305"," - ","FREIGHT OUT")</f>
        <v xml:space="preserve">          6305 - FREIGHT OUT</v>
      </c>
      <c r="C174" s="12"/>
      <c r="D174" s="8">
        <v>14219.32</v>
      </c>
      <c r="E174" s="3"/>
      <c r="F174" s="7">
        <f t="shared" si="28"/>
        <v>1.4555027339067387E-2</v>
      </c>
      <c r="G174" s="3"/>
      <c r="H174" s="8">
        <v>22697.32</v>
      </c>
      <c r="I174" s="3"/>
      <c r="J174" s="7">
        <f t="shared" si="29"/>
        <v>5.1759139434400997E-2</v>
      </c>
      <c r="K174" s="3"/>
      <c r="L174" s="8">
        <f t="shared" si="30"/>
        <v>-8478</v>
      </c>
      <c r="M174" s="3"/>
      <c r="N174" s="7">
        <f t="shared" si="31"/>
        <v>-0.37352427511265646</v>
      </c>
      <c r="O174" s="12"/>
      <c r="P174" s="8">
        <v>126337.18</v>
      </c>
      <c r="Q174" s="3"/>
      <c r="R174" s="7">
        <f t="shared" si="32"/>
        <v>1.7861368258285732E-2</v>
      </c>
      <c r="S174" s="3"/>
      <c r="T174" s="8">
        <v>202180.93</v>
      </c>
      <c r="U174" s="3"/>
      <c r="V174" s="7">
        <f t="shared" si="33"/>
        <v>4.2966826009853798E-2</v>
      </c>
      <c r="W174" s="3"/>
      <c r="X174" s="8">
        <f t="shared" si="34"/>
        <v>-75843.75</v>
      </c>
      <c r="Y174" s="3"/>
      <c r="Z174" s="7">
        <f t="shared" si="35"/>
        <v>-0.37512810926332174</v>
      </c>
    </row>
    <row r="175" spans="1:26" s="69" customFormat="1" ht="15" hidden="1" customHeight="1" outlineLevel="2" x14ac:dyDescent="0.3">
      <c r="A175" s="26"/>
      <c r="B175" s="12" t="str">
        <f>CONCATENATE("          ","6307"," - ","POSTAGE")</f>
        <v xml:space="preserve">          6307 - POSTAGE</v>
      </c>
      <c r="C175" s="12"/>
      <c r="D175" s="8">
        <v>-13469.17</v>
      </c>
      <c r="E175" s="3"/>
      <c r="F175" s="7">
        <f t="shared" si="28"/>
        <v>-1.3787166867652341E-2</v>
      </c>
      <c r="G175" s="3"/>
      <c r="H175" s="8">
        <v>-35181.94</v>
      </c>
      <c r="I175" s="3"/>
      <c r="J175" s="7">
        <f t="shared" si="29"/>
        <v>-8.0229160889159157E-2</v>
      </c>
      <c r="K175" s="3"/>
      <c r="L175" s="8">
        <f t="shared" si="30"/>
        <v>21712.770000000004</v>
      </c>
      <c r="M175" s="3"/>
      <c r="N175" s="7">
        <f t="shared" si="31"/>
        <v>-0.6171567002842937</v>
      </c>
      <c r="O175" s="12"/>
      <c r="P175" s="8">
        <v>-170315.77</v>
      </c>
      <c r="Q175" s="3"/>
      <c r="R175" s="7">
        <f t="shared" si="32"/>
        <v>-2.4078997870329962E-2</v>
      </c>
      <c r="S175" s="3"/>
      <c r="T175" s="8">
        <v>-248922.38</v>
      </c>
      <c r="U175" s="3"/>
      <c r="V175" s="7">
        <f t="shared" si="33"/>
        <v>-5.2900165170962021E-2</v>
      </c>
      <c r="W175" s="3"/>
      <c r="X175" s="8">
        <f t="shared" si="34"/>
        <v>78606.610000000015</v>
      </c>
      <c r="Y175" s="3"/>
      <c r="Z175" s="7">
        <f t="shared" si="35"/>
        <v>-0.31578763629047746</v>
      </c>
    </row>
    <row r="176" spans="1:26" s="68" customFormat="1" ht="15" customHeight="1" outlineLevel="1" collapsed="1" x14ac:dyDescent="0.3">
      <c r="A176" s="25"/>
      <c r="B176" s="14" t="str">
        <f>CONCATENATE("     ","General                                           ")</f>
        <v xml:space="preserve">     General                                           </v>
      </c>
      <c r="C176" s="14"/>
      <c r="D176" s="2">
        <f>SUM(OSRRefD22_11x_0)</f>
        <v>493.61</v>
      </c>
      <c r="E176" s="2"/>
      <c r="F176" s="6">
        <f t="shared" si="28"/>
        <v>5.0526375697551313E-4</v>
      </c>
      <c r="G176" s="2"/>
      <c r="H176" s="2">
        <f>SUM(OSRRefH22_11x_0)</f>
        <v>213.84</v>
      </c>
      <c r="I176" s="2"/>
      <c r="J176" s="6">
        <f t="shared" si="29"/>
        <v>4.876423461735707E-4</v>
      </c>
      <c r="K176" s="2"/>
      <c r="L176" s="2">
        <f t="shared" si="30"/>
        <v>279.77</v>
      </c>
      <c r="M176" s="2"/>
      <c r="N176" s="6">
        <f t="shared" si="31"/>
        <v>1.308314627759072</v>
      </c>
      <c r="O176" s="14"/>
      <c r="P176" s="2">
        <f>SUM(OSRRefP22_11x_0)</f>
        <v>10201.969999999999</v>
      </c>
      <c r="Q176" s="2"/>
      <c r="R176" s="6">
        <f t="shared" si="32"/>
        <v>1.4423398015531396E-3</v>
      </c>
      <c r="S176" s="2"/>
      <c r="T176" s="2">
        <f>SUM(OSRRefT22_11x_0)</f>
        <v>6158.49</v>
      </c>
      <c r="U176" s="2"/>
      <c r="V176" s="6">
        <f t="shared" si="33"/>
        <v>1.308782031586384E-3</v>
      </c>
      <c r="W176" s="2"/>
      <c r="X176" s="2">
        <f t="shared" si="34"/>
        <v>4043.4799999999996</v>
      </c>
      <c r="Y176" s="2"/>
      <c r="Z176" s="6">
        <f t="shared" si="35"/>
        <v>0.6565700358367067</v>
      </c>
    </row>
    <row r="177" spans="1:26" s="69" customFormat="1" ht="15" hidden="1" customHeight="1" outlineLevel="2" x14ac:dyDescent="0.3">
      <c r="A177" s="26"/>
      <c r="B177" s="12" t="str">
        <f>CONCATENATE("          ","6279"," - ","GENERAL EXPENSE")</f>
        <v xml:space="preserve">          6279 - GENERAL EXPENSE</v>
      </c>
      <c r="C177" s="12"/>
      <c r="D177" s="8">
        <v>493.61</v>
      </c>
      <c r="E177" s="3"/>
      <c r="F177" s="7">
        <f t="shared" si="28"/>
        <v>5.0526375697551313E-4</v>
      </c>
      <c r="G177" s="3"/>
      <c r="H177" s="8">
        <v>213.84</v>
      </c>
      <c r="I177" s="3"/>
      <c r="J177" s="7">
        <f t="shared" si="29"/>
        <v>4.876423461735707E-4</v>
      </c>
      <c r="K177" s="3"/>
      <c r="L177" s="8">
        <f t="shared" si="30"/>
        <v>279.77</v>
      </c>
      <c r="M177" s="3"/>
      <c r="N177" s="7">
        <f t="shared" si="31"/>
        <v>1.308314627759072</v>
      </c>
      <c r="O177" s="12"/>
      <c r="P177" s="8">
        <v>10201.969999999999</v>
      </c>
      <c r="Q177" s="3"/>
      <c r="R177" s="7">
        <f t="shared" si="32"/>
        <v>1.4423398015531396E-3</v>
      </c>
      <c r="S177" s="3"/>
      <c r="T177" s="8">
        <v>6158.49</v>
      </c>
      <c r="U177" s="3"/>
      <c r="V177" s="7">
        <f t="shared" si="33"/>
        <v>1.308782031586384E-3</v>
      </c>
      <c r="W177" s="3"/>
      <c r="X177" s="8">
        <f t="shared" si="34"/>
        <v>4043.4799999999996</v>
      </c>
      <c r="Y177" s="3"/>
      <c r="Z177" s="7">
        <f t="shared" si="35"/>
        <v>0.6565700358367067</v>
      </c>
    </row>
    <row r="178" spans="1:26" s="68" customFormat="1" ht="15" customHeight="1" outlineLevel="1" collapsed="1" x14ac:dyDescent="0.3">
      <c r="A178" s="25"/>
      <c r="B178" s="14" t="str">
        <f>CONCATENATE("     ","Insurance                                         ")</f>
        <v xml:space="preserve">     Insurance                                         </v>
      </c>
      <c r="C178" s="14"/>
      <c r="D178" s="2">
        <f>SUM(OSRRefD22_12x_0)</f>
        <v>5825.58</v>
      </c>
      <c r="E178" s="2"/>
      <c r="F178" s="6">
        <f t="shared" si="28"/>
        <v>5.9631175165847728E-3</v>
      </c>
      <c r="G178" s="2"/>
      <c r="H178" s="2">
        <f>SUM(OSRRefH22_12x_0)</f>
        <v>4288.28</v>
      </c>
      <c r="I178" s="2"/>
      <c r="J178" s="6">
        <f t="shared" si="29"/>
        <v>9.7790260019135784E-3</v>
      </c>
      <c r="K178" s="2"/>
      <c r="L178" s="2">
        <f t="shared" si="30"/>
        <v>1537.3000000000002</v>
      </c>
      <c r="M178" s="2"/>
      <c r="N178" s="6">
        <f t="shared" si="31"/>
        <v>0.35848871808743837</v>
      </c>
      <c r="O178" s="14"/>
      <c r="P178" s="2">
        <f>SUM(OSRRefP22_12x_0)</f>
        <v>58255.8</v>
      </c>
      <c r="Q178" s="2"/>
      <c r="R178" s="6">
        <f t="shared" si="32"/>
        <v>8.2361209659820023E-3</v>
      </c>
      <c r="S178" s="2"/>
      <c r="T178" s="2">
        <f>SUM(OSRRefT22_12x_0)</f>
        <v>42882.8</v>
      </c>
      <c r="U178" s="2"/>
      <c r="V178" s="6">
        <f t="shared" si="33"/>
        <v>9.1133115591829489E-3</v>
      </c>
      <c r="W178" s="2"/>
      <c r="X178" s="2">
        <f t="shared" si="34"/>
        <v>15373</v>
      </c>
      <c r="Y178" s="2"/>
      <c r="Z178" s="6">
        <f t="shared" si="35"/>
        <v>0.35848871808743832</v>
      </c>
    </row>
    <row r="179" spans="1:26" s="69" customFormat="1" ht="15" hidden="1" customHeight="1" outlineLevel="2" x14ac:dyDescent="0.3">
      <c r="A179" s="26"/>
      <c r="B179" s="12" t="str">
        <f>CONCATENATE("          ","6314"," - ","LIABILITY INSURANCE")</f>
        <v xml:space="preserve">          6314 - LIABILITY INSURANCE</v>
      </c>
      <c r="C179" s="12"/>
      <c r="D179" s="8">
        <v>5825.58</v>
      </c>
      <c r="E179" s="3"/>
      <c r="F179" s="7">
        <f t="shared" si="28"/>
        <v>5.9631175165847728E-3</v>
      </c>
      <c r="G179" s="3"/>
      <c r="H179" s="8">
        <v>4288.28</v>
      </c>
      <c r="I179" s="3"/>
      <c r="J179" s="7">
        <f t="shared" si="29"/>
        <v>9.7790260019135784E-3</v>
      </c>
      <c r="K179" s="3"/>
      <c r="L179" s="8">
        <f t="shared" si="30"/>
        <v>1537.3000000000002</v>
      </c>
      <c r="M179" s="3"/>
      <c r="N179" s="7">
        <f t="shared" si="31"/>
        <v>0.35848871808743837</v>
      </c>
      <c r="O179" s="12"/>
      <c r="P179" s="8">
        <v>58255.8</v>
      </c>
      <c r="Q179" s="3"/>
      <c r="R179" s="7">
        <f t="shared" si="32"/>
        <v>8.2361209659820023E-3</v>
      </c>
      <c r="S179" s="3"/>
      <c r="T179" s="8">
        <v>42882.8</v>
      </c>
      <c r="U179" s="3"/>
      <c r="V179" s="7">
        <f t="shared" si="33"/>
        <v>9.1133115591829489E-3</v>
      </c>
      <c r="W179" s="3"/>
      <c r="X179" s="8">
        <f t="shared" si="34"/>
        <v>15373</v>
      </c>
      <c r="Y179" s="3"/>
      <c r="Z179" s="7">
        <f t="shared" si="35"/>
        <v>0.35848871808743832</v>
      </c>
    </row>
    <row r="180" spans="1:26" s="68" customFormat="1" ht="15" customHeight="1" outlineLevel="1" collapsed="1" x14ac:dyDescent="0.3">
      <c r="A180" s="25"/>
      <c r="B180" s="14" t="str">
        <f>CONCATENATE("     ","Interest                                          ")</f>
        <v xml:space="preserve">     Interest                                          </v>
      </c>
      <c r="C180" s="14"/>
      <c r="D180" s="2">
        <f>SUM(OSRRefD22_13x_0)</f>
        <v>3031</v>
      </c>
      <c r="E180" s="2"/>
      <c r="F180" s="6">
        <f t="shared" si="28"/>
        <v>3.1025596065573633E-3</v>
      </c>
      <c r="G180" s="2"/>
      <c r="H180" s="2">
        <f>SUM(OSRRefH22_13x_0)</f>
        <v>3213</v>
      </c>
      <c r="I180" s="2"/>
      <c r="J180" s="6">
        <f t="shared" si="29"/>
        <v>7.3269493932645088E-3</v>
      </c>
      <c r="K180" s="2"/>
      <c r="L180" s="2">
        <f t="shared" si="30"/>
        <v>-182</v>
      </c>
      <c r="M180" s="2"/>
      <c r="N180" s="6">
        <f t="shared" si="31"/>
        <v>-5.6644880174291937E-2</v>
      </c>
      <c r="O180" s="14"/>
      <c r="P180" s="2">
        <f>SUM(OSRRefP22_13x_0)</f>
        <v>37900</v>
      </c>
      <c r="Q180" s="2"/>
      <c r="R180" s="6">
        <f t="shared" si="32"/>
        <v>5.3582473266304441E-3</v>
      </c>
      <c r="S180" s="2"/>
      <c r="T180" s="2">
        <f>SUM(OSRRefT22_13x_0)</f>
        <v>39346.85</v>
      </c>
      <c r="U180" s="2"/>
      <c r="V180" s="6">
        <f t="shared" si="33"/>
        <v>8.3618630994813196E-3</v>
      </c>
      <c r="W180" s="2"/>
      <c r="X180" s="2">
        <f t="shared" si="34"/>
        <v>-1446.8499999999985</v>
      </c>
      <c r="Y180" s="2"/>
      <c r="Z180" s="6">
        <f t="shared" si="35"/>
        <v>-3.6771685662257553E-2</v>
      </c>
    </row>
    <row r="181" spans="1:26" s="69" customFormat="1" ht="15" hidden="1" customHeight="1" outlineLevel="2" x14ac:dyDescent="0.3">
      <c r="A181" s="26"/>
      <c r="B181" s="12" t="str">
        <f>CONCATENATE("          ","6401"," - ","INTEREST EXPENSE")</f>
        <v xml:space="preserve">          6401 - INTEREST EXPENSE</v>
      </c>
      <c r="C181" s="12"/>
      <c r="D181" s="8">
        <v>3031</v>
      </c>
      <c r="E181" s="3"/>
      <c r="F181" s="7">
        <f t="shared" si="28"/>
        <v>3.1025596065573633E-3</v>
      </c>
      <c r="G181" s="3"/>
      <c r="H181" s="8">
        <v>3213</v>
      </c>
      <c r="I181" s="3"/>
      <c r="J181" s="7">
        <f t="shared" si="29"/>
        <v>7.3269493932645088E-3</v>
      </c>
      <c r="K181" s="3"/>
      <c r="L181" s="8">
        <f t="shared" si="30"/>
        <v>-182</v>
      </c>
      <c r="M181" s="3"/>
      <c r="N181" s="7">
        <f t="shared" si="31"/>
        <v>-5.6644880174291937E-2</v>
      </c>
      <c r="O181" s="12"/>
      <c r="P181" s="8">
        <v>37900</v>
      </c>
      <c r="Q181" s="3"/>
      <c r="R181" s="7">
        <f t="shared" si="32"/>
        <v>5.3582473266304441E-3</v>
      </c>
      <c r="S181" s="3"/>
      <c r="T181" s="8">
        <v>39346.85</v>
      </c>
      <c r="U181" s="3"/>
      <c r="V181" s="7">
        <f t="shared" si="33"/>
        <v>8.3618630994813196E-3</v>
      </c>
      <c r="W181" s="3"/>
      <c r="X181" s="8">
        <f t="shared" si="34"/>
        <v>-1446.8499999999985</v>
      </c>
      <c r="Y181" s="3"/>
      <c r="Z181" s="7">
        <f t="shared" si="35"/>
        <v>-3.6771685662257553E-2</v>
      </c>
    </row>
    <row r="182" spans="1:26" s="68" customFormat="1" ht="15" customHeight="1" outlineLevel="1" collapsed="1" x14ac:dyDescent="0.3">
      <c r="A182" s="25"/>
      <c r="B182" s="14" t="str">
        <f>CONCATENATE("     ","Inventory Adjustment                              ")</f>
        <v xml:space="preserve">     Inventory Adjustment                              </v>
      </c>
      <c r="C182" s="14"/>
      <c r="D182" s="2">
        <f>SUM(OSRRefD22_14x_0)</f>
        <v>5100</v>
      </c>
      <c r="E182" s="2"/>
      <c r="F182" s="6">
        <f t="shared" si="28"/>
        <v>5.2204071241974776E-3</v>
      </c>
      <c r="G182" s="2"/>
      <c r="H182" s="2">
        <f>SUM(OSRRefH22_14x_0)</f>
        <v>2100</v>
      </c>
      <c r="I182" s="2"/>
      <c r="J182" s="6">
        <f t="shared" si="29"/>
        <v>4.7888558125911826E-3</v>
      </c>
      <c r="K182" s="2"/>
      <c r="L182" s="2">
        <f t="shared" si="30"/>
        <v>3000</v>
      </c>
      <c r="M182" s="2"/>
      <c r="N182" s="6">
        <f t="shared" si="31"/>
        <v>1.4285714285714286</v>
      </c>
      <c r="O182" s="14"/>
      <c r="P182" s="2">
        <f>SUM(OSRRefP22_14x_0)</f>
        <v>55000</v>
      </c>
      <c r="Q182" s="2"/>
      <c r="R182" s="6">
        <f t="shared" si="32"/>
        <v>7.7758206586985342E-3</v>
      </c>
      <c r="S182" s="2"/>
      <c r="T182" s="2">
        <f>SUM(OSRRefT22_14x_0)</f>
        <v>26000</v>
      </c>
      <c r="U182" s="2"/>
      <c r="V182" s="6">
        <f t="shared" si="33"/>
        <v>5.5254344524787707E-3</v>
      </c>
      <c r="W182" s="2"/>
      <c r="X182" s="2">
        <f t="shared" si="34"/>
        <v>29000</v>
      </c>
      <c r="Y182" s="2"/>
      <c r="Z182" s="6">
        <f t="shared" si="35"/>
        <v>1.1153846153846154</v>
      </c>
    </row>
    <row r="183" spans="1:26" s="69" customFormat="1" ht="15" hidden="1" customHeight="1" outlineLevel="2" x14ac:dyDescent="0.3">
      <c r="A183" s="26"/>
      <c r="B183" s="12" t="str">
        <f>CONCATENATE("          ","6408"," - ","INVENTORY ADJUSTMENT")</f>
        <v xml:space="preserve">          6408 - INVENTORY ADJUSTMENT</v>
      </c>
      <c r="C183" s="12"/>
      <c r="D183" s="8">
        <v>5100</v>
      </c>
      <c r="E183" s="3"/>
      <c r="F183" s="7">
        <f t="shared" si="28"/>
        <v>5.2204071241974776E-3</v>
      </c>
      <c r="G183" s="3"/>
      <c r="H183" s="8">
        <v>2100</v>
      </c>
      <c r="I183" s="3"/>
      <c r="J183" s="7">
        <f t="shared" si="29"/>
        <v>4.7888558125911826E-3</v>
      </c>
      <c r="K183" s="3"/>
      <c r="L183" s="8">
        <f t="shared" si="30"/>
        <v>3000</v>
      </c>
      <c r="M183" s="3"/>
      <c r="N183" s="7">
        <f t="shared" si="31"/>
        <v>1.4285714285714286</v>
      </c>
      <c r="O183" s="12"/>
      <c r="P183" s="8">
        <v>55000</v>
      </c>
      <c r="Q183" s="3"/>
      <c r="R183" s="7">
        <f t="shared" si="32"/>
        <v>7.7758206586985342E-3</v>
      </c>
      <c r="S183" s="3"/>
      <c r="T183" s="8">
        <v>26000</v>
      </c>
      <c r="U183" s="3"/>
      <c r="V183" s="7">
        <f t="shared" si="33"/>
        <v>5.5254344524787707E-3</v>
      </c>
      <c r="W183" s="3"/>
      <c r="X183" s="8">
        <f t="shared" si="34"/>
        <v>29000</v>
      </c>
      <c r="Y183" s="3"/>
      <c r="Z183" s="7">
        <f t="shared" si="35"/>
        <v>1.1153846153846154</v>
      </c>
    </row>
    <row r="184" spans="1:26" s="69" customFormat="1" ht="15" hidden="1" customHeight="1" outlineLevel="2" x14ac:dyDescent="0.3">
      <c r="A184" s="26"/>
      <c r="B184" s="12" t="str">
        <f>CONCATENATE("          ","7741"," - ","INV. SHRINKAGE-LOGO GIFTS")</f>
        <v xml:space="preserve">          7741 - INV. SHRINKAGE-LOGO GIFTS</v>
      </c>
      <c r="C184" s="12"/>
      <c r="D184" s="8"/>
      <c r="E184" s="3"/>
      <c r="F184" s="7">
        <f t="shared" si="28"/>
        <v>0</v>
      </c>
      <c r="G184" s="3"/>
      <c r="H184" s="8"/>
      <c r="I184" s="3"/>
      <c r="J184" s="7">
        <f t="shared" si="29"/>
        <v>0</v>
      </c>
      <c r="K184" s="3"/>
      <c r="L184" s="8">
        <f t="shared" si="30"/>
        <v>0</v>
      </c>
      <c r="M184" s="3"/>
      <c r="N184" s="7">
        <f t="shared" si="31"/>
        <v>0</v>
      </c>
      <c r="O184" s="12"/>
      <c r="P184" s="8"/>
      <c r="Q184" s="3"/>
      <c r="R184" s="7">
        <f t="shared" si="32"/>
        <v>0</v>
      </c>
      <c r="S184" s="3"/>
      <c r="T184" s="8">
        <v>0</v>
      </c>
      <c r="U184" s="3"/>
      <c r="V184" s="7">
        <f t="shared" si="33"/>
        <v>0</v>
      </c>
      <c r="W184" s="3"/>
      <c r="X184" s="8">
        <f t="shared" si="34"/>
        <v>0</v>
      </c>
      <c r="Y184" s="3"/>
      <c r="Z184" s="7">
        <f t="shared" si="35"/>
        <v>0</v>
      </c>
    </row>
    <row r="185" spans="1:26" s="68" customFormat="1" ht="15" customHeight="1" outlineLevel="1" collapsed="1" x14ac:dyDescent="0.3">
      <c r="A185" s="25"/>
      <c r="B185" s="14" t="str">
        <f>CONCATENATE("     ","Professional Services                             ")</f>
        <v xml:space="preserve">     Professional Services                             </v>
      </c>
      <c r="C185" s="14"/>
      <c r="D185" s="2">
        <f>SUM(OSRRefD22_15x_0)</f>
        <v>0</v>
      </c>
      <c r="E185" s="2"/>
      <c r="F185" s="6">
        <f t="shared" si="28"/>
        <v>0</v>
      </c>
      <c r="G185" s="2"/>
      <c r="H185" s="2">
        <f>SUM(OSRRefH22_15x_0)</f>
        <v>0</v>
      </c>
      <c r="I185" s="2"/>
      <c r="J185" s="6">
        <f t="shared" si="29"/>
        <v>0</v>
      </c>
      <c r="K185" s="2"/>
      <c r="L185" s="2">
        <f t="shared" si="30"/>
        <v>0</v>
      </c>
      <c r="M185" s="2"/>
      <c r="N185" s="6">
        <f t="shared" si="31"/>
        <v>0</v>
      </c>
      <c r="O185" s="14"/>
      <c r="P185" s="2">
        <f>SUM(OSRRefP22_15x_0)</f>
        <v>9626.5300000000007</v>
      </c>
      <c r="Q185" s="2"/>
      <c r="R185" s="6">
        <f t="shared" si="32"/>
        <v>1.3609849244651127E-3</v>
      </c>
      <c r="S185" s="2"/>
      <c r="T185" s="2">
        <f>SUM(OSRRefT22_15x_0)</f>
        <v>0</v>
      </c>
      <c r="U185" s="2"/>
      <c r="V185" s="6">
        <f t="shared" si="33"/>
        <v>0</v>
      </c>
      <c r="W185" s="2"/>
      <c r="X185" s="2">
        <f t="shared" si="34"/>
        <v>9626.5300000000007</v>
      </c>
      <c r="Y185" s="2"/>
      <c r="Z185" s="6">
        <f t="shared" si="35"/>
        <v>0</v>
      </c>
    </row>
    <row r="186" spans="1:26" s="69" customFormat="1" ht="15" hidden="1" customHeight="1" outlineLevel="2" x14ac:dyDescent="0.3">
      <c r="A186" s="26"/>
      <c r="B186" s="12" t="str">
        <f>CONCATENATE("          ","6336"," - ","PROFESSIONAL SERVICES")</f>
        <v xml:space="preserve">          6336 - PROFESSIONAL SERVICES</v>
      </c>
      <c r="C186" s="12"/>
      <c r="D186" s="8"/>
      <c r="E186" s="3"/>
      <c r="F186" s="7">
        <f t="shared" si="28"/>
        <v>0</v>
      </c>
      <c r="G186" s="3"/>
      <c r="H186" s="8"/>
      <c r="I186" s="3"/>
      <c r="J186" s="7">
        <f t="shared" si="29"/>
        <v>0</v>
      </c>
      <c r="K186" s="3"/>
      <c r="L186" s="8">
        <f t="shared" si="30"/>
        <v>0</v>
      </c>
      <c r="M186" s="3"/>
      <c r="N186" s="7">
        <f t="shared" si="31"/>
        <v>0</v>
      </c>
      <c r="O186" s="12"/>
      <c r="P186" s="8">
        <v>9626.5300000000007</v>
      </c>
      <c r="Q186" s="3"/>
      <c r="R186" s="7">
        <f t="shared" si="32"/>
        <v>1.3609849244651127E-3</v>
      </c>
      <c r="S186" s="3"/>
      <c r="T186" s="8"/>
      <c r="U186" s="3"/>
      <c r="V186" s="7">
        <f t="shared" si="33"/>
        <v>0</v>
      </c>
      <c r="W186" s="3"/>
      <c r="X186" s="8">
        <f t="shared" si="34"/>
        <v>9626.5300000000007</v>
      </c>
      <c r="Y186" s="3"/>
      <c r="Z186" s="7">
        <f t="shared" si="35"/>
        <v>0</v>
      </c>
    </row>
    <row r="187" spans="1:26" s="68" customFormat="1" ht="15" customHeight="1" outlineLevel="1" collapsed="1" x14ac:dyDescent="0.3">
      <c r="A187" s="25"/>
      <c r="B187" s="14" t="str">
        <f>CONCATENATE("     ","Rent                                              ")</f>
        <v xml:space="preserve">     Rent                                              </v>
      </c>
      <c r="C187" s="14"/>
      <c r="D187" s="2">
        <f>SUM(OSRRefD22_16x_0)</f>
        <v>6100</v>
      </c>
      <c r="E187" s="2"/>
      <c r="F187" s="6">
        <f t="shared" si="28"/>
        <v>6.2440163642361983E-3</v>
      </c>
      <c r="G187" s="2"/>
      <c r="H187" s="2">
        <f>SUM(OSRRefH22_16x_0)</f>
        <v>6100</v>
      </c>
      <c r="I187" s="2"/>
      <c r="J187" s="6">
        <f t="shared" si="29"/>
        <v>1.3910485931812482E-2</v>
      </c>
      <c r="K187" s="2"/>
      <c r="L187" s="2">
        <f t="shared" si="30"/>
        <v>0</v>
      </c>
      <c r="M187" s="2"/>
      <c r="N187" s="6">
        <f t="shared" si="31"/>
        <v>0</v>
      </c>
      <c r="O187" s="14"/>
      <c r="P187" s="2">
        <f>SUM(OSRRefP22_16x_0)</f>
        <v>61000</v>
      </c>
      <c r="Q187" s="2"/>
      <c r="R187" s="6">
        <f t="shared" si="32"/>
        <v>8.6240920032838279E-3</v>
      </c>
      <c r="S187" s="2"/>
      <c r="T187" s="2">
        <f>SUM(OSRRefT22_16x_0)</f>
        <v>61000</v>
      </c>
      <c r="U187" s="2"/>
      <c r="V187" s="6">
        <f t="shared" si="33"/>
        <v>1.296351929235404E-2</v>
      </c>
      <c r="W187" s="2"/>
      <c r="X187" s="2">
        <f t="shared" si="34"/>
        <v>0</v>
      </c>
      <c r="Y187" s="2"/>
      <c r="Z187" s="6">
        <f t="shared" si="35"/>
        <v>0</v>
      </c>
    </row>
    <row r="188" spans="1:26" s="69" customFormat="1" ht="15" hidden="1" customHeight="1" outlineLevel="2" x14ac:dyDescent="0.3">
      <c r="A188" s="26"/>
      <c r="B188" s="12" t="str">
        <f>CONCATENATE("          ","6273"," - ","RENT")</f>
        <v xml:space="preserve">          6273 - RENT</v>
      </c>
      <c r="C188" s="12"/>
      <c r="D188" s="8">
        <v>6100</v>
      </c>
      <c r="E188" s="3"/>
      <c r="F188" s="7">
        <f t="shared" si="28"/>
        <v>6.2440163642361983E-3</v>
      </c>
      <c r="G188" s="3"/>
      <c r="H188" s="8">
        <v>6100</v>
      </c>
      <c r="I188" s="3"/>
      <c r="J188" s="7">
        <f t="shared" si="29"/>
        <v>1.3910485931812482E-2</v>
      </c>
      <c r="K188" s="3"/>
      <c r="L188" s="8">
        <f t="shared" si="30"/>
        <v>0</v>
      </c>
      <c r="M188" s="3"/>
      <c r="N188" s="7">
        <f t="shared" si="31"/>
        <v>0</v>
      </c>
      <c r="O188" s="12"/>
      <c r="P188" s="8">
        <v>61000</v>
      </c>
      <c r="Q188" s="3"/>
      <c r="R188" s="7">
        <f t="shared" si="32"/>
        <v>8.6240920032838279E-3</v>
      </c>
      <c r="S188" s="3"/>
      <c r="T188" s="8">
        <v>61000</v>
      </c>
      <c r="U188" s="3"/>
      <c r="V188" s="7">
        <f t="shared" si="33"/>
        <v>1.296351929235404E-2</v>
      </c>
      <c r="W188" s="3"/>
      <c r="X188" s="8">
        <f t="shared" si="34"/>
        <v>0</v>
      </c>
      <c r="Y188" s="3"/>
      <c r="Z188" s="7">
        <f t="shared" si="35"/>
        <v>0</v>
      </c>
    </row>
    <row r="189" spans="1:26" s="68" customFormat="1" ht="15" customHeight="1" outlineLevel="1" collapsed="1" x14ac:dyDescent="0.3">
      <c r="A189" s="25"/>
      <c r="B189" s="14" t="str">
        <f>CONCATENATE("     ","Repair and Maintenance                            ")</f>
        <v xml:space="preserve">     Repair and Maintenance                            </v>
      </c>
      <c r="C189" s="14"/>
      <c r="D189" s="2">
        <f>SUM(OSRRefD22_17x_0)</f>
        <v>6655.6500000000005</v>
      </c>
      <c r="E189" s="2"/>
      <c r="F189" s="6">
        <f t="shared" si="28"/>
        <v>6.8127848384637139E-3</v>
      </c>
      <c r="G189" s="2"/>
      <c r="H189" s="2">
        <f>SUM(OSRRefH22_17x_0)</f>
        <v>2485.83</v>
      </c>
      <c r="I189" s="2"/>
      <c r="J189" s="6">
        <f t="shared" si="29"/>
        <v>5.6687054498159705E-3</v>
      </c>
      <c r="K189" s="2"/>
      <c r="L189" s="2">
        <f t="shared" si="30"/>
        <v>4169.8200000000006</v>
      </c>
      <c r="M189" s="2"/>
      <c r="N189" s="6">
        <f t="shared" si="31"/>
        <v>1.6774357055792233</v>
      </c>
      <c r="O189" s="14"/>
      <c r="P189" s="2">
        <f>SUM(OSRRefP22_17x_0)</f>
        <v>143668.84999999998</v>
      </c>
      <c r="Q189" s="2"/>
      <c r="R189" s="6">
        <f t="shared" si="32"/>
        <v>2.031169476075383E-2</v>
      </c>
      <c r="S189" s="2"/>
      <c r="T189" s="2">
        <f>SUM(OSRRefT22_17x_0)</f>
        <v>135741.99</v>
      </c>
      <c r="U189" s="2"/>
      <c r="V189" s="6">
        <f t="shared" si="33"/>
        <v>2.8847441084385722E-2</v>
      </c>
      <c r="W189" s="2"/>
      <c r="X189" s="2">
        <f t="shared" si="34"/>
        <v>7926.859999999986</v>
      </c>
      <c r="Y189" s="2"/>
      <c r="Z189" s="6">
        <f t="shared" si="35"/>
        <v>5.8396521223830496E-2</v>
      </c>
    </row>
    <row r="190" spans="1:26" s="69" customFormat="1" ht="15" hidden="1" customHeight="1" outlineLevel="2" x14ac:dyDescent="0.3">
      <c r="A190" s="26"/>
      <c r="B190" s="12" t="str">
        <f>CONCATENATE("          ","6371"," - ","COMPUTER SOFTWARE MAINTENANCE")</f>
        <v xml:space="preserve">          6371 - COMPUTER SOFTWARE MAINTENANCE</v>
      </c>
      <c r="C190" s="12"/>
      <c r="D190" s="8"/>
      <c r="E190" s="3"/>
      <c r="F190" s="7">
        <f t="shared" si="28"/>
        <v>0</v>
      </c>
      <c r="G190" s="3"/>
      <c r="H190" s="8"/>
      <c r="I190" s="3"/>
      <c r="J190" s="7">
        <f t="shared" si="29"/>
        <v>0</v>
      </c>
      <c r="K190" s="3"/>
      <c r="L190" s="8">
        <f t="shared" si="30"/>
        <v>0</v>
      </c>
      <c r="M190" s="3"/>
      <c r="N190" s="7">
        <f t="shared" si="31"/>
        <v>0</v>
      </c>
      <c r="O190" s="12"/>
      <c r="P190" s="8">
        <v>62511</v>
      </c>
      <c r="Q190" s="3"/>
      <c r="R190" s="7">
        <f t="shared" si="32"/>
        <v>8.8377150035618916E-3</v>
      </c>
      <c r="S190" s="3"/>
      <c r="T190" s="8">
        <v>59767.72</v>
      </c>
      <c r="U190" s="3"/>
      <c r="V190" s="7">
        <f t="shared" si="33"/>
        <v>1.2701639201311711E-2</v>
      </c>
      <c r="W190" s="3"/>
      <c r="X190" s="8">
        <f t="shared" si="34"/>
        <v>2743.2799999999988</v>
      </c>
      <c r="Y190" s="3"/>
      <c r="Z190" s="7">
        <f t="shared" si="35"/>
        <v>4.5899023753959475E-2</v>
      </c>
    </row>
    <row r="191" spans="1:26" s="69" customFormat="1" ht="15" hidden="1" customHeight="1" outlineLevel="2" x14ac:dyDescent="0.3">
      <c r="A191" s="26"/>
      <c r="B191" s="12" t="str">
        <f>CONCATENATE("          ","6372"," - ","COMPUTER HARDWARE MAINTENANCE")</f>
        <v xml:space="preserve">          6372 - COMPUTER HARDWARE MAINTENANCE</v>
      </c>
      <c r="C191" s="12"/>
      <c r="D191" s="8"/>
      <c r="E191" s="3"/>
      <c r="F191" s="7">
        <f t="shared" si="28"/>
        <v>0</v>
      </c>
      <c r="G191" s="3"/>
      <c r="H191" s="8"/>
      <c r="I191" s="3"/>
      <c r="J191" s="7">
        <f t="shared" si="29"/>
        <v>0</v>
      </c>
      <c r="K191" s="3"/>
      <c r="L191" s="8">
        <f t="shared" si="30"/>
        <v>0</v>
      </c>
      <c r="M191" s="3"/>
      <c r="N191" s="7">
        <f t="shared" si="31"/>
        <v>0</v>
      </c>
      <c r="O191" s="12"/>
      <c r="P191" s="8"/>
      <c r="Q191" s="3"/>
      <c r="R191" s="7">
        <f t="shared" si="32"/>
        <v>0</v>
      </c>
      <c r="S191" s="3"/>
      <c r="T191" s="8">
        <v>-1.1499999999999999</v>
      </c>
      <c r="U191" s="3"/>
      <c r="V191" s="7">
        <f t="shared" si="33"/>
        <v>-2.4439421616733022E-7</v>
      </c>
      <c r="W191" s="3"/>
      <c r="X191" s="8">
        <f t="shared" si="34"/>
        <v>1.1499999999999999</v>
      </c>
      <c r="Y191" s="3"/>
      <c r="Z191" s="7">
        <f t="shared" si="35"/>
        <v>-1</v>
      </c>
    </row>
    <row r="192" spans="1:26" s="69" customFormat="1" ht="15" hidden="1" customHeight="1" outlineLevel="2" x14ac:dyDescent="0.3">
      <c r="A192" s="26"/>
      <c r="B192" s="12" t="str">
        <f>CONCATENATE("          ","6373"," - ","MAINTENANCE CONTRACTS")</f>
        <v xml:space="preserve">          6373 - MAINTENANCE CONTRACTS</v>
      </c>
      <c r="C192" s="12"/>
      <c r="D192" s="8">
        <v>800.18</v>
      </c>
      <c r="E192" s="3"/>
      <c r="F192" s="7">
        <f t="shared" si="28"/>
        <v>8.1907164169418378E-4</v>
      </c>
      <c r="G192" s="3"/>
      <c r="H192" s="8">
        <v>1429</v>
      </c>
      <c r="I192" s="3"/>
      <c r="J192" s="7">
        <f t="shared" si="29"/>
        <v>3.2587023600918093E-3</v>
      </c>
      <c r="K192" s="3"/>
      <c r="L192" s="8">
        <f t="shared" si="30"/>
        <v>-628.82000000000005</v>
      </c>
      <c r="M192" s="3"/>
      <c r="N192" s="7">
        <f t="shared" si="31"/>
        <v>-0.44004198740377892</v>
      </c>
      <c r="O192" s="12"/>
      <c r="P192" s="8">
        <v>23400.9</v>
      </c>
      <c r="Q192" s="3"/>
      <c r="R192" s="7">
        <f t="shared" si="32"/>
        <v>3.3083854845843371E-3</v>
      </c>
      <c r="S192" s="3"/>
      <c r="T192" s="8">
        <v>47376.63</v>
      </c>
      <c r="U192" s="3"/>
      <c r="V192" s="7">
        <f t="shared" si="33"/>
        <v>1.0068325524782281E-2</v>
      </c>
      <c r="W192" s="3"/>
      <c r="X192" s="8">
        <f t="shared" si="34"/>
        <v>-23975.729999999996</v>
      </c>
      <c r="Y192" s="3"/>
      <c r="Z192" s="7">
        <f t="shared" si="35"/>
        <v>-0.50606659865845238</v>
      </c>
    </row>
    <row r="193" spans="1:26" s="69" customFormat="1" ht="15" hidden="1" customHeight="1" outlineLevel="2" x14ac:dyDescent="0.3">
      <c r="A193" s="26"/>
      <c r="B193" s="12" t="str">
        <f>CONCATENATE("          ","6375"," - ","OUTSIDE REPAIRS &amp; MAINTENANCE")</f>
        <v xml:space="preserve">          6375 - OUTSIDE REPAIRS &amp; MAINTENANCE</v>
      </c>
      <c r="C193" s="12"/>
      <c r="D193" s="8">
        <v>5855.47</v>
      </c>
      <c r="E193" s="3"/>
      <c r="F193" s="7">
        <f t="shared" si="28"/>
        <v>5.9937131967695298E-3</v>
      </c>
      <c r="G193" s="3"/>
      <c r="H193" s="8">
        <v>1056.83</v>
      </c>
      <c r="I193" s="3"/>
      <c r="J193" s="7">
        <f t="shared" si="29"/>
        <v>2.4100030897241612E-3</v>
      </c>
      <c r="K193" s="3"/>
      <c r="L193" s="8">
        <f t="shared" si="30"/>
        <v>4798.6400000000003</v>
      </c>
      <c r="M193" s="3"/>
      <c r="N193" s="7">
        <f t="shared" si="31"/>
        <v>4.5405978255727035</v>
      </c>
      <c r="O193" s="12"/>
      <c r="P193" s="8">
        <v>57756.95</v>
      </c>
      <c r="Q193" s="3"/>
      <c r="R193" s="7">
        <f t="shared" si="32"/>
        <v>8.1655942726076049E-3</v>
      </c>
      <c r="S193" s="3"/>
      <c r="T193" s="8">
        <v>28598.79</v>
      </c>
      <c r="U193" s="3"/>
      <c r="V193" s="7">
        <f t="shared" si="33"/>
        <v>6.077720752507898E-3</v>
      </c>
      <c r="W193" s="3"/>
      <c r="X193" s="8">
        <f t="shared" si="34"/>
        <v>29158.159999999996</v>
      </c>
      <c r="Y193" s="3"/>
      <c r="Z193" s="7">
        <f t="shared" si="35"/>
        <v>1.0195592191138154</v>
      </c>
    </row>
    <row r="194" spans="1:26" s="68" customFormat="1" ht="15" customHeight="1" outlineLevel="1" collapsed="1" x14ac:dyDescent="0.3">
      <c r="A194" s="25"/>
      <c r="B194" s="14" t="str">
        <f>CONCATENATE("     ","Royalty &amp; Commissions                             ")</f>
        <v xml:space="preserve">     Royalty &amp; Commissions                             </v>
      </c>
      <c r="C194" s="14"/>
      <c r="D194" s="2">
        <f>SUM(OSRRefD22_18x_0)</f>
        <v>33254.11</v>
      </c>
      <c r="E194" s="2"/>
      <c r="F194" s="6">
        <f t="shared" si="28"/>
        <v>3.4039214265264031E-2</v>
      </c>
      <c r="G194" s="2"/>
      <c r="H194" s="2">
        <f>SUM(OSRRefH22_18x_0)</f>
        <v>11531.75</v>
      </c>
      <c r="I194" s="2"/>
      <c r="J194" s="6">
        <f t="shared" si="29"/>
        <v>2.6297089531832556E-2</v>
      </c>
      <c r="K194" s="2"/>
      <c r="L194" s="2">
        <f t="shared" si="30"/>
        <v>21722.36</v>
      </c>
      <c r="M194" s="2"/>
      <c r="N194" s="6">
        <f t="shared" si="31"/>
        <v>1.8837002189606955</v>
      </c>
      <c r="O194" s="14"/>
      <c r="P194" s="2">
        <f>SUM(OSRRefP22_18x_0)</f>
        <v>85990.04</v>
      </c>
      <c r="Q194" s="2"/>
      <c r="R194" s="6">
        <f t="shared" si="32"/>
        <v>1.2157147808623878E-2</v>
      </c>
      <c r="S194" s="2"/>
      <c r="T194" s="2">
        <f>SUM(OSRRefT22_18x_0)</f>
        <v>48578.649999999994</v>
      </c>
      <c r="U194" s="2"/>
      <c r="V194" s="6">
        <f t="shared" si="33"/>
        <v>1.0323774860188763E-2</v>
      </c>
      <c r="W194" s="2"/>
      <c r="X194" s="2">
        <f t="shared" si="34"/>
        <v>37411.39</v>
      </c>
      <c r="Y194" s="2"/>
      <c r="Z194" s="6">
        <f t="shared" si="35"/>
        <v>0.77012000127628089</v>
      </c>
    </row>
    <row r="195" spans="1:26" s="69" customFormat="1" ht="15" hidden="1" customHeight="1" outlineLevel="2" x14ac:dyDescent="0.3">
      <c r="A195" s="26"/>
      <c r="B195" s="12" t="str">
        <f>CONCATENATE("          ","6253"," - ","ROYALTY DUE ATHLETICS-LRG")</f>
        <v xml:space="preserve">          6253 - ROYALTY DUE ATHLETICS-LRG</v>
      </c>
      <c r="C195" s="12"/>
      <c r="D195" s="8">
        <v>15944.33</v>
      </c>
      <c r="E195" s="3"/>
      <c r="F195" s="7">
        <f t="shared" si="28"/>
        <v>1.632076351422658E-2</v>
      </c>
      <c r="G195" s="3"/>
      <c r="H195" s="8">
        <v>8961.48</v>
      </c>
      <c r="I195" s="3"/>
      <c r="J195" s="7">
        <f t="shared" si="29"/>
        <v>2.0435826470199821E-2</v>
      </c>
      <c r="K195" s="3"/>
      <c r="L195" s="8">
        <f t="shared" si="30"/>
        <v>6982.85</v>
      </c>
      <c r="M195" s="3"/>
      <c r="N195" s="7">
        <f t="shared" si="31"/>
        <v>0.77920722916304008</v>
      </c>
      <c r="O195" s="12"/>
      <c r="P195" s="8">
        <v>55165.49</v>
      </c>
      <c r="Q195" s="3"/>
      <c r="R195" s="7">
        <f t="shared" si="32"/>
        <v>7.7992173961677702E-3</v>
      </c>
      <c r="S195" s="3"/>
      <c r="T195" s="8">
        <v>35159.06</v>
      </c>
      <c r="U195" s="3"/>
      <c r="V195" s="7">
        <f t="shared" si="33"/>
        <v>7.4718877477218558E-3</v>
      </c>
      <c r="W195" s="3"/>
      <c r="X195" s="8">
        <f t="shared" si="34"/>
        <v>20006.43</v>
      </c>
      <c r="Y195" s="3"/>
      <c r="Z195" s="7">
        <f t="shared" si="35"/>
        <v>0.56902630502635743</v>
      </c>
    </row>
    <row r="196" spans="1:26" s="69" customFormat="1" ht="15" hidden="1" customHeight="1" outlineLevel="2" x14ac:dyDescent="0.3">
      <c r="A196" s="26"/>
      <c r="B196" s="12" t="str">
        <f>CONCATENATE("          ","6254"," - ","ROYALTY &amp; COMMISSIONS")</f>
        <v xml:space="preserve">          6254 - ROYALTY &amp; COMMISSIONS</v>
      </c>
      <c r="C196" s="12"/>
      <c r="D196" s="8">
        <v>15264.75</v>
      </c>
      <c r="E196" s="3"/>
      <c r="F196" s="7">
        <f t="shared" si="28"/>
        <v>1.5625139146881066E-2</v>
      </c>
      <c r="G196" s="3"/>
      <c r="H196" s="8"/>
      <c r="I196" s="3"/>
      <c r="J196" s="7">
        <f t="shared" si="29"/>
        <v>0</v>
      </c>
      <c r="K196" s="3"/>
      <c r="L196" s="8">
        <f t="shared" si="30"/>
        <v>15264.75</v>
      </c>
      <c r="M196" s="3"/>
      <c r="N196" s="7">
        <f t="shared" si="31"/>
        <v>0</v>
      </c>
      <c r="O196" s="12"/>
      <c r="P196" s="8">
        <v>18773.900000000001</v>
      </c>
      <c r="Q196" s="3"/>
      <c r="R196" s="7">
        <f t="shared" si="32"/>
        <v>2.6542268993516439E-3</v>
      </c>
      <c r="S196" s="3"/>
      <c r="T196" s="8">
        <v>185.7</v>
      </c>
      <c r="U196" s="3"/>
      <c r="V196" s="7">
        <f t="shared" si="33"/>
        <v>3.946435299328107E-5</v>
      </c>
      <c r="W196" s="3"/>
      <c r="X196" s="8">
        <f t="shared" si="34"/>
        <v>18588.2</v>
      </c>
      <c r="Y196" s="3"/>
      <c r="Z196" s="7">
        <f t="shared" si="35"/>
        <v>100.09800753904148</v>
      </c>
    </row>
    <row r="197" spans="1:26" s="69" customFormat="1" ht="15" hidden="1" customHeight="1" outlineLevel="2" x14ac:dyDescent="0.3">
      <c r="A197" s="26"/>
      <c r="B197" s="12" t="str">
        <f>CONCATENATE("          ","6259"," - ","ROYALTY &amp; COMMISSIONS")</f>
        <v xml:space="preserve">          6259 - ROYALTY &amp; COMMISSIONS</v>
      </c>
      <c r="C197" s="12"/>
      <c r="D197" s="8">
        <v>2045.03</v>
      </c>
      <c r="E197" s="3"/>
      <c r="F197" s="7">
        <f t="shared" si="28"/>
        <v>2.0933116041563856E-3</v>
      </c>
      <c r="G197" s="3"/>
      <c r="H197" s="8">
        <v>2570.27</v>
      </c>
      <c r="I197" s="3"/>
      <c r="J197" s="7">
        <f t="shared" si="29"/>
        <v>5.8612630616327321E-3</v>
      </c>
      <c r="K197" s="3"/>
      <c r="L197" s="8">
        <f t="shared" si="30"/>
        <v>-525.24</v>
      </c>
      <c r="M197" s="3"/>
      <c r="N197" s="7">
        <f t="shared" si="31"/>
        <v>-0.20435207196131147</v>
      </c>
      <c r="O197" s="12"/>
      <c r="P197" s="8">
        <v>12050.65</v>
      </c>
      <c r="Q197" s="3"/>
      <c r="R197" s="7">
        <f t="shared" si="32"/>
        <v>1.7037035131044634E-3</v>
      </c>
      <c r="S197" s="3"/>
      <c r="T197" s="8">
        <v>13233.89</v>
      </c>
      <c r="U197" s="3"/>
      <c r="V197" s="7">
        <f t="shared" si="33"/>
        <v>2.8124227594736261E-3</v>
      </c>
      <c r="W197" s="3"/>
      <c r="X197" s="8">
        <f t="shared" si="34"/>
        <v>-1183.2399999999998</v>
      </c>
      <c r="Y197" s="3"/>
      <c r="Z197" s="7">
        <f t="shared" si="35"/>
        <v>-8.940984094623726E-2</v>
      </c>
    </row>
    <row r="198" spans="1:26" s="68" customFormat="1" ht="15" customHeight="1" outlineLevel="1" collapsed="1" x14ac:dyDescent="0.3">
      <c r="A198" s="25"/>
      <c r="B198" s="14" t="str">
        <f>CONCATENATE("     ","Services                                          ")</f>
        <v xml:space="preserve">     Services                                          </v>
      </c>
      <c r="C198" s="14"/>
      <c r="D198" s="2">
        <f>SUM(OSRRefD22_19x_0)</f>
        <v>5530.91</v>
      </c>
      <c r="E198" s="2"/>
      <c r="F198" s="6">
        <f t="shared" ref="F198:F225" si="36">IF(D$12=0,0,D198/D$12)</f>
        <v>5.6614905818225623E-3</v>
      </c>
      <c r="G198" s="2"/>
      <c r="H198" s="2">
        <f>SUM(OSRRefH22_19x_0)</f>
        <v>4447.17</v>
      </c>
      <c r="I198" s="2"/>
      <c r="J198" s="6">
        <f t="shared" ref="J198:J225" si="37">IF(H$12=0,0,H198/H$12)</f>
        <v>1.0141359954324348E-2</v>
      </c>
      <c r="K198" s="2"/>
      <c r="L198" s="2">
        <f t="shared" ref="L198:L225" si="38">+D198-H198</f>
        <v>1083.7399999999998</v>
      </c>
      <c r="M198" s="2"/>
      <c r="N198" s="6">
        <f t="shared" ref="N198:N225" si="39">IF(H198=0,0,L198/H198)</f>
        <v>0.24369205584675194</v>
      </c>
      <c r="O198" s="14"/>
      <c r="P198" s="2">
        <f>SUM(OSRRefP22_19x_0)</f>
        <v>68927.56</v>
      </c>
      <c r="Q198" s="2"/>
      <c r="R198" s="6">
        <f t="shared" ref="R198:R225" si="40">IF(P$12=0,0,P198/P$12)</f>
        <v>9.744879000030595E-3</v>
      </c>
      <c r="S198" s="2"/>
      <c r="T198" s="2">
        <f>SUM(OSRRefT22_19x_0)</f>
        <v>42590.19</v>
      </c>
      <c r="U198" s="2"/>
      <c r="V198" s="6">
        <f t="shared" ref="V198:V225" si="41">IF(T$12=0,0,T198/T$12)</f>
        <v>9.0511270447544943E-3</v>
      </c>
      <c r="W198" s="2"/>
      <c r="X198" s="2">
        <f t="shared" ref="X198:X225" si="42">+P198-T198</f>
        <v>26337.369999999995</v>
      </c>
      <c r="Y198" s="2"/>
      <c r="Z198" s="6">
        <f t="shared" ref="Z198:Z225" si="43">IF(T198=0,0,X198/T198)</f>
        <v>0.61839052608124068</v>
      </c>
    </row>
    <row r="199" spans="1:26" s="69" customFormat="1" ht="15" hidden="1" customHeight="1" outlineLevel="2" x14ac:dyDescent="0.3">
      <c r="A199" s="26"/>
      <c r="B199" s="12" t="str">
        <f>CONCATENATE("          ","6282"," - ","JANITORIAL/EXTERMINATOR EXPENS")</f>
        <v xml:space="preserve">          6282 - JANITORIAL/EXTERMINATOR EXPENS</v>
      </c>
      <c r="C199" s="12"/>
      <c r="D199" s="8">
        <v>861</v>
      </c>
      <c r="E199" s="3"/>
      <c r="F199" s="7">
        <f t="shared" si="36"/>
        <v>8.8132755567333883E-4</v>
      </c>
      <c r="G199" s="3"/>
      <c r="H199" s="8">
        <v>151.85</v>
      </c>
      <c r="I199" s="3"/>
      <c r="J199" s="7">
        <f t="shared" si="37"/>
        <v>3.4627988340093856E-4</v>
      </c>
      <c r="K199" s="3"/>
      <c r="L199" s="8">
        <f t="shared" si="38"/>
        <v>709.15</v>
      </c>
      <c r="M199" s="3"/>
      <c r="N199" s="7">
        <f t="shared" si="39"/>
        <v>4.670069147184722</v>
      </c>
      <c r="O199" s="12"/>
      <c r="P199" s="8">
        <v>6586.48</v>
      </c>
      <c r="Q199" s="3"/>
      <c r="R199" s="7">
        <f t="shared" si="40"/>
        <v>9.3118704094735845E-4</v>
      </c>
      <c r="S199" s="3"/>
      <c r="T199" s="8">
        <v>9492.93</v>
      </c>
      <c r="U199" s="3"/>
      <c r="V199" s="7">
        <f t="shared" si="41"/>
        <v>2.0174062491142039E-3</v>
      </c>
      <c r="W199" s="3"/>
      <c r="X199" s="8">
        <f t="shared" si="42"/>
        <v>-2906.4500000000007</v>
      </c>
      <c r="Y199" s="3"/>
      <c r="Z199" s="7">
        <f t="shared" si="43"/>
        <v>-0.30616996017035841</v>
      </c>
    </row>
    <row r="200" spans="1:26" s="69" customFormat="1" ht="15" hidden="1" customHeight="1" outlineLevel="2" x14ac:dyDescent="0.3">
      <c r="A200" s="26"/>
      <c r="B200" s="12" t="str">
        <f>CONCATENATE("          ","6283"," - ","PLANT SERVICE")</f>
        <v xml:space="preserve">          6283 - PLANT SERVICE</v>
      </c>
      <c r="C200" s="12"/>
      <c r="D200" s="8"/>
      <c r="E200" s="3"/>
      <c r="F200" s="7">
        <f t="shared" si="36"/>
        <v>0</v>
      </c>
      <c r="G200" s="3"/>
      <c r="H200" s="8"/>
      <c r="I200" s="3"/>
      <c r="J200" s="7">
        <f t="shared" si="37"/>
        <v>0</v>
      </c>
      <c r="K200" s="3"/>
      <c r="L200" s="8">
        <f t="shared" si="38"/>
        <v>0</v>
      </c>
      <c r="M200" s="3"/>
      <c r="N200" s="7">
        <f t="shared" si="39"/>
        <v>0</v>
      </c>
      <c r="O200" s="12"/>
      <c r="P200" s="8"/>
      <c r="Q200" s="3"/>
      <c r="R200" s="7">
        <f t="shared" si="40"/>
        <v>0</v>
      </c>
      <c r="S200" s="3"/>
      <c r="T200" s="8">
        <v>171.31</v>
      </c>
      <c r="U200" s="3"/>
      <c r="V200" s="7">
        <f t="shared" si="41"/>
        <v>3.6406237540543777E-5</v>
      </c>
      <c r="W200" s="3"/>
      <c r="X200" s="8">
        <f t="shared" si="42"/>
        <v>-171.31</v>
      </c>
      <c r="Y200" s="3"/>
      <c r="Z200" s="7">
        <f t="shared" si="43"/>
        <v>-1</v>
      </c>
    </row>
    <row r="201" spans="1:26" s="69" customFormat="1" ht="15" hidden="1" customHeight="1" outlineLevel="2" x14ac:dyDescent="0.3">
      <c r="A201" s="26"/>
      <c r="B201" s="12" t="str">
        <f>CONCATENATE("          ","6284"," - ","TRASH REMOVAL EXPENSE")</f>
        <v xml:space="preserve">          6284 - TRASH REMOVAL EXPENSE</v>
      </c>
      <c r="C201" s="12"/>
      <c r="D201" s="8"/>
      <c r="E201" s="3"/>
      <c r="F201" s="7">
        <f t="shared" si="36"/>
        <v>0</v>
      </c>
      <c r="G201" s="3"/>
      <c r="H201" s="8">
        <v>431.57</v>
      </c>
      <c r="I201" s="3"/>
      <c r="J201" s="7">
        <f t="shared" si="37"/>
        <v>9.8415547763808404E-4</v>
      </c>
      <c r="K201" s="3"/>
      <c r="L201" s="8">
        <f t="shared" si="38"/>
        <v>-431.57</v>
      </c>
      <c r="M201" s="3"/>
      <c r="N201" s="7">
        <f t="shared" si="39"/>
        <v>-1</v>
      </c>
      <c r="O201" s="12"/>
      <c r="P201" s="8">
        <v>1340.17</v>
      </c>
      <c r="Q201" s="3"/>
      <c r="R201" s="7">
        <f t="shared" si="40"/>
        <v>1.8947130131214573E-4</v>
      </c>
      <c r="S201" s="3"/>
      <c r="T201" s="8">
        <v>2604.7199999999998</v>
      </c>
      <c r="U201" s="3"/>
      <c r="V201" s="7">
        <f t="shared" si="41"/>
        <v>5.5354652411771172E-4</v>
      </c>
      <c r="W201" s="3"/>
      <c r="X201" s="8">
        <f t="shared" si="42"/>
        <v>-1264.5499999999997</v>
      </c>
      <c r="Y201" s="3"/>
      <c r="Z201" s="7">
        <f t="shared" si="43"/>
        <v>-0.48548404435025638</v>
      </c>
    </row>
    <row r="202" spans="1:26" s="69" customFormat="1" ht="15" hidden="1" customHeight="1" outlineLevel="2" x14ac:dyDescent="0.3">
      <c r="A202" s="26"/>
      <c r="B202" s="12" t="str">
        <f>CONCATENATE("          ","6285"," - ","JANITORIAL SERVICES")</f>
        <v xml:space="preserve">          6285 - JANITORIAL SERVICES</v>
      </c>
      <c r="C202" s="12"/>
      <c r="D202" s="8">
        <v>4407.4799999999996</v>
      </c>
      <c r="E202" s="3"/>
      <c r="F202" s="7">
        <f t="shared" si="36"/>
        <v>4.5115372532858614E-3</v>
      </c>
      <c r="G202" s="3"/>
      <c r="H202" s="8">
        <v>3863.75</v>
      </c>
      <c r="I202" s="3"/>
      <c r="J202" s="7">
        <f t="shared" si="37"/>
        <v>8.8109245932853249E-3</v>
      </c>
      <c r="K202" s="3"/>
      <c r="L202" s="8">
        <f t="shared" si="38"/>
        <v>543.72999999999956</v>
      </c>
      <c r="M202" s="3"/>
      <c r="N202" s="7">
        <f t="shared" si="39"/>
        <v>0.14072597864768671</v>
      </c>
      <c r="O202" s="12"/>
      <c r="P202" s="8">
        <v>59946.15</v>
      </c>
      <c r="Q202" s="3"/>
      <c r="R202" s="7">
        <f t="shared" si="40"/>
        <v>8.4751002105352934E-3</v>
      </c>
      <c r="S202" s="3"/>
      <c r="T202" s="8">
        <v>30321.23</v>
      </c>
      <c r="U202" s="3"/>
      <c r="V202" s="7">
        <f t="shared" si="41"/>
        <v>6.4437680339820341E-3</v>
      </c>
      <c r="W202" s="3"/>
      <c r="X202" s="8">
        <f t="shared" si="42"/>
        <v>29624.920000000002</v>
      </c>
      <c r="Y202" s="3"/>
      <c r="Z202" s="7">
        <f t="shared" si="43"/>
        <v>0.97703556221169141</v>
      </c>
    </row>
    <row r="203" spans="1:26" s="69" customFormat="1" ht="15" hidden="1" customHeight="1" outlineLevel="2" x14ac:dyDescent="0.3">
      <c r="A203" s="26"/>
      <c r="B203" s="12" t="str">
        <f>CONCATENATE("          ","6286"," - ","LAUNDRY EXPENSE")</f>
        <v xml:space="preserve">          6286 - LAUNDRY EXPENSE</v>
      </c>
      <c r="C203" s="12"/>
      <c r="D203" s="8">
        <v>262.43</v>
      </c>
      <c r="E203" s="3"/>
      <c r="F203" s="7">
        <f t="shared" si="36"/>
        <v>2.6862577286336156E-4</v>
      </c>
      <c r="G203" s="3"/>
      <c r="H203" s="8"/>
      <c r="I203" s="3"/>
      <c r="J203" s="7">
        <f t="shared" si="37"/>
        <v>0</v>
      </c>
      <c r="K203" s="3"/>
      <c r="L203" s="8">
        <f t="shared" si="38"/>
        <v>262.43</v>
      </c>
      <c r="M203" s="3"/>
      <c r="N203" s="7">
        <f t="shared" si="39"/>
        <v>0</v>
      </c>
      <c r="O203" s="12"/>
      <c r="P203" s="8">
        <v>1054.76</v>
      </c>
      <c r="Q203" s="3"/>
      <c r="R203" s="7">
        <f t="shared" si="40"/>
        <v>1.4912044723579756E-4</v>
      </c>
      <c r="S203" s="3"/>
      <c r="T203" s="8"/>
      <c r="U203" s="3"/>
      <c r="V203" s="7">
        <f t="shared" si="41"/>
        <v>0</v>
      </c>
      <c r="W203" s="3"/>
      <c r="X203" s="8">
        <f t="shared" si="42"/>
        <v>1054.76</v>
      </c>
      <c r="Y203" s="3"/>
      <c r="Z203" s="7">
        <f t="shared" si="43"/>
        <v>0</v>
      </c>
    </row>
    <row r="204" spans="1:26" s="68" customFormat="1" ht="15" customHeight="1" outlineLevel="1" collapsed="1" x14ac:dyDescent="0.3">
      <c r="A204" s="25"/>
      <c r="B204" s="14" t="str">
        <f>CONCATENATE("     ","Subscriptions &amp; Dues                              ")</f>
        <v xml:space="preserve">     Subscriptions &amp; Dues                              </v>
      </c>
      <c r="C204" s="14"/>
      <c r="D204" s="2">
        <f>SUM(OSRRefD22_20x_0)</f>
        <v>2418.29</v>
      </c>
      <c r="E204" s="2"/>
      <c r="F204" s="6">
        <f t="shared" si="36"/>
        <v>2.4753839890932386E-3</v>
      </c>
      <c r="G204" s="2"/>
      <c r="H204" s="2">
        <f>SUM(OSRRefH22_20x_0)</f>
        <v>2343.58</v>
      </c>
      <c r="I204" s="2"/>
      <c r="J204" s="6">
        <f t="shared" si="37"/>
        <v>5.3443174787011632E-3</v>
      </c>
      <c r="K204" s="2"/>
      <c r="L204" s="2">
        <f t="shared" si="38"/>
        <v>74.710000000000036</v>
      </c>
      <c r="M204" s="2"/>
      <c r="N204" s="6">
        <f t="shared" si="39"/>
        <v>3.1878578926258137E-2</v>
      </c>
      <c r="O204" s="14"/>
      <c r="P204" s="2">
        <f>SUM(OSRRefP22_20x_0)</f>
        <v>4895.9400000000005</v>
      </c>
      <c r="Q204" s="2"/>
      <c r="R204" s="6">
        <f t="shared" si="40"/>
        <v>6.9218093446815469E-4</v>
      </c>
      <c r="S204" s="2"/>
      <c r="T204" s="2">
        <f>SUM(OSRRefT22_20x_0)</f>
        <v>6677.91</v>
      </c>
      <c r="U204" s="2"/>
      <c r="V204" s="6">
        <f t="shared" si="41"/>
        <v>1.4191674609443272E-3</v>
      </c>
      <c r="W204" s="2"/>
      <c r="X204" s="2">
        <f t="shared" si="42"/>
        <v>-1781.9699999999993</v>
      </c>
      <c r="Y204" s="2"/>
      <c r="Z204" s="6">
        <f t="shared" si="43"/>
        <v>-0.26684546512306984</v>
      </c>
    </row>
    <row r="205" spans="1:26" s="69" customFormat="1" ht="15" hidden="1" customHeight="1" outlineLevel="2" x14ac:dyDescent="0.3">
      <c r="A205" s="26"/>
      <c r="B205" s="12" t="str">
        <f>CONCATENATE("          ","6258"," - ","MEMBERSHIP DUES")</f>
        <v xml:space="preserve">          6258 - MEMBERSHIP DUES</v>
      </c>
      <c r="C205" s="12"/>
      <c r="D205" s="8">
        <v>510.65</v>
      </c>
      <c r="E205" s="3"/>
      <c r="F205" s="7">
        <f t="shared" si="36"/>
        <v>5.2270605842577285E-4</v>
      </c>
      <c r="G205" s="3"/>
      <c r="H205" s="8">
        <v>328.71</v>
      </c>
      <c r="I205" s="3"/>
      <c r="J205" s="7">
        <f t="shared" si="37"/>
        <v>7.495927591223083E-4</v>
      </c>
      <c r="K205" s="3"/>
      <c r="L205" s="8">
        <f t="shared" si="38"/>
        <v>181.94</v>
      </c>
      <c r="M205" s="3"/>
      <c r="N205" s="7">
        <f t="shared" si="39"/>
        <v>0.55349700343768071</v>
      </c>
      <c r="O205" s="12"/>
      <c r="P205" s="8">
        <v>2988.3</v>
      </c>
      <c r="Q205" s="3"/>
      <c r="R205" s="7">
        <f t="shared" si="40"/>
        <v>4.22481543170706E-4</v>
      </c>
      <c r="S205" s="3"/>
      <c r="T205" s="8">
        <v>2435.23</v>
      </c>
      <c r="U205" s="3"/>
      <c r="V205" s="7">
        <f t="shared" si="41"/>
        <v>5.175270669888415E-4</v>
      </c>
      <c r="W205" s="3"/>
      <c r="X205" s="8">
        <f t="shared" si="42"/>
        <v>553.07000000000016</v>
      </c>
      <c r="Y205" s="3"/>
      <c r="Z205" s="7">
        <f t="shared" si="43"/>
        <v>0.22711201816666193</v>
      </c>
    </row>
    <row r="206" spans="1:26" s="69" customFormat="1" ht="15" hidden="1" customHeight="1" outlineLevel="2" x14ac:dyDescent="0.3">
      <c r="A206" s="26"/>
      <c r="B206" s="12" t="str">
        <f>CONCATENATE("          ","6275"," - ","SUBSCRIPTIONS")</f>
        <v xml:space="preserve">          6275 - SUBSCRIPTIONS</v>
      </c>
      <c r="C206" s="12"/>
      <c r="D206" s="8">
        <v>1907.64</v>
      </c>
      <c r="E206" s="3"/>
      <c r="F206" s="7">
        <f t="shared" si="36"/>
        <v>1.9526779306674659E-3</v>
      </c>
      <c r="G206" s="3"/>
      <c r="H206" s="8">
        <v>2014.87</v>
      </c>
      <c r="I206" s="3"/>
      <c r="J206" s="7">
        <f t="shared" si="37"/>
        <v>4.5947247195788545E-3</v>
      </c>
      <c r="K206" s="3"/>
      <c r="L206" s="8">
        <f t="shared" si="38"/>
        <v>-107.22999999999979</v>
      </c>
      <c r="M206" s="3"/>
      <c r="N206" s="7">
        <f t="shared" si="39"/>
        <v>-5.3219314397454823E-2</v>
      </c>
      <c r="O206" s="12"/>
      <c r="P206" s="8">
        <v>1907.64</v>
      </c>
      <c r="Q206" s="3"/>
      <c r="R206" s="7">
        <f t="shared" si="40"/>
        <v>2.6969939129744858E-4</v>
      </c>
      <c r="S206" s="3"/>
      <c r="T206" s="8">
        <v>4242.68</v>
      </c>
      <c r="U206" s="3"/>
      <c r="V206" s="7">
        <f t="shared" si="41"/>
        <v>9.0164039395548596E-4</v>
      </c>
      <c r="W206" s="3"/>
      <c r="X206" s="8">
        <f t="shared" si="42"/>
        <v>-2335.04</v>
      </c>
      <c r="Y206" s="3"/>
      <c r="Z206" s="7">
        <f t="shared" si="43"/>
        <v>-0.55036910631959035</v>
      </c>
    </row>
    <row r="207" spans="1:26" s="68" customFormat="1" ht="15" customHeight="1" outlineLevel="1" collapsed="1" x14ac:dyDescent="0.3">
      <c r="A207" s="25"/>
      <c r="B207" s="14" t="str">
        <f>CONCATENATE("     ","Supplies                                          ")</f>
        <v xml:space="preserve">     Supplies                                          </v>
      </c>
      <c r="C207" s="14"/>
      <c r="D207" s="2">
        <f>SUM(OSRRefD22_21x_0)</f>
        <v>10705.91</v>
      </c>
      <c r="E207" s="2"/>
      <c r="F207" s="6">
        <f t="shared" si="36"/>
        <v>1.0958668399022944E-2</v>
      </c>
      <c r="G207" s="2"/>
      <c r="H207" s="2">
        <f>SUM(OSRRefH22_21x_0)</f>
        <v>8692.42</v>
      </c>
      <c r="I207" s="2"/>
      <c r="J207" s="6">
        <f t="shared" si="37"/>
        <v>1.9822260020230402E-2</v>
      </c>
      <c r="K207" s="2"/>
      <c r="L207" s="2">
        <f t="shared" si="38"/>
        <v>2013.4899999999998</v>
      </c>
      <c r="M207" s="2"/>
      <c r="N207" s="6">
        <f t="shared" si="39"/>
        <v>0.23163744964003116</v>
      </c>
      <c r="O207" s="14"/>
      <c r="P207" s="2">
        <f>SUM(OSRRefP22_21x_0)</f>
        <v>103466.47</v>
      </c>
      <c r="Q207" s="2"/>
      <c r="R207" s="6">
        <f t="shared" si="40"/>
        <v>1.4627940271065676E-2</v>
      </c>
      <c r="S207" s="2"/>
      <c r="T207" s="2">
        <f>SUM(OSRRefT22_21x_0)</f>
        <v>112790.78</v>
      </c>
      <c r="U207" s="2"/>
      <c r="V207" s="6">
        <f t="shared" si="41"/>
        <v>2.3969925451305905E-2</v>
      </c>
      <c r="W207" s="2"/>
      <c r="X207" s="2">
        <f t="shared" si="42"/>
        <v>-9324.3099999999977</v>
      </c>
      <c r="Y207" s="2"/>
      <c r="Z207" s="6">
        <f t="shared" si="43"/>
        <v>-8.2669079866279832E-2</v>
      </c>
    </row>
    <row r="208" spans="1:26" s="69" customFormat="1" ht="15" hidden="1" customHeight="1" outlineLevel="2" x14ac:dyDescent="0.3">
      <c r="A208" s="26"/>
      <c r="B208" s="12" t="str">
        <f>CONCATENATE("          ","6234"," - ","EXPENDABLE SUPPLIES &amp; EQUIPMEN")</f>
        <v xml:space="preserve">          6234 - EXPENDABLE SUPPLIES &amp; EQUIPMEN</v>
      </c>
      <c r="C208" s="12"/>
      <c r="D208" s="8">
        <v>4993.3100000000004</v>
      </c>
      <c r="E208" s="3"/>
      <c r="F208" s="7">
        <f t="shared" si="36"/>
        <v>5.1111982543777463E-3</v>
      </c>
      <c r="G208" s="3"/>
      <c r="H208" s="8">
        <v>53</v>
      </c>
      <c r="I208" s="3"/>
      <c r="J208" s="7">
        <f t="shared" si="37"/>
        <v>1.2086159907968222E-4</v>
      </c>
      <c r="K208" s="3"/>
      <c r="L208" s="8">
        <f t="shared" si="38"/>
        <v>4940.3100000000004</v>
      </c>
      <c r="M208" s="3"/>
      <c r="N208" s="7">
        <f t="shared" si="39"/>
        <v>93.213396226415099</v>
      </c>
      <c r="O208" s="12"/>
      <c r="P208" s="8">
        <v>11477.77</v>
      </c>
      <c r="Q208" s="3"/>
      <c r="R208" s="7">
        <f t="shared" si="40"/>
        <v>1.6227105651234596E-3</v>
      </c>
      <c r="S208" s="3"/>
      <c r="T208" s="8">
        <v>316.83</v>
      </c>
      <c r="U208" s="3"/>
      <c r="V208" s="7">
        <f t="shared" si="41"/>
        <v>6.7331669137648037E-5</v>
      </c>
      <c r="W208" s="3"/>
      <c r="X208" s="8">
        <f t="shared" si="42"/>
        <v>11160.94</v>
      </c>
      <c r="Y208" s="3"/>
      <c r="Z208" s="7">
        <f t="shared" si="43"/>
        <v>35.226904017927602</v>
      </c>
    </row>
    <row r="209" spans="1:26" s="69" customFormat="1" ht="15" hidden="1" customHeight="1" outlineLevel="2" x14ac:dyDescent="0.3">
      <c r="A209" s="26"/>
      <c r="B209" s="12" t="str">
        <f>CONCATENATE("          ","6235"," - ","COVID-19 EXPENSES")</f>
        <v xml:space="preserve">          6235 - COVID-19 EXPENSES</v>
      </c>
      <c r="C209" s="12"/>
      <c r="D209" s="8"/>
      <c r="E209" s="3"/>
      <c r="F209" s="7">
        <f t="shared" si="36"/>
        <v>0</v>
      </c>
      <c r="G209" s="3"/>
      <c r="H209" s="8">
        <v>3407.79</v>
      </c>
      <c r="I209" s="3"/>
      <c r="J209" s="7">
        <f t="shared" si="37"/>
        <v>7.7711499759952878E-3</v>
      </c>
      <c r="K209" s="3"/>
      <c r="L209" s="8">
        <f t="shared" si="38"/>
        <v>-3407.79</v>
      </c>
      <c r="M209" s="3"/>
      <c r="N209" s="7">
        <f t="shared" si="39"/>
        <v>-1</v>
      </c>
      <c r="O209" s="12"/>
      <c r="P209" s="8">
        <v>3501.77</v>
      </c>
      <c r="Q209" s="3"/>
      <c r="R209" s="7">
        <f t="shared" si="40"/>
        <v>4.9507519105474124E-4</v>
      </c>
      <c r="S209" s="3"/>
      <c r="T209" s="8">
        <v>41277.06</v>
      </c>
      <c r="U209" s="3"/>
      <c r="V209" s="7">
        <f t="shared" si="41"/>
        <v>8.7720649777320529E-3</v>
      </c>
      <c r="W209" s="3"/>
      <c r="X209" s="8">
        <f t="shared" si="42"/>
        <v>-37775.29</v>
      </c>
      <c r="Y209" s="3"/>
      <c r="Z209" s="7">
        <f t="shared" si="43"/>
        <v>-0.91516425830715664</v>
      </c>
    </row>
    <row r="210" spans="1:26" s="69" customFormat="1" ht="15" hidden="1" customHeight="1" outlineLevel="2" x14ac:dyDescent="0.3">
      <c r="A210" s="26"/>
      <c r="B210" s="12" t="str">
        <f>CONCATENATE("          ","6237"," - ","JANITORIAL SUPPLIES")</f>
        <v xml:space="preserve">          6237 - JANITORIAL SUPPLIES</v>
      </c>
      <c r="C210" s="12"/>
      <c r="D210" s="8">
        <v>1456.86</v>
      </c>
      <c r="E210" s="3"/>
      <c r="F210" s="7">
        <f t="shared" si="36"/>
        <v>1.491255357442811E-3</v>
      </c>
      <c r="G210" s="3"/>
      <c r="H210" s="8">
        <v>588.30999999999995</v>
      </c>
      <c r="I210" s="3"/>
      <c r="J210" s="7">
        <f t="shared" si="37"/>
        <v>1.3415865538597706E-3</v>
      </c>
      <c r="K210" s="3"/>
      <c r="L210" s="8">
        <f t="shared" si="38"/>
        <v>868.55</v>
      </c>
      <c r="M210" s="3"/>
      <c r="N210" s="7">
        <f t="shared" si="39"/>
        <v>1.4763475038670089</v>
      </c>
      <c r="O210" s="12"/>
      <c r="P210" s="8">
        <v>7134.71</v>
      </c>
      <c r="Q210" s="3"/>
      <c r="R210" s="7">
        <f t="shared" si="40"/>
        <v>1.0086950074876912E-3</v>
      </c>
      <c r="S210" s="3"/>
      <c r="T210" s="8">
        <v>3807.12</v>
      </c>
      <c r="U210" s="3"/>
      <c r="V210" s="7">
        <f t="shared" si="41"/>
        <v>8.0907661587388373E-4</v>
      </c>
      <c r="W210" s="3"/>
      <c r="X210" s="8">
        <f t="shared" si="42"/>
        <v>3327.59</v>
      </c>
      <c r="Y210" s="3"/>
      <c r="Z210" s="7">
        <f t="shared" si="43"/>
        <v>0.87404389669881699</v>
      </c>
    </row>
    <row r="211" spans="1:26" s="69" customFormat="1" ht="15" hidden="1" customHeight="1" outlineLevel="2" x14ac:dyDescent="0.3">
      <c r="A211" s="26"/>
      <c r="B211" s="12" t="str">
        <f>CONCATENATE("          ","6241"," - ","OFFICE EXPENSE")</f>
        <v xml:space="preserve">          6241 - OFFICE EXPENSE</v>
      </c>
      <c r="C211" s="12"/>
      <c r="D211" s="8">
        <v>2289.85</v>
      </c>
      <c r="E211" s="3"/>
      <c r="F211" s="7">
        <f t="shared" si="36"/>
        <v>2.3439116183026653E-3</v>
      </c>
      <c r="G211" s="3"/>
      <c r="H211" s="8">
        <v>514.54999999999995</v>
      </c>
      <c r="I211" s="3"/>
      <c r="J211" s="7">
        <f t="shared" si="37"/>
        <v>1.1733836944613299E-3</v>
      </c>
      <c r="K211" s="3"/>
      <c r="L211" s="8">
        <f t="shared" si="38"/>
        <v>1775.3</v>
      </c>
      <c r="M211" s="3"/>
      <c r="N211" s="7">
        <f t="shared" si="39"/>
        <v>3.450199203187251</v>
      </c>
      <c r="O211" s="12"/>
      <c r="P211" s="8">
        <v>17484.45</v>
      </c>
      <c r="Q211" s="3"/>
      <c r="R211" s="7">
        <f t="shared" si="40"/>
        <v>2.4719263184723927E-3</v>
      </c>
      <c r="S211" s="3"/>
      <c r="T211" s="8">
        <v>10999.01</v>
      </c>
      <c r="U211" s="3"/>
      <c r="V211" s="7">
        <f t="shared" si="41"/>
        <v>2.3374734152753281E-3</v>
      </c>
      <c r="W211" s="3"/>
      <c r="X211" s="8">
        <f t="shared" si="42"/>
        <v>6485.4400000000005</v>
      </c>
      <c r="Y211" s="3"/>
      <c r="Z211" s="7">
        <f t="shared" si="43"/>
        <v>0.58963852201243572</v>
      </c>
    </row>
    <row r="212" spans="1:26" s="69" customFormat="1" ht="15" hidden="1" customHeight="1" outlineLevel="2" x14ac:dyDescent="0.3">
      <c r="A212" s="26"/>
      <c r="B212" s="12" t="str">
        <f>CONCATENATE("          ","6243"," - ","PAPER SUPPLIES")</f>
        <v xml:space="preserve">          6243 - PAPER SUPPLIES</v>
      </c>
      <c r="C212" s="12"/>
      <c r="D212" s="8">
        <v>410.22</v>
      </c>
      <c r="E212" s="3"/>
      <c r="F212" s="7">
        <f t="shared" si="36"/>
        <v>4.1990498244868417E-4</v>
      </c>
      <c r="G212" s="3"/>
      <c r="H212" s="8">
        <v>199.93</v>
      </c>
      <c r="I212" s="3"/>
      <c r="J212" s="7">
        <f t="shared" si="37"/>
        <v>4.5592187743397864E-4</v>
      </c>
      <c r="K212" s="3"/>
      <c r="L212" s="8">
        <f t="shared" si="38"/>
        <v>210.29000000000002</v>
      </c>
      <c r="M212" s="3"/>
      <c r="N212" s="7">
        <f t="shared" si="39"/>
        <v>1.0518181363477217</v>
      </c>
      <c r="O212" s="12"/>
      <c r="P212" s="8">
        <v>7289.74</v>
      </c>
      <c r="Q212" s="3"/>
      <c r="R212" s="7">
        <f t="shared" si="40"/>
        <v>1.0306129252462008E-3</v>
      </c>
      <c r="S212" s="3"/>
      <c r="T212" s="8">
        <v>6682.58</v>
      </c>
      <c r="U212" s="3"/>
      <c r="V212" s="7">
        <f t="shared" si="41"/>
        <v>1.4201599139786764E-3</v>
      </c>
      <c r="W212" s="3"/>
      <c r="X212" s="8">
        <f t="shared" si="42"/>
        <v>607.15999999999985</v>
      </c>
      <c r="Y212" s="3"/>
      <c r="Z212" s="7">
        <f t="shared" si="43"/>
        <v>9.0857124044904786E-2</v>
      </c>
    </row>
    <row r="213" spans="1:26" s="69" customFormat="1" ht="15" hidden="1" customHeight="1" outlineLevel="2" x14ac:dyDescent="0.3">
      <c r="A213" s="26"/>
      <c r="B213" s="12" t="str">
        <f>CONCATENATE("          ","6245"," - ","PRINTING")</f>
        <v xml:space="preserve">          6245 - PRINTING</v>
      </c>
      <c r="C213" s="12"/>
      <c r="D213" s="8">
        <v>-45.84</v>
      </c>
      <c r="E213" s="3"/>
      <c r="F213" s="7">
        <f t="shared" si="36"/>
        <v>-4.6922247563374974E-5</v>
      </c>
      <c r="G213" s="3"/>
      <c r="H213" s="8">
        <v>1766.38</v>
      </c>
      <c r="I213" s="3"/>
      <c r="J213" s="7">
        <f t="shared" si="37"/>
        <v>4.0280662524975301E-3</v>
      </c>
      <c r="K213" s="3"/>
      <c r="L213" s="8">
        <f t="shared" si="38"/>
        <v>-1812.22</v>
      </c>
      <c r="M213" s="3"/>
      <c r="N213" s="7">
        <f t="shared" si="39"/>
        <v>-1.0259513807900904</v>
      </c>
      <c r="O213" s="12"/>
      <c r="P213" s="8">
        <v>6940.68</v>
      </c>
      <c r="Q213" s="3"/>
      <c r="R213" s="7">
        <f t="shared" si="40"/>
        <v>9.8126332598937722E-4</v>
      </c>
      <c r="S213" s="3"/>
      <c r="T213" s="8">
        <v>3120.59</v>
      </c>
      <c r="U213" s="3"/>
      <c r="V213" s="7">
        <f t="shared" si="41"/>
        <v>6.6317751915618184E-4</v>
      </c>
      <c r="W213" s="3"/>
      <c r="X213" s="8">
        <f t="shared" si="42"/>
        <v>3820.09</v>
      </c>
      <c r="Y213" s="3"/>
      <c r="Z213" s="7">
        <f t="shared" si="43"/>
        <v>1.2241563294120663</v>
      </c>
    </row>
    <row r="214" spans="1:26" s="69" customFormat="1" ht="15" hidden="1" customHeight="1" outlineLevel="2" x14ac:dyDescent="0.3">
      <c r="A214" s="26"/>
      <c r="B214" s="12" t="str">
        <f>CONCATENATE("          ","6247"," - ","STORE SUPPLIES")</f>
        <v xml:space="preserve">          6247 - STORE SUPPLIES</v>
      </c>
      <c r="C214" s="12"/>
      <c r="D214" s="8">
        <v>1601.51</v>
      </c>
      <c r="E214" s="3"/>
      <c r="F214" s="7">
        <f t="shared" si="36"/>
        <v>1.6393204340144122E-3</v>
      </c>
      <c r="G214" s="3"/>
      <c r="H214" s="8">
        <v>2162.46</v>
      </c>
      <c r="I214" s="3"/>
      <c r="J214" s="7">
        <f t="shared" si="37"/>
        <v>4.9312900669028232E-3</v>
      </c>
      <c r="K214" s="3"/>
      <c r="L214" s="8">
        <f t="shared" si="38"/>
        <v>-560.95000000000005</v>
      </c>
      <c r="M214" s="3"/>
      <c r="N214" s="7">
        <f t="shared" si="39"/>
        <v>-0.25940364214829409</v>
      </c>
      <c r="O214" s="12"/>
      <c r="P214" s="8">
        <v>49637.35</v>
      </c>
      <c r="Q214" s="3"/>
      <c r="R214" s="7">
        <f t="shared" si="40"/>
        <v>7.0176569376918119E-3</v>
      </c>
      <c r="S214" s="3"/>
      <c r="T214" s="8">
        <v>46587.59</v>
      </c>
      <c r="U214" s="3"/>
      <c r="V214" s="7">
        <f t="shared" si="41"/>
        <v>9.9006413401521321E-3</v>
      </c>
      <c r="W214" s="3"/>
      <c r="X214" s="8">
        <f t="shared" si="42"/>
        <v>3049.760000000002</v>
      </c>
      <c r="Y214" s="3"/>
      <c r="Z214" s="7">
        <f t="shared" si="43"/>
        <v>6.5462926929682391E-2</v>
      </c>
    </row>
    <row r="215" spans="1:26" s="68" customFormat="1" ht="15" customHeight="1" outlineLevel="1" collapsed="1" x14ac:dyDescent="0.3">
      <c r="A215" s="25"/>
      <c r="B215" s="14" t="str">
        <f>CONCATENATE("     ","Telephone/Data Lines                              ")</f>
        <v xml:space="preserve">     Telephone/Data Lines                              </v>
      </c>
      <c r="C215" s="14"/>
      <c r="D215" s="2">
        <f>SUM(OSRRefD22_22x_0)</f>
        <v>2606.94</v>
      </c>
      <c r="E215" s="2"/>
      <c r="F215" s="6">
        <f t="shared" si="36"/>
        <v>2.6684878722265434E-3</v>
      </c>
      <c r="G215" s="2"/>
      <c r="H215" s="2">
        <f>SUM(OSRRefH22_22x_0)</f>
        <v>2288.2600000000002</v>
      </c>
      <c r="I215" s="2"/>
      <c r="J215" s="6">
        <f t="shared" si="37"/>
        <v>5.2181653341523337E-3</v>
      </c>
      <c r="K215" s="2"/>
      <c r="L215" s="2">
        <f t="shared" si="38"/>
        <v>318.67999999999984</v>
      </c>
      <c r="M215" s="2"/>
      <c r="N215" s="6">
        <f t="shared" si="39"/>
        <v>0.13926739094333676</v>
      </c>
      <c r="O215" s="14"/>
      <c r="P215" s="2">
        <f>SUM(OSRRefP22_22x_0)</f>
        <v>20144.36</v>
      </c>
      <c r="Q215" s="2"/>
      <c r="R215" s="6">
        <f t="shared" si="40"/>
        <v>2.8479805571683709E-3</v>
      </c>
      <c r="S215" s="2"/>
      <c r="T215" s="2">
        <f>SUM(OSRRefT22_22x_0)</f>
        <v>25349.82</v>
      </c>
      <c r="U215" s="2"/>
      <c r="V215" s="6">
        <f t="shared" si="41"/>
        <v>5.3872603381590542E-3</v>
      </c>
      <c r="W215" s="2"/>
      <c r="X215" s="2">
        <f t="shared" si="42"/>
        <v>-5205.4599999999991</v>
      </c>
      <c r="Y215" s="2"/>
      <c r="Z215" s="6">
        <f t="shared" si="43"/>
        <v>-0.20534504781493515</v>
      </c>
    </row>
    <row r="216" spans="1:26" s="69" customFormat="1" ht="15" hidden="1" customHeight="1" outlineLevel="2" x14ac:dyDescent="0.3">
      <c r="A216" s="26"/>
      <c r="B216" s="12" t="str">
        <f>CONCATENATE("          ","6303"," - ","DATA PHONE LINES")</f>
        <v xml:space="preserve">          6303 - DATA PHONE LINES</v>
      </c>
      <c r="C216" s="12"/>
      <c r="D216" s="8"/>
      <c r="E216" s="3"/>
      <c r="F216" s="7">
        <f t="shared" si="36"/>
        <v>0</v>
      </c>
      <c r="G216" s="3"/>
      <c r="H216" s="8">
        <v>590</v>
      </c>
      <c r="I216" s="3"/>
      <c r="J216" s="7">
        <f t="shared" si="37"/>
        <v>1.3454404425851418E-3</v>
      </c>
      <c r="K216" s="3"/>
      <c r="L216" s="8">
        <f t="shared" si="38"/>
        <v>-590</v>
      </c>
      <c r="M216" s="3"/>
      <c r="N216" s="7">
        <f t="shared" si="39"/>
        <v>-1</v>
      </c>
      <c r="O216" s="12"/>
      <c r="P216" s="8">
        <v>295</v>
      </c>
      <c r="Q216" s="3"/>
      <c r="R216" s="7">
        <f t="shared" si="40"/>
        <v>4.1706674442110318E-5</v>
      </c>
      <c r="S216" s="3"/>
      <c r="T216" s="8">
        <v>3540</v>
      </c>
      <c r="U216" s="3"/>
      <c r="V216" s="7">
        <f t="shared" si="41"/>
        <v>7.5230915237595576E-4</v>
      </c>
      <c r="W216" s="3"/>
      <c r="X216" s="8">
        <f t="shared" si="42"/>
        <v>-3245</v>
      </c>
      <c r="Y216" s="3"/>
      <c r="Z216" s="7">
        <f t="shared" si="43"/>
        <v>-0.91666666666666663</v>
      </c>
    </row>
    <row r="217" spans="1:26" s="69" customFormat="1" ht="15" hidden="1" customHeight="1" outlineLevel="2" x14ac:dyDescent="0.3">
      <c r="A217" s="26"/>
      <c r="B217" s="12" t="str">
        <f>CONCATENATE("          ","6309"," - ","TELEPHONE")</f>
        <v xml:space="preserve">          6309 - TELEPHONE</v>
      </c>
      <c r="C217" s="12"/>
      <c r="D217" s="8">
        <v>2606.94</v>
      </c>
      <c r="E217" s="3"/>
      <c r="F217" s="7">
        <f t="shared" si="36"/>
        <v>2.6684878722265434E-3</v>
      </c>
      <c r="G217" s="3"/>
      <c r="H217" s="8">
        <v>1698.26</v>
      </c>
      <c r="I217" s="3"/>
      <c r="J217" s="7">
        <f t="shared" si="37"/>
        <v>3.8727248915671913E-3</v>
      </c>
      <c r="K217" s="3"/>
      <c r="L217" s="8">
        <f t="shared" si="38"/>
        <v>908.68000000000006</v>
      </c>
      <c r="M217" s="3"/>
      <c r="N217" s="7">
        <f t="shared" si="39"/>
        <v>0.53506530213277126</v>
      </c>
      <c r="O217" s="12"/>
      <c r="P217" s="8">
        <v>19849.36</v>
      </c>
      <c r="Q217" s="3"/>
      <c r="R217" s="7">
        <f t="shared" si="40"/>
        <v>2.8062738827262608E-3</v>
      </c>
      <c r="S217" s="3"/>
      <c r="T217" s="8">
        <v>21809.82</v>
      </c>
      <c r="U217" s="3"/>
      <c r="V217" s="7">
        <f t="shared" si="41"/>
        <v>4.6349511857830981E-3</v>
      </c>
      <c r="W217" s="3"/>
      <c r="X217" s="8">
        <f t="shared" si="42"/>
        <v>-1960.4599999999991</v>
      </c>
      <c r="Y217" s="3"/>
      <c r="Z217" s="7">
        <f t="shared" si="43"/>
        <v>-8.9888866574781415E-2</v>
      </c>
    </row>
    <row r="218" spans="1:26" s="68" customFormat="1" ht="15" customHeight="1" outlineLevel="1" collapsed="1" x14ac:dyDescent="0.3">
      <c r="A218" s="25"/>
      <c r="B218" s="14" t="str">
        <f>CONCATENATE("     ","Training                                          ")</f>
        <v xml:space="preserve">     Training                                          </v>
      </c>
      <c r="C218" s="14"/>
      <c r="D218" s="2">
        <f>SUM(OSRRefD22_23x_0)</f>
        <v>125</v>
      </c>
      <c r="E218" s="2"/>
      <c r="F218" s="6">
        <f t="shared" si="36"/>
        <v>1.2795115500484014E-4</v>
      </c>
      <c r="G218" s="2"/>
      <c r="H218" s="2">
        <f>SUM(OSRRefH22_23x_0)</f>
        <v>0</v>
      </c>
      <c r="I218" s="2"/>
      <c r="J218" s="6">
        <f t="shared" si="37"/>
        <v>0</v>
      </c>
      <c r="K218" s="2"/>
      <c r="L218" s="2">
        <f t="shared" si="38"/>
        <v>125</v>
      </c>
      <c r="M218" s="2"/>
      <c r="N218" s="6">
        <f t="shared" si="39"/>
        <v>0</v>
      </c>
      <c r="O218" s="14"/>
      <c r="P218" s="2">
        <f>SUM(OSRRefP22_23x_0)</f>
        <v>1539</v>
      </c>
      <c r="Q218" s="2"/>
      <c r="R218" s="6">
        <f t="shared" si="40"/>
        <v>2.1758159988612808E-4</v>
      </c>
      <c r="S218" s="2"/>
      <c r="T218" s="2">
        <f>SUM(OSRRefT22_23x_0)</f>
        <v>895.63</v>
      </c>
      <c r="U218" s="2"/>
      <c r="V218" s="6">
        <f t="shared" si="41"/>
        <v>1.9033634071821391E-4</v>
      </c>
      <c r="W218" s="2"/>
      <c r="X218" s="2">
        <f t="shared" si="42"/>
        <v>643.37</v>
      </c>
      <c r="Y218" s="2"/>
      <c r="Z218" s="6">
        <f t="shared" si="43"/>
        <v>0.71834351238792804</v>
      </c>
    </row>
    <row r="219" spans="1:26" s="69" customFormat="1" ht="15" hidden="1" customHeight="1" outlineLevel="2" x14ac:dyDescent="0.3">
      <c r="A219" s="26"/>
      <c r="B219" s="12" t="str">
        <f>CONCATENATE("          ","6376"," - ","TRAINING")</f>
        <v xml:space="preserve">          6376 - TRAINING</v>
      </c>
      <c r="C219" s="12"/>
      <c r="D219" s="8">
        <v>125</v>
      </c>
      <c r="E219" s="3"/>
      <c r="F219" s="7">
        <f t="shared" si="36"/>
        <v>1.2795115500484014E-4</v>
      </c>
      <c r="G219" s="3"/>
      <c r="H219" s="8"/>
      <c r="I219" s="3"/>
      <c r="J219" s="7">
        <f t="shared" si="37"/>
        <v>0</v>
      </c>
      <c r="K219" s="3"/>
      <c r="L219" s="8">
        <f t="shared" si="38"/>
        <v>125</v>
      </c>
      <c r="M219" s="3"/>
      <c r="N219" s="7">
        <f t="shared" si="39"/>
        <v>0</v>
      </c>
      <c r="O219" s="12"/>
      <c r="P219" s="8">
        <v>1539</v>
      </c>
      <c r="Q219" s="3"/>
      <c r="R219" s="7">
        <f t="shared" si="40"/>
        <v>2.1758159988612808E-4</v>
      </c>
      <c r="S219" s="3"/>
      <c r="T219" s="8">
        <v>895.63</v>
      </c>
      <c r="U219" s="3"/>
      <c r="V219" s="7">
        <f t="shared" si="41"/>
        <v>1.9033634071821391E-4</v>
      </c>
      <c r="W219" s="3"/>
      <c r="X219" s="8">
        <f t="shared" si="42"/>
        <v>643.37</v>
      </c>
      <c r="Y219" s="3"/>
      <c r="Z219" s="7">
        <f t="shared" si="43"/>
        <v>0.71834351238792804</v>
      </c>
    </row>
    <row r="220" spans="1:26" s="68" customFormat="1" ht="15" customHeight="1" outlineLevel="1" collapsed="1" x14ac:dyDescent="0.3">
      <c r="A220" s="25"/>
      <c r="B220" s="14" t="str">
        <f>CONCATENATE("     ","Travel                                            ")</f>
        <v xml:space="preserve">     Travel                                            </v>
      </c>
      <c r="C220" s="14"/>
      <c r="D220" s="2">
        <f>SUM(OSRRefD22_24x_0)</f>
        <v>149.41</v>
      </c>
      <c r="E220" s="2"/>
      <c r="F220" s="6">
        <f t="shared" si="36"/>
        <v>1.5293745655418532E-4</v>
      </c>
      <c r="G220" s="2"/>
      <c r="H220" s="2">
        <f>SUM(OSRRefH22_24x_0)</f>
        <v>69.069999999999993</v>
      </c>
      <c r="I220" s="2"/>
      <c r="J220" s="6">
        <f t="shared" si="37"/>
        <v>1.5750774808365379E-4</v>
      </c>
      <c r="K220" s="2"/>
      <c r="L220" s="2">
        <f t="shared" si="38"/>
        <v>80.34</v>
      </c>
      <c r="M220" s="2"/>
      <c r="N220" s="6">
        <f t="shared" si="39"/>
        <v>1.1631678007818158</v>
      </c>
      <c r="O220" s="14"/>
      <c r="P220" s="2">
        <f>SUM(OSRRefP22_24x_0)</f>
        <v>1284.98</v>
      </c>
      <c r="Q220" s="2"/>
      <c r="R220" s="6">
        <f t="shared" si="40"/>
        <v>1.8166861872753531E-4</v>
      </c>
      <c r="S220" s="2"/>
      <c r="T220" s="2">
        <f>SUM(OSRRefT22_24x_0)</f>
        <v>972.4</v>
      </c>
      <c r="U220" s="2"/>
      <c r="V220" s="6">
        <f t="shared" si="41"/>
        <v>2.0665124852270602E-4</v>
      </c>
      <c r="W220" s="2"/>
      <c r="X220" s="2">
        <f t="shared" si="42"/>
        <v>312.58000000000004</v>
      </c>
      <c r="Y220" s="2"/>
      <c r="Z220" s="6">
        <f t="shared" si="43"/>
        <v>0.32145207733443032</v>
      </c>
    </row>
    <row r="221" spans="1:26" s="69" customFormat="1" ht="15" hidden="1" customHeight="1" outlineLevel="2" x14ac:dyDescent="0.3">
      <c r="A221" s="26"/>
      <c r="B221" s="12" t="str">
        <f>CONCATENATE("          ","6292"," - ","TRAVEL/CONFERENCE")</f>
        <v xml:space="preserve">          6292 - TRAVEL/CONFERENCE</v>
      </c>
      <c r="C221" s="12"/>
      <c r="D221" s="8"/>
      <c r="E221" s="3"/>
      <c r="F221" s="7">
        <f t="shared" si="36"/>
        <v>0</v>
      </c>
      <c r="G221" s="3"/>
      <c r="H221" s="8"/>
      <c r="I221" s="3"/>
      <c r="J221" s="7">
        <f t="shared" si="37"/>
        <v>0</v>
      </c>
      <c r="K221" s="3"/>
      <c r="L221" s="8">
        <f t="shared" si="38"/>
        <v>0</v>
      </c>
      <c r="M221" s="3"/>
      <c r="N221" s="7">
        <f t="shared" si="39"/>
        <v>0</v>
      </c>
      <c r="O221" s="12"/>
      <c r="P221" s="8">
        <v>495</v>
      </c>
      <c r="Q221" s="3"/>
      <c r="R221" s="7">
        <f t="shared" si="40"/>
        <v>6.99823859282868E-5</v>
      </c>
      <c r="S221" s="3"/>
      <c r="T221" s="8">
        <v>299.16000000000003</v>
      </c>
      <c r="U221" s="3"/>
      <c r="V221" s="7">
        <f t="shared" si="41"/>
        <v>6.3576498877059592E-5</v>
      </c>
      <c r="W221" s="3"/>
      <c r="X221" s="8">
        <f t="shared" si="42"/>
        <v>195.83999999999997</v>
      </c>
      <c r="Y221" s="3"/>
      <c r="Z221" s="7">
        <f t="shared" si="43"/>
        <v>0.65463297232250284</v>
      </c>
    </row>
    <row r="222" spans="1:26" s="69" customFormat="1" ht="15" hidden="1" customHeight="1" outlineLevel="2" x14ac:dyDescent="0.3">
      <c r="A222" s="26"/>
      <c r="B222" s="12" t="str">
        <f>CONCATENATE("          ","6294"," - ","TRAVEL OPERATIONAL")</f>
        <v xml:space="preserve">          6294 - TRAVEL OPERATIONAL</v>
      </c>
      <c r="C222" s="12"/>
      <c r="D222" s="8"/>
      <c r="E222" s="3"/>
      <c r="F222" s="7">
        <f t="shared" si="36"/>
        <v>0</v>
      </c>
      <c r="G222" s="3"/>
      <c r="H222" s="8">
        <v>69.069999999999993</v>
      </c>
      <c r="I222" s="3"/>
      <c r="J222" s="7">
        <f t="shared" si="37"/>
        <v>1.5750774808365379E-4</v>
      </c>
      <c r="K222" s="3"/>
      <c r="L222" s="8">
        <f t="shared" si="38"/>
        <v>-69.069999999999993</v>
      </c>
      <c r="M222" s="3"/>
      <c r="N222" s="7">
        <f t="shared" si="39"/>
        <v>-1</v>
      </c>
      <c r="O222" s="12"/>
      <c r="P222" s="8">
        <v>403.48</v>
      </c>
      <c r="Q222" s="3"/>
      <c r="R222" s="7">
        <f t="shared" si="40"/>
        <v>5.7043420352212445E-5</v>
      </c>
      <c r="S222" s="3"/>
      <c r="T222" s="8">
        <v>613.35</v>
      </c>
      <c r="U222" s="3"/>
      <c r="V222" s="7">
        <f t="shared" si="41"/>
        <v>1.3034712390107132E-4</v>
      </c>
      <c r="W222" s="3"/>
      <c r="X222" s="8">
        <f t="shared" si="42"/>
        <v>-209.87</v>
      </c>
      <c r="Y222" s="3"/>
      <c r="Z222" s="7">
        <f t="shared" si="43"/>
        <v>-0.34217004972690956</v>
      </c>
    </row>
    <row r="223" spans="1:26" s="69" customFormat="1" ht="15" hidden="1" customHeight="1" outlineLevel="2" x14ac:dyDescent="0.3">
      <c r="A223" s="26"/>
      <c r="B223" s="12" t="str">
        <f>CONCATENATE("          ","6298"," - ","VEHICLE MILEAGE")</f>
        <v xml:space="preserve">          6298 - VEHICLE MILEAGE</v>
      </c>
      <c r="C223" s="12"/>
      <c r="D223" s="8">
        <v>149.41</v>
      </c>
      <c r="E223" s="3"/>
      <c r="F223" s="7">
        <f t="shared" si="36"/>
        <v>1.5293745655418532E-4</v>
      </c>
      <c r="G223" s="3"/>
      <c r="H223" s="8"/>
      <c r="I223" s="3"/>
      <c r="J223" s="7">
        <f t="shared" si="37"/>
        <v>0</v>
      </c>
      <c r="K223" s="3"/>
      <c r="L223" s="8">
        <f t="shared" si="38"/>
        <v>149.41</v>
      </c>
      <c r="M223" s="3"/>
      <c r="N223" s="7">
        <f t="shared" si="39"/>
        <v>0</v>
      </c>
      <c r="O223" s="12"/>
      <c r="P223" s="8">
        <v>386.5</v>
      </c>
      <c r="Q223" s="3"/>
      <c r="R223" s="7">
        <f t="shared" si="40"/>
        <v>5.4642812447036062E-5</v>
      </c>
      <c r="S223" s="3"/>
      <c r="T223" s="8">
        <v>59.89</v>
      </c>
      <c r="U223" s="3"/>
      <c r="V223" s="7">
        <f t="shared" si="41"/>
        <v>1.2727625744575139E-5</v>
      </c>
      <c r="W223" s="3"/>
      <c r="X223" s="8">
        <f t="shared" si="42"/>
        <v>326.61</v>
      </c>
      <c r="Y223" s="3"/>
      <c r="Z223" s="7">
        <f t="shared" si="43"/>
        <v>5.4534980798129906</v>
      </c>
    </row>
    <row r="224" spans="1:26" s="68" customFormat="1" ht="15" customHeight="1" outlineLevel="1" collapsed="1" x14ac:dyDescent="0.3">
      <c r="A224" s="25"/>
      <c r="B224" s="14" t="str">
        <f>CONCATENATE("     ","Utilities                                         ")</f>
        <v xml:space="preserve">     Utilities                                         </v>
      </c>
      <c r="C224" s="14"/>
      <c r="D224" s="2">
        <f>SUM(OSRRefD22_25x_0)</f>
        <v>6354.32</v>
      </c>
      <c r="E224" s="2"/>
      <c r="F224" s="6">
        <f t="shared" si="36"/>
        <v>6.5043406661628453E-3</v>
      </c>
      <c r="G224" s="2"/>
      <c r="H224" s="2">
        <f>SUM(OSRRefH22_25x_0)</f>
        <v>7297.93</v>
      </c>
      <c r="I224" s="2"/>
      <c r="J224" s="6">
        <f t="shared" si="37"/>
        <v>1.6642254523992175E-2</v>
      </c>
      <c r="K224" s="2"/>
      <c r="L224" s="2">
        <f t="shared" si="38"/>
        <v>-943.61000000000058</v>
      </c>
      <c r="M224" s="2"/>
      <c r="N224" s="6">
        <f t="shared" si="39"/>
        <v>-0.12929830787634308</v>
      </c>
      <c r="O224" s="14"/>
      <c r="P224" s="2">
        <f>SUM(OSRRefP22_25x_0)</f>
        <v>56287.22</v>
      </c>
      <c r="Q224" s="2"/>
      <c r="R224" s="6">
        <f t="shared" si="40"/>
        <v>7.9578059653947139E-3</v>
      </c>
      <c r="S224" s="2"/>
      <c r="T224" s="2">
        <f>SUM(OSRRefT22_25x_0)</f>
        <v>64463.55</v>
      </c>
      <c r="U224" s="2"/>
      <c r="V224" s="6">
        <f t="shared" si="41"/>
        <v>1.3699581542272611E-2</v>
      </c>
      <c r="W224" s="2"/>
      <c r="X224" s="2">
        <f t="shared" si="42"/>
        <v>-8176.3300000000017</v>
      </c>
      <c r="Y224" s="2"/>
      <c r="Z224" s="6">
        <f t="shared" si="43"/>
        <v>-0.12683648356319194</v>
      </c>
    </row>
    <row r="225" spans="1:26" s="69" customFormat="1" ht="15" hidden="1" customHeight="1" outlineLevel="2" x14ac:dyDescent="0.3">
      <c r="A225" s="26"/>
      <c r="B225" s="12" t="str">
        <f>CONCATENATE("          ","6274"," - ","UTILITIES")</f>
        <v xml:space="preserve">          6274 - UTILITIES</v>
      </c>
      <c r="C225" s="12"/>
      <c r="D225" s="8">
        <v>6354.32</v>
      </c>
      <c r="E225" s="3"/>
      <c r="F225" s="7">
        <f t="shared" si="36"/>
        <v>6.5043406661628453E-3</v>
      </c>
      <c r="G225" s="3"/>
      <c r="H225" s="8">
        <v>7297.93</v>
      </c>
      <c r="I225" s="3"/>
      <c r="J225" s="7">
        <f t="shared" si="37"/>
        <v>1.6642254523992175E-2</v>
      </c>
      <c r="K225" s="3"/>
      <c r="L225" s="8">
        <f t="shared" si="38"/>
        <v>-943.61000000000058</v>
      </c>
      <c r="M225" s="3"/>
      <c r="N225" s="7">
        <f t="shared" si="39"/>
        <v>-0.12929830787634308</v>
      </c>
      <c r="O225" s="12"/>
      <c r="P225" s="8">
        <v>56287.22</v>
      </c>
      <c r="Q225" s="3"/>
      <c r="R225" s="7">
        <f t="shared" si="40"/>
        <v>7.9578059653947139E-3</v>
      </c>
      <c r="S225" s="3"/>
      <c r="T225" s="8">
        <v>64463.55</v>
      </c>
      <c r="U225" s="3"/>
      <c r="V225" s="7">
        <f t="shared" si="41"/>
        <v>1.3699581542272611E-2</v>
      </c>
      <c r="W225" s="3"/>
      <c r="X225" s="8">
        <f t="shared" si="42"/>
        <v>-8176.3300000000017</v>
      </c>
      <c r="Y225" s="3"/>
      <c r="Z225" s="7">
        <f t="shared" si="43"/>
        <v>-0.12683648356319194</v>
      </c>
    </row>
    <row r="226" spans="1:26" s="64" customFormat="1" ht="15" customHeight="1" x14ac:dyDescent="0.3">
      <c r="A226" s="36"/>
      <c r="B226" s="36"/>
      <c r="C226" s="36"/>
      <c r="D226" s="2"/>
      <c r="E226" s="2"/>
      <c r="F226" s="6"/>
      <c r="G226" s="2"/>
      <c r="H226" s="2"/>
      <c r="I226" s="2"/>
      <c r="J226" s="6"/>
      <c r="K226" s="2"/>
      <c r="L226" s="2"/>
      <c r="M226" s="2"/>
      <c r="N226" s="6"/>
      <c r="O226" s="36"/>
      <c r="P226" s="2"/>
      <c r="Q226" s="2"/>
      <c r="R226" s="6"/>
      <c r="S226" s="2"/>
      <c r="T226" s="2"/>
      <c r="U226" s="2"/>
      <c r="V226" s="6"/>
      <c r="W226" s="2"/>
      <c r="X226" s="2"/>
      <c r="Y226" s="2"/>
      <c r="Z226" s="6"/>
    </row>
    <row r="227" spans="1:26" s="62" customFormat="1" ht="15" customHeight="1" collapsed="1" x14ac:dyDescent="0.3">
      <c r="A227" s="11"/>
      <c r="B227" s="27" t="s">
        <v>290</v>
      </c>
      <c r="C227" s="11"/>
      <c r="D227" s="5">
        <f>SUM(OSRRefD25x_0)</f>
        <v>55053.770000000004</v>
      </c>
      <c r="E227" s="5"/>
      <c r="F227" s="13">
        <f t="shared" ref="F227:F232" si="44">IF(D$12=0,0,D227/D$12)</f>
        <v>5.6353547670966543E-2</v>
      </c>
      <c r="G227" s="5"/>
      <c r="H227" s="5">
        <f>SUM(OSRRefH25x_0)</f>
        <v>30690.94</v>
      </c>
      <c r="I227" s="5"/>
      <c r="J227" s="13">
        <f t="shared" ref="J227:J232" si="45">IF(H$12=0,0,H227/H$12)</f>
        <v>6.9987850672803442E-2</v>
      </c>
      <c r="K227" s="5"/>
      <c r="L227" s="5">
        <f t="shared" ref="L227:L232" si="46">+D227-H227</f>
        <v>24362.830000000005</v>
      </c>
      <c r="M227" s="5"/>
      <c r="N227" s="13">
        <f t="shared" ref="N227:N232" si="47">IF(H227=0,0,L227/H227)</f>
        <v>0.79381178940755825</v>
      </c>
      <c r="O227" s="11"/>
      <c r="P227" s="5">
        <f>SUM(OSRRefP25x_0)</f>
        <v>965961.1100000001</v>
      </c>
      <c r="Q227" s="5"/>
      <c r="R227" s="13">
        <f t="shared" ref="R227:R232" si="48">IF(P$12=0,0,P227/P$12)</f>
        <v>0.13656618826613395</v>
      </c>
      <c r="S227" s="5"/>
      <c r="T227" s="5">
        <f>SUM(OSRRefT25x_0)</f>
        <v>992993.17000000016</v>
      </c>
      <c r="U227" s="5"/>
      <c r="V227" s="13">
        <f t="shared" ref="V227:V232" si="49">IF(T$12=0,0,T227/T$12)</f>
        <v>0.21102764125361961</v>
      </c>
      <c r="W227" s="5"/>
      <c r="X227" s="5">
        <f t="shared" ref="X227:X232" si="50">+P227-T227</f>
        <v>-27032.060000000056</v>
      </c>
      <c r="Y227" s="5"/>
      <c r="Z227" s="13">
        <f t="shared" ref="Z227:Z232" si="51">IF(T227=0,0,X227/T227)</f>
        <v>-2.7222805570757402E-2</v>
      </c>
    </row>
    <row r="228" spans="1:26" s="69" customFormat="1" ht="15" hidden="1" customHeight="1" outlineLevel="1" x14ac:dyDescent="0.3">
      <c r="A228" s="42"/>
      <c r="B228" s="12" t="str">
        <f>CONCATENATE("          ","4098"," - ","TAXABLE SALES-GRAD RENTALS")</f>
        <v xml:space="preserve">          4098 - TAXABLE SALES-GRAD RENTALS</v>
      </c>
      <c r="C228" s="12"/>
      <c r="D228" s="3">
        <f>0</f>
        <v>0</v>
      </c>
      <c r="E228" s="3"/>
      <c r="F228" s="20">
        <f t="shared" si="44"/>
        <v>0</v>
      </c>
      <c r="G228" s="3"/>
      <c r="H228" s="3">
        <f>--49.95</f>
        <v>49.95</v>
      </c>
      <c r="I228" s="3"/>
      <c r="J228" s="20">
        <f t="shared" si="45"/>
        <v>1.1390635611377599E-4</v>
      </c>
      <c r="K228" s="3"/>
      <c r="L228" s="3">
        <f t="shared" si="46"/>
        <v>-49.95</v>
      </c>
      <c r="M228" s="3"/>
      <c r="N228" s="20">
        <f t="shared" si="47"/>
        <v>-1</v>
      </c>
      <c r="O228" s="12"/>
      <c r="P228" s="3">
        <f>0</f>
        <v>0</v>
      </c>
      <c r="Q228" s="3"/>
      <c r="R228" s="20">
        <f t="shared" si="48"/>
        <v>0</v>
      </c>
      <c r="S228" s="3"/>
      <c r="T228" s="3">
        <f>--49.95</f>
        <v>49.95</v>
      </c>
      <c r="U228" s="3"/>
      <c r="V228" s="20">
        <f t="shared" si="49"/>
        <v>1.0615209650050562E-5</v>
      </c>
      <c r="W228" s="3"/>
      <c r="X228" s="3">
        <f t="shared" si="50"/>
        <v>-49.95</v>
      </c>
      <c r="Y228" s="3"/>
      <c r="Z228" s="20">
        <f t="shared" si="51"/>
        <v>-1</v>
      </c>
    </row>
    <row r="229" spans="1:26" s="69" customFormat="1" ht="15" hidden="1" customHeight="1" outlineLevel="1" x14ac:dyDescent="0.3">
      <c r="A229" s="42"/>
      <c r="B229" s="12" t="str">
        <f>CONCATENATE("          ","9150"," - ","MISC. INCOME")</f>
        <v xml:space="preserve">          9150 - MISC. INCOME</v>
      </c>
      <c r="C229" s="12"/>
      <c r="D229" s="3">
        <f>--53560.86</f>
        <v>53560.86</v>
      </c>
      <c r="E229" s="3"/>
      <c r="F229" s="20">
        <f t="shared" si="44"/>
        <v>5.4825391200420334E-2</v>
      </c>
      <c r="G229" s="3"/>
      <c r="H229" s="3">
        <f>--30090.95</f>
        <v>30090.95</v>
      </c>
      <c r="I229" s="3"/>
      <c r="J229" s="20">
        <f t="shared" si="45"/>
        <v>6.8619628958995538E-2</v>
      </c>
      <c r="K229" s="3"/>
      <c r="L229" s="3">
        <f t="shared" si="46"/>
        <v>23469.91</v>
      </c>
      <c r="M229" s="3"/>
      <c r="N229" s="20">
        <f t="shared" si="47"/>
        <v>0.7799657372067017</v>
      </c>
      <c r="O229" s="12"/>
      <c r="P229" s="3">
        <f>--381491.28</f>
        <v>381491.28</v>
      </c>
      <c r="Q229" s="3"/>
      <c r="R229" s="20">
        <f t="shared" si="48"/>
        <v>5.3934686838860858E-2</v>
      </c>
      <c r="S229" s="3"/>
      <c r="T229" s="3">
        <f>--346619.7</f>
        <v>346619.7</v>
      </c>
      <c r="U229" s="3"/>
      <c r="V229" s="20">
        <f t="shared" si="49"/>
        <v>7.3662478164917541E-2</v>
      </c>
      <c r="W229" s="3"/>
      <c r="X229" s="3">
        <f t="shared" si="50"/>
        <v>34871.580000000016</v>
      </c>
      <c r="Y229" s="3"/>
      <c r="Z229" s="20">
        <f t="shared" si="51"/>
        <v>0.10060472615953454</v>
      </c>
    </row>
    <row r="230" spans="1:26" s="69" customFormat="1" ht="15" hidden="1" customHeight="1" outlineLevel="1" x14ac:dyDescent="0.3">
      <c r="A230" s="42"/>
      <c r="B230" s="12" t="str">
        <f>CONCATENATE("          ","9151"," - ","MISC. INCOME")</f>
        <v xml:space="preserve">          9151 - MISC. INCOME</v>
      </c>
      <c r="C230" s="12"/>
      <c r="D230" s="3">
        <f>0</f>
        <v>0</v>
      </c>
      <c r="E230" s="3"/>
      <c r="F230" s="20">
        <f t="shared" si="44"/>
        <v>0</v>
      </c>
      <c r="G230" s="3"/>
      <c r="H230" s="3">
        <f>0</f>
        <v>0</v>
      </c>
      <c r="I230" s="3"/>
      <c r="J230" s="20">
        <f t="shared" si="45"/>
        <v>0</v>
      </c>
      <c r="K230" s="3"/>
      <c r="L230" s="3">
        <f t="shared" si="46"/>
        <v>0</v>
      </c>
      <c r="M230" s="3"/>
      <c r="N230" s="20">
        <f t="shared" si="47"/>
        <v>0</v>
      </c>
      <c r="O230" s="12"/>
      <c r="P230" s="3">
        <f>--323761.7</f>
        <v>323761.7</v>
      </c>
      <c r="Q230" s="3"/>
      <c r="R230" s="20">
        <f t="shared" si="48"/>
        <v>4.5772962097370133E-2</v>
      </c>
      <c r="S230" s="3"/>
      <c r="T230" s="3">
        <f>--295628.46</f>
        <v>295628.46000000002</v>
      </c>
      <c r="U230" s="3"/>
      <c r="V230" s="20">
        <f t="shared" si="49"/>
        <v>6.2825987616047782E-2</v>
      </c>
      <c r="W230" s="3"/>
      <c r="X230" s="3">
        <f t="shared" si="50"/>
        <v>28133.239999999991</v>
      </c>
      <c r="Y230" s="3"/>
      <c r="Z230" s="20">
        <f t="shared" si="51"/>
        <v>9.5164180065748699E-2</v>
      </c>
    </row>
    <row r="231" spans="1:26" s="69" customFormat="1" ht="15" hidden="1" customHeight="1" outlineLevel="1" x14ac:dyDescent="0.3">
      <c r="A231" s="42"/>
      <c r="B231" s="12" t="str">
        <f>CONCATENATE("          ","9152"," - ","MISC. INCOME")</f>
        <v xml:space="preserve">          9152 - MISC. INCOME</v>
      </c>
      <c r="C231" s="12"/>
      <c r="D231" s="3">
        <f>-496.09</f>
        <v>-496.09</v>
      </c>
      <c r="E231" s="3"/>
      <c r="F231" s="20">
        <f t="shared" si="44"/>
        <v>-5.0780230789080911E-4</v>
      </c>
      <c r="G231" s="3"/>
      <c r="H231" s="3">
        <f>--505.94</f>
        <v>505.94</v>
      </c>
      <c r="I231" s="3"/>
      <c r="J231" s="20">
        <f t="shared" si="45"/>
        <v>1.153749385629706E-3</v>
      </c>
      <c r="K231" s="3"/>
      <c r="L231" s="3">
        <f t="shared" si="46"/>
        <v>-1002.03</v>
      </c>
      <c r="M231" s="3"/>
      <c r="N231" s="20">
        <f t="shared" si="47"/>
        <v>-1.9805312882950548</v>
      </c>
      <c r="O231" s="12"/>
      <c r="P231" s="3">
        <f>--3888.43</f>
        <v>3888.43</v>
      </c>
      <c r="Q231" s="3"/>
      <c r="R231" s="20">
        <f t="shared" si="48"/>
        <v>5.4974062407096619E-4</v>
      </c>
      <c r="S231" s="3"/>
      <c r="T231" s="3">
        <f>--4216.5</f>
        <v>4216.5</v>
      </c>
      <c r="U231" s="3"/>
      <c r="V231" s="20">
        <f t="shared" si="49"/>
        <v>8.960767064952592E-4</v>
      </c>
      <c r="W231" s="3"/>
      <c r="X231" s="3">
        <f t="shared" si="50"/>
        <v>-328.07000000000016</v>
      </c>
      <c r="Y231" s="3"/>
      <c r="Z231" s="20">
        <f t="shared" si="51"/>
        <v>-7.7806237400687817E-2</v>
      </c>
    </row>
    <row r="232" spans="1:26" s="69" customFormat="1" ht="15" hidden="1" customHeight="1" outlineLevel="1" x14ac:dyDescent="0.3">
      <c r="A232" s="42"/>
      <c r="B232" s="12" t="str">
        <f>CONCATENATE("          ","9163"," - ","MISC. INCOME")</f>
        <v xml:space="preserve">          9163 - MISC. INCOME</v>
      </c>
      <c r="C232" s="12"/>
      <c r="D232" s="3">
        <f>--1989</f>
        <v>1989</v>
      </c>
      <c r="E232" s="3"/>
      <c r="F232" s="20">
        <f t="shared" si="44"/>
        <v>2.0359587784370163E-3</v>
      </c>
      <c r="G232" s="3"/>
      <c r="H232" s="3">
        <f>--44.1</f>
        <v>44.1</v>
      </c>
      <c r="I232" s="3"/>
      <c r="J232" s="20">
        <f t="shared" si="45"/>
        <v>1.0056597206441484E-4</v>
      </c>
      <c r="K232" s="3"/>
      <c r="L232" s="3">
        <f t="shared" si="46"/>
        <v>1944.9</v>
      </c>
      <c r="M232" s="3"/>
      <c r="N232" s="20">
        <f t="shared" si="47"/>
        <v>44.102040816326529</v>
      </c>
      <c r="O232" s="12"/>
      <c r="P232" s="3">
        <f>--256819.7</f>
        <v>256819.7</v>
      </c>
      <c r="Q232" s="3"/>
      <c r="R232" s="20">
        <f t="shared" si="48"/>
        <v>3.6308798705832E-2</v>
      </c>
      <c r="S232" s="3"/>
      <c r="T232" s="3">
        <f>--346478.56</f>
        <v>346478.56</v>
      </c>
      <c r="U232" s="3"/>
      <c r="V232" s="20">
        <f t="shared" si="49"/>
        <v>7.3632483556508962E-2</v>
      </c>
      <c r="W232" s="3"/>
      <c r="X232" s="3">
        <f t="shared" si="50"/>
        <v>-89658.859999999986</v>
      </c>
      <c r="Y232" s="3"/>
      <c r="Z232" s="20">
        <f t="shared" si="51"/>
        <v>-0.25877174045054907</v>
      </c>
    </row>
    <row r="233" spans="1:26" ht="15" customHeight="1" x14ac:dyDescent="0.3">
      <c r="A233" s="10"/>
      <c r="B233" s="11"/>
      <c r="C233" s="11"/>
      <c r="D233" s="4"/>
      <c r="E233" s="4"/>
      <c r="F233" s="9"/>
      <c r="G233" s="4"/>
      <c r="H233" s="4"/>
      <c r="I233" s="4"/>
      <c r="J233" s="9"/>
      <c r="K233" s="4"/>
      <c r="L233" s="4"/>
      <c r="M233" s="4"/>
      <c r="N233" s="9"/>
      <c r="O233" s="11"/>
      <c r="P233" s="4"/>
      <c r="Q233" s="4"/>
      <c r="R233" s="9"/>
      <c r="S233" s="4"/>
      <c r="T233" s="4"/>
      <c r="U233" s="4"/>
      <c r="V233" s="9"/>
      <c r="W233" s="4"/>
      <c r="X233" s="4"/>
      <c r="Y233" s="4"/>
      <c r="Z233" s="9"/>
    </row>
    <row r="234" spans="1:26" s="62" customFormat="1" ht="15" customHeight="1" x14ac:dyDescent="0.3">
      <c r="A234" s="11"/>
      <c r="B234" s="28" t="s">
        <v>291</v>
      </c>
      <c r="C234" s="28"/>
      <c r="D234" s="21">
        <f>+D132-D134+D227</f>
        <v>182378.08000000019</v>
      </c>
      <c r="E234" s="15"/>
      <c r="F234" s="23">
        <f>IF(D$12=0,0,D234/D$12)</f>
        <v>0.18668388786852128</v>
      </c>
      <c r="G234" s="15"/>
      <c r="H234" s="21">
        <f>+H132-H134+H227</f>
        <v>-25324.229999999839</v>
      </c>
      <c r="I234" s="15"/>
      <c r="J234" s="23">
        <f>IF(H$12=0,0,H234/H$12)</f>
        <v>-5.7749564778521535E-2</v>
      </c>
      <c r="K234" s="16"/>
      <c r="L234" s="21">
        <f>+D234-H234</f>
        <v>207702.31000000003</v>
      </c>
      <c r="M234" s="16"/>
      <c r="N234" s="23">
        <f>IF(H234=0,0,L234/H234)</f>
        <v>-8.201722619009594</v>
      </c>
      <c r="O234" s="27"/>
      <c r="P234" s="21">
        <f>+P132-P134+P227</f>
        <v>610808.55000000005</v>
      </c>
      <c r="Q234" s="15"/>
      <c r="R234" s="23">
        <f>IF(P$12=0,0,P234/P$12)</f>
        <v>8.6355231665449034E-2</v>
      </c>
      <c r="S234" s="15"/>
      <c r="T234" s="21">
        <f>+T132-T134+T227</f>
        <v>-145508.8300000017</v>
      </c>
      <c r="U234" s="15"/>
      <c r="V234" s="23">
        <f>IF(T$12=0,0,T234/T$12)</f>
        <v>-3.0923057785457155E-2</v>
      </c>
      <c r="W234" s="16"/>
      <c r="X234" s="21">
        <f>+P234-T234</f>
        <v>756317.38000000175</v>
      </c>
      <c r="Y234" s="16"/>
      <c r="Z234" s="23">
        <f>IF(T234=0,0,X234/T234)</f>
        <v>-5.1977421576408309</v>
      </c>
    </row>
    <row r="235" spans="1:26" ht="15" customHeight="1" x14ac:dyDescent="0.3">
      <c r="A235" s="10"/>
      <c r="B235" s="11"/>
      <c r="C235" s="10"/>
      <c r="D235" s="4"/>
      <c r="E235" s="4"/>
      <c r="F235" s="9"/>
      <c r="G235" s="4"/>
      <c r="H235" s="4"/>
      <c r="I235" s="4"/>
      <c r="J235" s="9"/>
      <c r="K235" s="4"/>
      <c r="L235" s="4"/>
      <c r="M235" s="4"/>
      <c r="N235" s="9"/>
      <c r="P235" s="4"/>
      <c r="Q235" s="4"/>
      <c r="R235" s="9"/>
      <c r="S235" s="4"/>
      <c r="T235" s="4"/>
      <c r="U235" s="4"/>
      <c r="V235" s="9"/>
      <c r="W235" s="4"/>
      <c r="X235" s="4"/>
      <c r="Y235" s="4"/>
      <c r="Z235" s="9"/>
    </row>
    <row r="236" spans="1:26" s="62" customFormat="1" ht="15" customHeight="1" x14ac:dyDescent="0.3">
      <c r="A236" s="48"/>
      <c r="B236" s="11" t="s">
        <v>292</v>
      </c>
      <c r="C236" s="11"/>
      <c r="D236" s="5">
        <v>73705.25</v>
      </c>
      <c r="E236" s="5"/>
      <c r="F236" s="13">
        <f>IF(D$12=0,0,D236/D$12)</f>
        <v>7.5445374939363943E-2</v>
      </c>
      <c r="G236" s="5"/>
      <c r="H236" s="5">
        <v>105021</v>
      </c>
      <c r="I236" s="5"/>
      <c r="J236" s="13">
        <f>IF(H$12=0,0,H236/H$12)</f>
        <v>0.23949067918768502</v>
      </c>
      <c r="K236" s="5"/>
      <c r="L236" s="5">
        <f>+D236-H236</f>
        <v>-31315.75</v>
      </c>
      <c r="M236" s="5"/>
      <c r="N236" s="13">
        <f>IF(H236=0,0,L236/H236)</f>
        <v>-0.2981856009750431</v>
      </c>
      <c r="O236" s="11"/>
      <c r="P236" s="5">
        <v>801280.48</v>
      </c>
      <c r="Q236" s="5"/>
      <c r="R236" s="13">
        <f>IF(P$12=0,0,P236/P$12)</f>
        <v>0.11328387835992504</v>
      </c>
      <c r="S236" s="5"/>
      <c r="T236" s="5">
        <v>984412.28</v>
      </c>
      <c r="U236" s="5"/>
      <c r="V236" s="13">
        <f>IF(T$12=0,0,T236/T$12)</f>
        <v>0.20920405874442996</v>
      </c>
      <c r="W236" s="5"/>
      <c r="X236" s="5">
        <f>+P236-T236</f>
        <v>-183131.80000000005</v>
      </c>
      <c r="Y236" s="5"/>
      <c r="Z236" s="13">
        <f>IF(T236=0,0,X236/T236)</f>
        <v>-0.18603160862641824</v>
      </c>
    </row>
    <row r="237" spans="1:26" ht="15" customHeight="1" x14ac:dyDescent="0.3">
      <c r="A237" s="10"/>
      <c r="B237" s="11"/>
      <c r="C237" s="11"/>
      <c r="D237" s="4"/>
      <c r="E237" s="4"/>
      <c r="F237" s="9"/>
      <c r="G237" s="4"/>
      <c r="H237" s="4"/>
      <c r="I237" s="4"/>
      <c r="J237" s="9"/>
      <c r="K237" s="4"/>
      <c r="L237" s="4"/>
      <c r="M237" s="4"/>
      <c r="N237" s="9"/>
      <c r="O237" s="11"/>
      <c r="P237" s="4"/>
      <c r="Q237" s="4"/>
      <c r="R237" s="9"/>
      <c r="S237" s="4"/>
      <c r="T237" s="4"/>
      <c r="U237" s="4"/>
      <c r="V237" s="9"/>
      <c r="W237" s="4"/>
      <c r="X237" s="4"/>
      <c r="Y237" s="4"/>
      <c r="Z237" s="9"/>
    </row>
    <row r="238" spans="1:26" s="62" customFormat="1" ht="15" customHeight="1" x14ac:dyDescent="0.3">
      <c r="A238" s="11"/>
      <c r="B238" s="28" t="s">
        <v>293</v>
      </c>
      <c r="C238" s="28"/>
      <c r="D238" s="34">
        <f>+D234-D236</f>
        <v>108672.83000000019</v>
      </c>
      <c r="E238" s="15"/>
      <c r="F238" s="30">
        <f>IF(D$12=0,0,D238/D$12)</f>
        <v>0.11123851292915732</v>
      </c>
      <c r="G238" s="15"/>
      <c r="H238" s="34">
        <f>+H234-H236</f>
        <v>-130345.22999999984</v>
      </c>
      <c r="I238" s="15"/>
      <c r="J238" s="30">
        <f>IF(H$12=0,0,H238/H$12)</f>
        <v>-0.29724024396620657</v>
      </c>
      <c r="K238" s="16"/>
      <c r="L238" s="34">
        <f>D238-H238</f>
        <v>239018.06000000003</v>
      </c>
      <c r="M238" s="16"/>
      <c r="N238" s="30">
        <f>IF(H238=0,0,L238/H238)</f>
        <v>-1.8337307778735004</v>
      </c>
      <c r="O238" s="27"/>
      <c r="P238" s="34">
        <f>+P234-P236</f>
        <v>-190471.92999999993</v>
      </c>
      <c r="Q238" s="15"/>
      <c r="R238" s="30">
        <f>IF(P$12=0,0,P238/P$12)</f>
        <v>-2.6928646694476012E-2</v>
      </c>
      <c r="S238" s="15"/>
      <c r="T238" s="34">
        <f>+T234-T236</f>
        <v>-1129921.1100000017</v>
      </c>
      <c r="U238" s="15"/>
      <c r="V238" s="30">
        <f>IF(T$12=0,0,T238/T$12)</f>
        <v>-0.24012711652988711</v>
      </c>
      <c r="W238" s="16"/>
      <c r="X238" s="34">
        <f>P238-T238</f>
        <v>939449.1800000018</v>
      </c>
      <c r="Y238" s="16"/>
      <c r="Z238" s="30">
        <f>IF(T238=0,0,X238/T238)</f>
        <v>-0.83142900126894737</v>
      </c>
    </row>
    <row r="239" spans="1:26" ht="15" customHeight="1" x14ac:dyDescent="0.3">
      <c r="A239" s="10"/>
      <c r="B239" s="10"/>
      <c r="C239" s="10"/>
      <c r="D239" s="4"/>
      <c r="E239" s="4"/>
      <c r="F239" s="9"/>
      <c r="G239" s="4"/>
      <c r="H239" s="4"/>
      <c r="I239" s="4"/>
      <c r="J239" s="9"/>
      <c r="K239" s="4"/>
      <c r="L239" s="4"/>
      <c r="M239" s="4"/>
      <c r="N239" s="9"/>
      <c r="P239" s="4"/>
      <c r="Q239" s="4"/>
      <c r="R239" s="9"/>
      <c r="S239" s="4"/>
      <c r="T239" s="4"/>
      <c r="U239" s="4"/>
      <c r="V239" s="9"/>
      <c r="W239" s="4"/>
      <c r="X239" s="4"/>
      <c r="Y239" s="4"/>
      <c r="Z239" s="9"/>
    </row>
    <row r="240" spans="1:26" ht="15" customHeight="1" x14ac:dyDescent="0.3">
      <c r="A240" s="10"/>
      <c r="B240" s="10"/>
      <c r="C240" s="10"/>
      <c r="D240" s="4"/>
      <c r="E240" s="4"/>
      <c r="F240" s="9"/>
      <c r="G240" s="4"/>
      <c r="H240" s="4"/>
      <c r="I240" s="4"/>
      <c r="J240" s="9"/>
      <c r="K240" s="4"/>
      <c r="L240" s="4"/>
      <c r="M240" s="4"/>
      <c r="N240" s="9"/>
      <c r="P240" s="4"/>
      <c r="Q240" s="4"/>
      <c r="R240" s="9"/>
      <c r="S240" s="4"/>
      <c r="T240" s="4"/>
      <c r="U240" s="4"/>
      <c r="V240" s="9"/>
      <c r="W240" s="4"/>
      <c r="X240" s="4"/>
      <c r="Y240" s="4"/>
      <c r="Z240" s="9"/>
    </row>
    <row r="241" spans="1:26" s="62" customFormat="1" ht="15" customHeight="1" x14ac:dyDescent="0.3">
      <c r="A241" s="11"/>
      <c r="B241" s="28" t="s">
        <v>296</v>
      </c>
      <c r="C241" s="28"/>
      <c r="D241" s="29">
        <f>SUM(D238:D240)</f>
        <v>108672.83000000019</v>
      </c>
      <c r="E241" s="15"/>
      <c r="F241" s="35">
        <f>IF(D$12=0,0,D241/D$12)</f>
        <v>0.11123851292915732</v>
      </c>
      <c r="G241" s="15"/>
      <c r="H241" s="29">
        <f>SUM(H238:H240)</f>
        <v>-130345.22999999984</v>
      </c>
      <c r="I241" s="15"/>
      <c r="J241" s="35">
        <f>IF(H$12=0,0,H241/H$12)</f>
        <v>-0.29724024396620657</v>
      </c>
      <c r="K241" s="16"/>
      <c r="L241" s="29">
        <f>+D241-H241</f>
        <v>239018.06000000003</v>
      </c>
      <c r="M241" s="16"/>
      <c r="N241" s="35">
        <f>IF(H241=0,0,L241/H241)</f>
        <v>-1.8337307778735004</v>
      </c>
      <c r="O241" s="27"/>
      <c r="P241" s="29">
        <f>SUM(P238:P240)</f>
        <v>-190471.92999999993</v>
      </c>
      <c r="Q241" s="15"/>
      <c r="R241" s="35">
        <f>IF(P$12=0,0,P241/P$12)</f>
        <v>-2.6928646694476012E-2</v>
      </c>
      <c r="S241" s="15"/>
      <c r="T241" s="29">
        <f>SUM(T238:T240)</f>
        <v>-1129921.1100000017</v>
      </c>
      <c r="U241" s="15"/>
      <c r="V241" s="35">
        <f>IF(T$12=0,0,T241/T$12)</f>
        <v>-0.24012711652988711</v>
      </c>
      <c r="W241" s="16"/>
      <c r="X241" s="29">
        <f>+P241-T241</f>
        <v>939449.1800000018</v>
      </c>
      <c r="Y241" s="16"/>
      <c r="Z241" s="35">
        <f>IF(T241=0,0,X241/T241)</f>
        <v>-0.83142900126894737</v>
      </c>
    </row>
    <row r="242" spans="1:26" ht="15" customHeight="1" x14ac:dyDescent="0.3">
      <c r="A242" s="10"/>
      <c r="C242" s="10"/>
      <c r="D242" s="18"/>
      <c r="E242" s="18"/>
      <c r="G242" s="18"/>
      <c r="H242" s="18"/>
      <c r="I242" s="18"/>
      <c r="J242" s="40"/>
      <c r="K242" s="18"/>
      <c r="L242" s="18"/>
      <c r="M242" s="18"/>
      <c r="P242" s="18"/>
      <c r="Q242" s="18"/>
      <c r="R242" s="40"/>
      <c r="S242" s="18"/>
      <c r="T242" s="18"/>
      <c r="U242" s="18"/>
      <c r="V242" s="40"/>
      <c r="W242" s="18"/>
      <c r="X242" s="18"/>
    </row>
    <row r="243" spans="1:26" ht="15" customHeight="1" x14ac:dyDescent="0.3">
      <c r="A243" s="10"/>
      <c r="B243" s="56">
        <v>44694.890799340275</v>
      </c>
      <c r="D243" s="18"/>
      <c r="E243" s="18"/>
      <c r="G243" s="18"/>
      <c r="H243" s="18"/>
      <c r="I243" s="18"/>
      <c r="J243" s="40"/>
      <c r="K243" s="18"/>
      <c r="L243" s="18"/>
      <c r="M243" s="18"/>
      <c r="P243" s="18"/>
      <c r="Q243" s="18"/>
      <c r="R243" s="40"/>
      <c r="S243" s="18"/>
      <c r="T243" s="18"/>
      <c r="U243" s="18"/>
      <c r="V243" s="40"/>
      <c r="W243" s="18"/>
      <c r="X243" s="18"/>
    </row>
    <row r="244" spans="1:26" ht="15" customHeight="1" x14ac:dyDescent="0.3">
      <c r="A244" s="10"/>
      <c r="B244" s="52" t="s">
        <v>297</v>
      </c>
      <c r="D244" s="18"/>
      <c r="E244" s="18"/>
      <c r="G244" s="18"/>
      <c r="H244" s="18"/>
      <c r="I244" s="18"/>
      <c r="J244" s="40"/>
      <c r="K244" s="18"/>
      <c r="L244" s="18"/>
      <c r="M244" s="18"/>
      <c r="P244" s="18"/>
      <c r="Q244" s="18"/>
      <c r="R244" s="40"/>
      <c r="S244" s="18"/>
      <c r="T244" s="18"/>
      <c r="U244" s="18"/>
      <c r="V244" s="40"/>
      <c r="W244" s="18"/>
      <c r="X244" s="18"/>
    </row>
    <row r="245" spans="1:26" ht="15" customHeight="1" x14ac:dyDescent="0.3">
      <c r="A245" s="10"/>
      <c r="B245" s="58"/>
      <c r="D245" s="18"/>
      <c r="E245" s="18"/>
      <c r="G245" s="18"/>
      <c r="H245" s="18"/>
      <c r="I245" s="18"/>
      <c r="J245" s="40"/>
      <c r="K245" s="18"/>
      <c r="L245" s="18"/>
      <c r="M245" s="18"/>
      <c r="P245" s="18"/>
      <c r="Q245" s="18"/>
      <c r="R245" s="40"/>
      <c r="S245" s="18"/>
      <c r="T245" s="18"/>
      <c r="U245" s="18"/>
      <c r="V245" s="40"/>
      <c r="W245" s="18"/>
      <c r="X245" s="18"/>
    </row>
    <row r="246" spans="1:26" ht="15" customHeight="1" x14ac:dyDescent="0.3">
      <c r="D246" s="18"/>
      <c r="E246" s="18"/>
      <c r="G246" s="18"/>
      <c r="H246" s="18"/>
      <c r="I246" s="18"/>
      <c r="J246" s="40"/>
      <c r="K246" s="18"/>
      <c r="L246" s="18"/>
      <c r="M246" s="18"/>
      <c r="P246" s="18"/>
      <c r="Q246" s="18"/>
      <c r="R246" s="40"/>
      <c r="S246" s="18"/>
      <c r="T246" s="18"/>
      <c r="U246" s="18"/>
      <c r="V246" s="40"/>
      <c r="W246" s="18"/>
      <c r="X24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9BEB9-63C7-3E31-C739-8BCAA4A79671}">
  <sheetPr>
    <tabColor rgb="FFFFFF00"/>
    <outlinePr summaryBelow="0" summaryRight="0"/>
  </sheetPr>
  <dimension ref="A2:Z23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873430.3899999999</v>
      </c>
      <c r="E12" s="5"/>
      <c r="F12" s="13"/>
      <c r="G12" s="5"/>
      <c r="H12" s="5">
        <f>SUM(OSRRefH13x_0)</f>
        <v>438466.21000000008</v>
      </c>
      <c r="I12" s="5"/>
      <c r="J12" s="13"/>
      <c r="K12" s="5"/>
      <c r="L12" s="5">
        <f t="shared" ref="L12:L43" si="0">+D12-H12</f>
        <v>434964.17999999982</v>
      </c>
      <c r="M12" s="5"/>
      <c r="N12" s="13">
        <f t="shared" ref="N12:N43" si="1">IF(H12=0,0,L12/H12)</f>
        <v>0.99201299913167706</v>
      </c>
      <c r="O12" s="11"/>
      <c r="P12" s="5">
        <f>SUM(OSRRefP13x_0)</f>
        <v>6661663.7599999998</v>
      </c>
      <c r="Q12" s="5"/>
      <c r="R12" s="13"/>
      <c r="S12" s="5"/>
      <c r="T12" s="5">
        <f>SUM(OSRRefT13x_0)</f>
        <v>4702639.42</v>
      </c>
      <c r="U12" s="5"/>
      <c r="V12" s="13"/>
      <c r="W12" s="5"/>
      <c r="X12" s="5">
        <f t="shared" ref="X12:X43" si="2">+P12-T12</f>
        <v>1959024.3399999999</v>
      </c>
      <c r="Y12" s="5"/>
      <c r="Z12" s="13">
        <f t="shared" ref="Z12:Z43" si="3">IF(T12=0,0,X12/T12)</f>
        <v>0.41657974703916378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--759413.22</f>
        <v>759413.22</v>
      </c>
      <c r="E13" s="3"/>
      <c r="F13" s="20"/>
      <c r="G13" s="3"/>
      <c r="H13" s="3">
        <f>-13171.93</f>
        <v>-13171.93</v>
      </c>
      <c r="I13" s="3"/>
      <c r="J13" s="20"/>
      <c r="K13" s="3"/>
      <c r="L13" s="3">
        <f t="shared" si="0"/>
        <v>772585.15</v>
      </c>
      <c r="M13" s="3"/>
      <c r="N13" s="20">
        <f t="shared" si="1"/>
        <v>-58.653906451066774</v>
      </c>
      <c r="O13" s="12"/>
      <c r="P13" s="3">
        <f>--5720828.81</f>
        <v>5720828.8099999996</v>
      </c>
      <c r="Q13" s="3"/>
      <c r="R13" s="20"/>
      <c r="S13" s="3"/>
      <c r="T13" s="3">
        <f>-133095.19</f>
        <v>-133095.19</v>
      </c>
      <c r="U13" s="3"/>
      <c r="V13" s="20"/>
      <c r="W13" s="3"/>
      <c r="X13" s="3">
        <f t="shared" si="2"/>
        <v>5853924</v>
      </c>
      <c r="Y13" s="3"/>
      <c r="Z13" s="20">
        <f t="shared" si="3"/>
        <v>-43.982986913351262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--31347.12</f>
        <v>31347.119999999999</v>
      </c>
      <c r="I14" s="3"/>
      <c r="J14" s="20"/>
      <c r="K14" s="3"/>
      <c r="L14" s="3">
        <f t="shared" si="0"/>
        <v>-31347.119999999999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--1263810.36</f>
        <v>1263810.3600000001</v>
      </c>
      <c r="U14" s="3"/>
      <c r="V14" s="20"/>
      <c r="W14" s="3"/>
      <c r="X14" s="3">
        <f t="shared" si="2"/>
        <v>-1263810.3600000001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--1971.3</f>
        <v>1971.3</v>
      </c>
      <c r="I15" s="3"/>
      <c r="J15" s="20"/>
      <c r="K15" s="3"/>
      <c r="L15" s="3">
        <f t="shared" si="0"/>
        <v>-1971.3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--578768.63</f>
        <v>578768.63</v>
      </c>
      <c r="U15" s="3"/>
      <c r="V15" s="20"/>
      <c r="W15" s="3"/>
      <c r="X15" s="3">
        <f t="shared" si="2"/>
        <v>-578768.63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--21.42</f>
        <v>21.42</v>
      </c>
      <c r="I21" s="3"/>
      <c r="J21" s="20"/>
      <c r="K21" s="3"/>
      <c r="L21" s="3">
        <f t="shared" si="0"/>
        <v>-21.42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--486.17</f>
        <v>486.17</v>
      </c>
      <c r="U21" s="3"/>
      <c r="V21" s="20"/>
      <c r="W21" s="3"/>
      <c r="X21" s="3">
        <f t="shared" si="2"/>
        <v>-486.17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--6558.65</f>
        <v>6558.65</v>
      </c>
      <c r="I22" s="3"/>
      <c r="J22" s="20"/>
      <c r="K22" s="3"/>
      <c r="L22" s="3">
        <f t="shared" si="0"/>
        <v>-6558.65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--64070.97</f>
        <v>64070.97</v>
      </c>
      <c r="U22" s="3"/>
      <c r="V22" s="20"/>
      <c r="W22" s="3"/>
      <c r="X22" s="3">
        <f t="shared" si="2"/>
        <v>-64070.97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--2650.79</f>
        <v>2650.79</v>
      </c>
      <c r="I23" s="3"/>
      <c r="J23" s="20"/>
      <c r="K23" s="3"/>
      <c r="L23" s="3">
        <f t="shared" si="0"/>
        <v>-2650.79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--46900.17</f>
        <v>46900.17</v>
      </c>
      <c r="U23" s="3"/>
      <c r="V23" s="20"/>
      <c r="W23" s="3"/>
      <c r="X23" s="3">
        <f t="shared" si="2"/>
        <v>-46900.17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--595.72</f>
        <v>595.72</v>
      </c>
      <c r="I24" s="3"/>
      <c r="J24" s="20"/>
      <c r="K24" s="3"/>
      <c r="L24" s="3">
        <f t="shared" si="0"/>
        <v>-595.72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--4210.59</f>
        <v>4210.59</v>
      </c>
      <c r="U24" s="3"/>
      <c r="V24" s="20"/>
      <c r="W24" s="3"/>
      <c r="X24" s="3">
        <f t="shared" si="2"/>
        <v>-4210.59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--159179.58</f>
        <v>159179.57999999999</v>
      </c>
      <c r="I26" s="3"/>
      <c r="J26" s="20"/>
      <c r="K26" s="3"/>
      <c r="L26" s="3">
        <f t="shared" si="0"/>
        <v>-159179.57999999999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--913180.73</f>
        <v>913180.73</v>
      </c>
      <c r="U26" s="3"/>
      <c r="V26" s="20"/>
      <c r="W26" s="3"/>
      <c r="X26" s="3">
        <f t="shared" si="2"/>
        <v>-913180.73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--116440.2</f>
        <v>116440.2</v>
      </c>
      <c r="I27" s="3"/>
      <c r="J27" s="20"/>
      <c r="K27" s="3"/>
      <c r="L27" s="3">
        <f t="shared" si="0"/>
        <v>-116440.2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--440456.98</f>
        <v>440456.98</v>
      </c>
      <c r="U27" s="3"/>
      <c r="V27" s="20"/>
      <c r="W27" s="3"/>
      <c r="X27" s="3">
        <f t="shared" si="2"/>
        <v>-440456.98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--10630.32</f>
        <v>10630.32</v>
      </c>
      <c r="I28" s="3"/>
      <c r="J28" s="20"/>
      <c r="K28" s="3"/>
      <c r="L28" s="3">
        <f t="shared" si="0"/>
        <v>-10630.32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--100678.52</f>
        <v>100678.52</v>
      </c>
      <c r="U28" s="3"/>
      <c r="V28" s="20"/>
      <c r="W28" s="3"/>
      <c r="X28" s="3">
        <f t="shared" si="2"/>
        <v>-100678.52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--4423.21</f>
        <v>4423.21</v>
      </c>
      <c r="I29" s="3"/>
      <c r="J29" s="20"/>
      <c r="K29" s="3"/>
      <c r="L29" s="3">
        <f t="shared" si="0"/>
        <v>-4423.21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--136859.38</f>
        <v>136859.38</v>
      </c>
      <c r="U29" s="3"/>
      <c r="V29" s="20"/>
      <c r="W29" s="3"/>
      <c r="X29" s="3">
        <f t="shared" si="2"/>
        <v>-136859.38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--4745.38</f>
        <v>4745.38</v>
      </c>
      <c r="I30" s="3"/>
      <c r="J30" s="20"/>
      <c r="K30" s="3"/>
      <c r="L30" s="3">
        <f t="shared" si="0"/>
        <v>-4745.38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--36092.23</f>
        <v>36092.230000000003</v>
      </c>
      <c r="U30" s="3"/>
      <c r="V30" s="20"/>
      <c r="W30" s="3"/>
      <c r="X30" s="3">
        <f t="shared" si="2"/>
        <v>-36092.230000000003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--63044.9</f>
        <v>63044.9</v>
      </c>
      <c r="I31" s="3"/>
      <c r="J31" s="20"/>
      <c r="K31" s="3"/>
      <c r="L31" s="3">
        <f t="shared" si="0"/>
        <v>-63044.9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--207242.34</f>
        <v>207242.34</v>
      </c>
      <c r="U31" s="3"/>
      <c r="V31" s="20"/>
      <c r="W31" s="3"/>
      <c r="X31" s="3">
        <f t="shared" si="2"/>
        <v>-207242.34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--71.95</f>
        <v>71.95</v>
      </c>
      <c r="U32" s="3"/>
      <c r="V32" s="20"/>
      <c r="W32" s="3"/>
      <c r="X32" s="3">
        <f t="shared" si="2"/>
        <v>-71.95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","4083"," - ","TAXABLE SALES-COMPUTER EQUIPME")</f>
        <v xml:space="preserve">          4083 - TAXABLE SALES-COMPUTER EQUIPME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--9.99</f>
        <v>9.99</v>
      </c>
      <c r="U33" s="3"/>
      <c r="V33" s="20"/>
      <c r="W33" s="3"/>
      <c r="X33" s="3">
        <f t="shared" si="2"/>
        <v>-9.99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","4095"," - ","TAXABLE SALES-CUSTOMER SERVICE")</f>
        <v xml:space="preserve">          4095 - TAXABLE SALES-CUSTOMER SERVICE</v>
      </c>
      <c r="C34" s="12"/>
      <c r="D34" s="3">
        <f>0</f>
        <v>0</v>
      </c>
      <c r="E34" s="3"/>
      <c r="F34" s="20"/>
      <c r="G34" s="3"/>
      <c r="H34" s="3">
        <f>--2119.46</f>
        <v>2119.46</v>
      </c>
      <c r="I34" s="3"/>
      <c r="J34" s="20"/>
      <c r="K34" s="3"/>
      <c r="L34" s="3">
        <f t="shared" si="0"/>
        <v>-2119.46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--3034.59</f>
        <v>3034.59</v>
      </c>
      <c r="U34" s="3"/>
      <c r="V34" s="20"/>
      <c r="W34" s="3"/>
      <c r="X34" s="3">
        <f t="shared" si="2"/>
        <v>-3034.59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","4100"," - ","NON-TAXABLE SALES")</f>
        <v xml:space="preserve">          4100 - NON-TAXABLE SALES</v>
      </c>
      <c r="C35" s="12"/>
      <c r="D35" s="3">
        <f>--158836.24</f>
        <v>158836.24</v>
      </c>
      <c r="E35" s="3"/>
      <c r="F35" s="20"/>
      <c r="G35" s="3"/>
      <c r="H35" s="3">
        <f>-12385.33</f>
        <v>-12385.33</v>
      </c>
      <c r="I35" s="3"/>
      <c r="J35" s="20"/>
      <c r="K35" s="3"/>
      <c r="L35" s="3">
        <f t="shared" si="0"/>
        <v>171221.56999999998</v>
      </c>
      <c r="M35" s="3"/>
      <c r="N35" s="20">
        <f t="shared" si="1"/>
        <v>-13.824546459399949</v>
      </c>
      <c r="O35" s="12"/>
      <c r="P35" s="3">
        <f>--1260216.37</f>
        <v>1260216.3700000001</v>
      </c>
      <c r="Q35" s="3"/>
      <c r="R35" s="20"/>
      <c r="S35" s="3"/>
      <c r="T35" s="3">
        <f>--273838.77</f>
        <v>273838.77</v>
      </c>
      <c r="U35" s="3"/>
      <c r="V35" s="20"/>
      <c r="W35" s="3"/>
      <c r="X35" s="3">
        <f t="shared" si="2"/>
        <v>986377.60000000009</v>
      </c>
      <c r="Y35" s="3"/>
      <c r="Z35" s="20">
        <f t="shared" si="3"/>
        <v>3.6020377976427516</v>
      </c>
    </row>
    <row r="36" spans="1:26" s="69" customFormat="1" ht="15" hidden="1" customHeight="1" outlineLevel="1" x14ac:dyDescent="0.3">
      <c r="A36" s="42"/>
      <c r="B36" s="12" t="str">
        <f>CONCATENATE("          ","4101"," - ","NON-TAXABLE SALES-NEW TEXT")</f>
        <v xml:space="preserve">          4101 - NON-TAXABLE SALES-NEW TEXT</v>
      </c>
      <c r="C36" s="12"/>
      <c r="D36" s="3">
        <f>0</f>
        <v>0</v>
      </c>
      <c r="E36" s="3"/>
      <c r="F36" s="20"/>
      <c r="G36" s="3"/>
      <c r="H36" s="3">
        <f>--741.03</f>
        <v>741.03</v>
      </c>
      <c r="I36" s="3"/>
      <c r="J36" s="20"/>
      <c r="K36" s="3"/>
      <c r="L36" s="3">
        <f t="shared" si="0"/>
        <v>-741.03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--112796.74</f>
        <v>112796.74</v>
      </c>
      <c r="U36" s="3"/>
      <c r="V36" s="20"/>
      <c r="W36" s="3"/>
      <c r="X36" s="3">
        <f t="shared" si="2"/>
        <v>-112796.74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","4102"," - ","NON-TAXABLE SALES-USED TEXT")</f>
        <v xml:space="preserve">          4102 - NON-TAXABLE SALES-USED TEXT</v>
      </c>
      <c r="C37" s="12"/>
      <c r="D37" s="3">
        <f>0</f>
        <v>0</v>
      </c>
      <c r="E37" s="3"/>
      <c r="F37" s="20"/>
      <c r="G37" s="3"/>
      <c r="H37" s="3">
        <f>--743.99</f>
        <v>743.99</v>
      </c>
      <c r="I37" s="3"/>
      <c r="J37" s="20"/>
      <c r="K37" s="3"/>
      <c r="L37" s="3">
        <f t="shared" si="0"/>
        <v>-743.99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--48703.42</f>
        <v>48703.42</v>
      </c>
      <c r="U37" s="3"/>
      <c r="V37" s="20"/>
      <c r="W37" s="3"/>
      <c r="X37" s="3">
        <f t="shared" si="2"/>
        <v>-48703.42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","4103"," - ","NON-TAXABLE SALES-RENTAL TEXT")</f>
        <v xml:space="preserve">          4103 - NON-TAXABLE SALES-RENTAL TEXT</v>
      </c>
      <c r="C38" s="12"/>
      <c r="D38" s="3">
        <f>0</f>
        <v>0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0</v>
      </c>
      <c r="M38" s="3"/>
      <c r="N38" s="20">
        <f t="shared" si="1"/>
        <v>0</v>
      </c>
      <c r="O38" s="12"/>
      <c r="P38" s="3">
        <f>0</f>
        <v>0</v>
      </c>
      <c r="Q38" s="3"/>
      <c r="R38" s="20"/>
      <c r="S38" s="3"/>
      <c r="T38" s="3">
        <f>--1138.95</f>
        <v>1138.95</v>
      </c>
      <c r="U38" s="3"/>
      <c r="V38" s="20"/>
      <c r="W38" s="3"/>
      <c r="X38" s="3">
        <f t="shared" si="2"/>
        <v>-1138.95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","4104"," - ","NON-TAXABLE SALES-DIGITAL TEXT")</f>
        <v xml:space="preserve">          4104 - NON-TAXABLE SALES-DIGITAL TEXT</v>
      </c>
      <c r="C39" s="12"/>
      <c r="D39" s="3">
        <f>0</f>
        <v>0</v>
      </c>
      <c r="E39" s="3"/>
      <c r="F39" s="20"/>
      <c r="G39" s="3"/>
      <c r="H39" s="3">
        <f>--3431.99</f>
        <v>3431.99</v>
      </c>
      <c r="I39" s="3"/>
      <c r="J39" s="20"/>
      <c r="K39" s="3"/>
      <c r="L39" s="3">
        <f t="shared" si="0"/>
        <v>-3431.99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--480403.17</f>
        <v>480403.17</v>
      </c>
      <c r="U39" s="3"/>
      <c r="V39" s="20"/>
      <c r="W39" s="3"/>
      <c r="X39" s="3">
        <f t="shared" si="2"/>
        <v>-480403.17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","4113"," - ","NON-TAXABLE SALES-TRADE BOOKS")</f>
        <v xml:space="preserve">          4113 - NON-TAXABLE SALES-TRADE BOOKS</v>
      </c>
      <c r="C40" s="12"/>
      <c r="D40" s="3">
        <f>0</f>
        <v>0</v>
      </c>
      <c r="E40" s="3"/>
      <c r="F40" s="20"/>
      <c r="G40" s="3"/>
      <c r="H40" s="3">
        <f>--738</f>
        <v>738</v>
      </c>
      <c r="I40" s="3"/>
      <c r="J40" s="20"/>
      <c r="K40" s="3"/>
      <c r="L40" s="3">
        <f t="shared" si="0"/>
        <v>-738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--12127.25</f>
        <v>12127.25</v>
      </c>
      <c r="U40" s="3"/>
      <c r="V40" s="20"/>
      <c r="W40" s="3"/>
      <c r="X40" s="3">
        <f t="shared" si="2"/>
        <v>-12127.25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","4118"," - ","NON-TAXABLE SALES-STUDY GUIDES")</f>
        <v xml:space="preserve">          4118 - NON-TAXABLE SALES-STUDY GUIDES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--771.73</f>
        <v>771.73</v>
      </c>
      <c r="U41" s="3"/>
      <c r="V41" s="20"/>
      <c r="W41" s="3"/>
      <c r="X41" s="3">
        <f t="shared" si="2"/>
        <v>-771.73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","4126"," - ","NON-TAXABLE SALES-WRITING INST")</f>
        <v xml:space="preserve">          4126 - NON-TAXABLE SALES-WRITING INST</v>
      </c>
      <c r="C42" s="12"/>
      <c r="D42" s="3">
        <f>0</f>
        <v>0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0</v>
      </c>
      <c r="M42" s="3"/>
      <c r="N42" s="20">
        <f t="shared" si="1"/>
        <v>0</v>
      </c>
      <c r="O42" s="12"/>
      <c r="P42" s="3">
        <f>0</f>
        <v>0</v>
      </c>
      <c r="Q42" s="3"/>
      <c r="R42" s="20"/>
      <c r="S42" s="3"/>
      <c r="T42" s="3">
        <f>--52.68</f>
        <v>52.68</v>
      </c>
      <c r="U42" s="3"/>
      <c r="V42" s="20"/>
      <c r="W42" s="3"/>
      <c r="X42" s="3">
        <f t="shared" si="2"/>
        <v>-52.68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","4127"," - ","NON-TAXABLE SALES-SCHOOL SUPPL")</f>
        <v xml:space="preserve">          4127 - NON-TAXABLE SALES-SCHOOL SUPPL</v>
      </c>
      <c r="C43" s="12"/>
      <c r="D43" s="3">
        <f>0</f>
        <v>0</v>
      </c>
      <c r="E43" s="3"/>
      <c r="F43" s="20"/>
      <c r="G43" s="3"/>
      <c r="H43" s="3">
        <f>--493.37</f>
        <v>493.37</v>
      </c>
      <c r="I43" s="3"/>
      <c r="J43" s="20"/>
      <c r="K43" s="3"/>
      <c r="L43" s="3">
        <f t="shared" si="0"/>
        <v>-493.37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--7100.68</f>
        <v>7100.68</v>
      </c>
      <c r="U43" s="3"/>
      <c r="V43" s="20"/>
      <c r="W43" s="3"/>
      <c r="X43" s="3">
        <f t="shared" si="2"/>
        <v>-7100.68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","4128"," - ","NON-TAXABLE SALES-ART/TECH")</f>
        <v xml:space="preserve">          4128 - NON-TAXABLE SALES-ART/TECH</v>
      </c>
      <c r="C44" s="12"/>
      <c r="D44" s="3">
        <f>0</f>
        <v>0</v>
      </c>
      <c r="E44" s="3"/>
      <c r="F44" s="20"/>
      <c r="G44" s="3"/>
      <c r="H44" s="3">
        <f>--31.37</f>
        <v>31.37</v>
      </c>
      <c r="I44" s="3"/>
      <c r="J44" s="20"/>
      <c r="K44" s="3"/>
      <c r="L44" s="3">
        <f t="shared" ref="L44:L80" si="4">+D44-H44</f>
        <v>-31.37</v>
      </c>
      <c r="M44" s="3"/>
      <c r="N44" s="20">
        <f t="shared" ref="N44:N80" si="5">IF(H44=0,0,L44/H44)</f>
        <v>-1</v>
      </c>
      <c r="O44" s="12"/>
      <c r="P44" s="3">
        <f>0</f>
        <v>0</v>
      </c>
      <c r="Q44" s="3"/>
      <c r="R44" s="20"/>
      <c r="S44" s="3"/>
      <c r="T44" s="3">
        <f>--69.95</f>
        <v>69.95</v>
      </c>
      <c r="U44" s="3"/>
      <c r="V44" s="20"/>
      <c r="W44" s="3"/>
      <c r="X44" s="3">
        <f t="shared" ref="X44:X80" si="6">+P44-T44</f>
        <v>-69.95</v>
      </c>
      <c r="Y44" s="3"/>
      <c r="Z44" s="20">
        <f t="shared" ref="Z44:Z80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","4131"," - ","NON-TAXABLE SALES-FOOD")</f>
        <v xml:space="preserve">          4131 - NON-TAXABLE SALES-FOOD</v>
      </c>
      <c r="C45" s="12"/>
      <c r="D45" s="3">
        <f>0</f>
        <v>0</v>
      </c>
      <c r="E45" s="3"/>
      <c r="F45" s="20"/>
      <c r="G45" s="3"/>
      <c r="H45" s="3">
        <f>--975.93</f>
        <v>975.93</v>
      </c>
      <c r="I45" s="3"/>
      <c r="J45" s="20"/>
      <c r="K45" s="3"/>
      <c r="L45" s="3">
        <f t="shared" si="4"/>
        <v>-975.93</v>
      </c>
      <c r="M45" s="3"/>
      <c r="N45" s="20">
        <f t="shared" si="5"/>
        <v>-1</v>
      </c>
      <c r="O45" s="12"/>
      <c r="P45" s="3">
        <f>0</f>
        <v>0</v>
      </c>
      <c r="Q45" s="3"/>
      <c r="R45" s="20"/>
      <c r="S45" s="3"/>
      <c r="T45" s="3">
        <f>--11380.36</f>
        <v>11380.36</v>
      </c>
      <c r="U45" s="3"/>
      <c r="V45" s="20"/>
      <c r="W45" s="3"/>
      <c r="X45" s="3">
        <f t="shared" si="6"/>
        <v>-11380.36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","4132"," - ","NON-TAXABLE SALES-JUICE")</f>
        <v xml:space="preserve">          4132 - NON-TAXABLE SALES-JUICE</v>
      </c>
      <c r="C46" s="12"/>
      <c r="D46" s="3">
        <f>0</f>
        <v>0</v>
      </c>
      <c r="E46" s="3"/>
      <c r="F46" s="20"/>
      <c r="G46" s="3"/>
      <c r="H46" s="3">
        <f>0</f>
        <v>0</v>
      </c>
      <c r="I46" s="3"/>
      <c r="J46" s="20"/>
      <c r="K46" s="3"/>
      <c r="L46" s="3">
        <f t="shared" si="4"/>
        <v>0</v>
      </c>
      <c r="M46" s="3"/>
      <c r="N46" s="20">
        <f t="shared" si="5"/>
        <v>0</v>
      </c>
      <c r="O46" s="12"/>
      <c r="P46" s="3">
        <f>0</f>
        <v>0</v>
      </c>
      <c r="Q46" s="3"/>
      <c r="R46" s="20"/>
      <c r="S46" s="3"/>
      <c r="T46" s="3">
        <f>--22.49</f>
        <v>22.49</v>
      </c>
      <c r="U46" s="3"/>
      <c r="V46" s="20"/>
      <c r="W46" s="3"/>
      <c r="X46" s="3">
        <f t="shared" si="6"/>
        <v>-22.49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","4133"," - ","NON-TAXABLE SALES-CANDY")</f>
        <v xml:space="preserve">          4133 - NON-TAXABLE SALES-CANDY</v>
      </c>
      <c r="C47" s="12"/>
      <c r="D47" s="3">
        <f>0</f>
        <v>0</v>
      </c>
      <c r="E47" s="3"/>
      <c r="F47" s="20"/>
      <c r="G47" s="3"/>
      <c r="H47" s="3">
        <f>0</f>
        <v>0</v>
      </c>
      <c r="I47" s="3"/>
      <c r="J47" s="20"/>
      <c r="K47" s="3"/>
      <c r="L47" s="3">
        <f t="shared" si="4"/>
        <v>0</v>
      </c>
      <c r="M47" s="3"/>
      <c r="N47" s="20">
        <f t="shared" si="5"/>
        <v>0</v>
      </c>
      <c r="O47" s="12"/>
      <c r="P47" s="3">
        <f>0</f>
        <v>0</v>
      </c>
      <c r="Q47" s="3"/>
      <c r="R47" s="20"/>
      <c r="S47" s="3"/>
      <c r="T47" s="3">
        <f>--80.71</f>
        <v>80.709999999999994</v>
      </c>
      <c r="U47" s="3"/>
      <c r="V47" s="20"/>
      <c r="W47" s="3"/>
      <c r="X47" s="3">
        <f t="shared" si="6"/>
        <v>-80.709999999999994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","4134"," - ","NON-TAXABLE SALES-SODA")</f>
        <v xml:space="preserve">          4134 - NON-TAXABLE SALES-SODA</v>
      </c>
      <c r="C48" s="12"/>
      <c r="D48" s="3">
        <f>0</f>
        <v>0</v>
      </c>
      <c r="E48" s="3"/>
      <c r="F48" s="20"/>
      <c r="G48" s="3"/>
      <c r="H48" s="3">
        <f>0</f>
        <v>0</v>
      </c>
      <c r="I48" s="3"/>
      <c r="J48" s="20"/>
      <c r="K48" s="3"/>
      <c r="L48" s="3">
        <f t="shared" si="4"/>
        <v>0</v>
      </c>
      <c r="M48" s="3"/>
      <c r="N48" s="20">
        <f t="shared" si="5"/>
        <v>0</v>
      </c>
      <c r="O48" s="12"/>
      <c r="P48" s="3">
        <f>0</f>
        <v>0</v>
      </c>
      <c r="Q48" s="3"/>
      <c r="R48" s="20"/>
      <c r="S48" s="3"/>
      <c r="T48" s="3">
        <f>--45.53</f>
        <v>45.53</v>
      </c>
      <c r="U48" s="3"/>
      <c r="V48" s="20"/>
      <c r="W48" s="3"/>
      <c r="X48" s="3">
        <f t="shared" si="6"/>
        <v>-45.53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","4137"," - ","NON-TAXABLE SALES-WATER")</f>
        <v xml:space="preserve">          4137 - NON-TAXABLE SALES-WATER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--68.25</f>
        <v>68.25</v>
      </c>
      <c r="U49" s="3"/>
      <c r="V49" s="20"/>
      <c r="W49" s="3"/>
      <c r="X49" s="3">
        <f t="shared" si="6"/>
        <v>-68.25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","4140"," - ","NON-TAXABLE SALES-LOGO CLOTHIN")</f>
        <v xml:space="preserve">          4140 - NON-TAXABLE SALES-LOGO CLOTHIN</v>
      </c>
      <c r="C50" s="12"/>
      <c r="D50" s="3">
        <f>0</f>
        <v>0</v>
      </c>
      <c r="E50" s="3"/>
      <c r="F50" s="20"/>
      <c r="G50" s="3"/>
      <c r="H50" s="3">
        <f>--23040.7</f>
        <v>23040.7</v>
      </c>
      <c r="I50" s="3"/>
      <c r="J50" s="20"/>
      <c r="K50" s="3"/>
      <c r="L50" s="3">
        <f t="shared" si="4"/>
        <v>-23040.7</v>
      </c>
      <c r="M50" s="3"/>
      <c r="N50" s="20">
        <f t="shared" si="5"/>
        <v>-1</v>
      </c>
      <c r="O50" s="12"/>
      <c r="P50" s="3">
        <f>0</f>
        <v>0</v>
      </c>
      <c r="Q50" s="3"/>
      <c r="R50" s="20"/>
      <c r="S50" s="3"/>
      <c r="T50" s="3">
        <f>--154792.39</f>
        <v>154792.39000000001</v>
      </c>
      <c r="U50" s="3"/>
      <c r="V50" s="20"/>
      <c r="W50" s="3"/>
      <c r="X50" s="3">
        <f t="shared" si="6"/>
        <v>-154792.39000000001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","4141"," - ","NON-TAXABLE SALES-LOGO GIFTS")</f>
        <v xml:space="preserve">          4141 - NON-TAXABLE SALES-LOGO GIFTS</v>
      </c>
      <c r="C51" s="12"/>
      <c r="D51" s="3">
        <f>0</f>
        <v>0</v>
      </c>
      <c r="E51" s="3"/>
      <c r="F51" s="20"/>
      <c r="G51" s="3"/>
      <c r="H51" s="3">
        <f>--27228.57</f>
        <v>27228.57</v>
      </c>
      <c r="I51" s="3"/>
      <c r="J51" s="20"/>
      <c r="K51" s="3"/>
      <c r="L51" s="3">
        <f t="shared" si="4"/>
        <v>-27228.57</v>
      </c>
      <c r="M51" s="3"/>
      <c r="N51" s="20">
        <f t="shared" si="5"/>
        <v>-1</v>
      </c>
      <c r="O51" s="12"/>
      <c r="P51" s="3">
        <f>0</f>
        <v>0</v>
      </c>
      <c r="Q51" s="3"/>
      <c r="R51" s="20"/>
      <c r="S51" s="3"/>
      <c r="T51" s="3">
        <f>--36796.81</f>
        <v>36796.81</v>
      </c>
      <c r="U51" s="3"/>
      <c r="V51" s="20"/>
      <c r="W51" s="3"/>
      <c r="X51" s="3">
        <f t="shared" si="6"/>
        <v>-36796.81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","4142"," - ","NON-TAXABLE SALES-EVERYDAY GIF")</f>
        <v xml:space="preserve">          4142 - NON-TAXABLE SALES-EVERYDAY GIF</v>
      </c>
      <c r="C52" s="12"/>
      <c r="D52" s="3">
        <f>0</f>
        <v>0</v>
      </c>
      <c r="E52" s="3"/>
      <c r="F52" s="20"/>
      <c r="G52" s="3"/>
      <c r="H52" s="3">
        <f>--306.73</f>
        <v>306.73</v>
      </c>
      <c r="I52" s="3"/>
      <c r="J52" s="20"/>
      <c r="K52" s="3"/>
      <c r="L52" s="3">
        <f t="shared" si="4"/>
        <v>-306.73</v>
      </c>
      <c r="M52" s="3"/>
      <c r="N52" s="20">
        <f t="shared" si="5"/>
        <v>-1</v>
      </c>
      <c r="O52" s="12"/>
      <c r="P52" s="3">
        <f>0</f>
        <v>0</v>
      </c>
      <c r="Q52" s="3"/>
      <c r="R52" s="20"/>
      <c r="S52" s="3"/>
      <c r="T52" s="3">
        <f>--2588.1</f>
        <v>2588.1</v>
      </c>
      <c r="U52" s="3"/>
      <c r="V52" s="20"/>
      <c r="W52" s="3"/>
      <c r="X52" s="3">
        <f t="shared" si="6"/>
        <v>-2588.1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","4143"," - ","NON-TAXABLE SALES-CARDS")</f>
        <v xml:space="preserve">          4143 - NON-TAXABLE SALES-CARDS</v>
      </c>
      <c r="C53" s="12"/>
      <c r="D53" s="3">
        <f>0</f>
        <v>0</v>
      </c>
      <c r="E53" s="3"/>
      <c r="F53" s="20"/>
      <c r="G53" s="3"/>
      <c r="H53" s="3">
        <f>--49.97</f>
        <v>49.97</v>
      </c>
      <c r="I53" s="3"/>
      <c r="J53" s="20"/>
      <c r="K53" s="3"/>
      <c r="L53" s="3">
        <f t="shared" si="4"/>
        <v>-49.97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--2431.45</f>
        <v>2431.4499999999998</v>
      </c>
      <c r="U53" s="3"/>
      <c r="V53" s="20"/>
      <c r="W53" s="3"/>
      <c r="X53" s="3">
        <f t="shared" si="6"/>
        <v>-2431.4499999999998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","4144"," - ","NON-TAXABLE SALES-ACCESSORIES")</f>
        <v xml:space="preserve">          4144 - NON-TAXABLE SALES-ACCESSORIES</v>
      </c>
      <c r="C54" s="12"/>
      <c r="D54" s="3">
        <f>0</f>
        <v>0</v>
      </c>
      <c r="E54" s="3"/>
      <c r="F54" s="20"/>
      <c r="G54" s="3"/>
      <c r="H54" s="3">
        <f>--29.85</f>
        <v>29.85</v>
      </c>
      <c r="I54" s="3"/>
      <c r="J54" s="20"/>
      <c r="K54" s="3"/>
      <c r="L54" s="3">
        <f t="shared" si="4"/>
        <v>-29.85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--709.1</f>
        <v>709.1</v>
      </c>
      <c r="U54" s="3"/>
      <c r="V54" s="20"/>
      <c r="W54" s="3"/>
      <c r="X54" s="3">
        <f t="shared" si="6"/>
        <v>-709.1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","4145"," - ","NON-TAXABLE SALES-SPECIAL ORDE")</f>
        <v xml:space="preserve">          4145 - NON-TAXABLE SALES-SPECIAL ORDE</v>
      </c>
      <c r="C55" s="12"/>
      <c r="D55" s="3">
        <f>0</f>
        <v>0</v>
      </c>
      <c r="E55" s="3"/>
      <c r="F55" s="20"/>
      <c r="G55" s="3"/>
      <c r="H55" s="3">
        <f>--20350.8</f>
        <v>20350.8</v>
      </c>
      <c r="I55" s="3"/>
      <c r="J55" s="20"/>
      <c r="K55" s="3"/>
      <c r="L55" s="3">
        <f t="shared" si="4"/>
        <v>-20350.8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--74066.89</f>
        <v>74066.89</v>
      </c>
      <c r="U55" s="3"/>
      <c r="V55" s="20"/>
      <c r="W55" s="3"/>
      <c r="X55" s="3">
        <f t="shared" si="6"/>
        <v>-74066.89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","4146"," - ","NON-TAXABLE SALES-COIN OP MACH")</f>
        <v xml:space="preserve">          4146 - NON-TAXABLE SALES-COIN OP MACH</v>
      </c>
      <c r="C56" s="12"/>
      <c r="D56" s="3">
        <f>0</f>
        <v>0</v>
      </c>
      <c r="E56" s="3"/>
      <c r="F56" s="20"/>
      <c r="G56" s="3"/>
      <c r="H56" s="3">
        <f>--30.2</f>
        <v>30.2</v>
      </c>
      <c r="I56" s="3"/>
      <c r="J56" s="20"/>
      <c r="K56" s="3"/>
      <c r="L56" s="3">
        <f t="shared" si="4"/>
        <v>-30.2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--329.3</f>
        <v>329.3</v>
      </c>
      <c r="U56" s="3"/>
      <c r="V56" s="20"/>
      <c r="W56" s="3"/>
      <c r="X56" s="3">
        <f t="shared" si="6"/>
        <v>-329.3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","4147"," - ","NON-TAXABLE SALES-MISC")</f>
        <v xml:space="preserve">          4147 - NON-TAXABLE SALES-MISC</v>
      </c>
      <c r="C57" s="12"/>
      <c r="D57" s="3">
        <f>0</f>
        <v>0</v>
      </c>
      <c r="E57" s="3"/>
      <c r="F57" s="20"/>
      <c r="G57" s="3"/>
      <c r="H57" s="3">
        <f>--11</f>
        <v>11</v>
      </c>
      <c r="I57" s="3"/>
      <c r="J57" s="20"/>
      <c r="K57" s="3"/>
      <c r="L57" s="3">
        <f t="shared" si="4"/>
        <v>-11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--154.5</f>
        <v>154.5</v>
      </c>
      <c r="U57" s="3"/>
      <c r="V57" s="20"/>
      <c r="W57" s="3"/>
      <c r="X57" s="3">
        <f t="shared" si="6"/>
        <v>-154.5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","4200"," - ","TAXABLE RETURNS")</f>
        <v xml:space="preserve">          4200 - TAXABLE RETURNS</v>
      </c>
      <c r="C58" s="12"/>
      <c r="D58" s="3">
        <f>-20142.65</f>
        <v>-20142.650000000001</v>
      </c>
      <c r="E58" s="3"/>
      <c r="F58" s="20"/>
      <c r="G58" s="3"/>
      <c r="H58" s="3">
        <f>0</f>
        <v>0</v>
      </c>
      <c r="I58" s="3"/>
      <c r="J58" s="20"/>
      <c r="K58" s="3"/>
      <c r="L58" s="3">
        <f t="shared" si="4"/>
        <v>-20142.650000000001</v>
      </c>
      <c r="M58" s="3"/>
      <c r="N58" s="20">
        <f t="shared" si="5"/>
        <v>0</v>
      </c>
      <c r="O58" s="12"/>
      <c r="P58" s="3">
        <f>-171550.66</f>
        <v>-171550.66</v>
      </c>
      <c r="Q58" s="3"/>
      <c r="R58" s="20"/>
      <c r="S58" s="3"/>
      <c r="T58" s="3">
        <f>0</f>
        <v>0</v>
      </c>
      <c r="U58" s="3"/>
      <c r="V58" s="20"/>
      <c r="W58" s="3"/>
      <c r="X58" s="3">
        <f t="shared" si="6"/>
        <v>-171550.66</v>
      </c>
      <c r="Y58" s="3"/>
      <c r="Z58" s="20">
        <f t="shared" si="7"/>
        <v>0</v>
      </c>
    </row>
    <row r="59" spans="1:26" s="69" customFormat="1" ht="15" hidden="1" customHeight="1" outlineLevel="1" x14ac:dyDescent="0.3">
      <c r="A59" s="42"/>
      <c r="B59" s="12" t="str">
        <f>CONCATENATE("          ","4201"," - ","SALES RETURN TAXABLE-NEW TEXT")</f>
        <v xml:space="preserve">          4201 - SALES RETURN TAXABLE-NEW TEXT</v>
      </c>
      <c r="C59" s="12"/>
      <c r="D59" s="3">
        <f>0</f>
        <v>0</v>
      </c>
      <c r="E59" s="3"/>
      <c r="F59" s="20"/>
      <c r="G59" s="3"/>
      <c r="H59" s="3">
        <f>-376.85</f>
        <v>-376.85</v>
      </c>
      <c r="I59" s="3"/>
      <c r="J59" s="20"/>
      <c r="K59" s="3"/>
      <c r="L59" s="3">
        <f t="shared" si="4"/>
        <v>376.85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-51638.02</f>
        <v>-51638.02</v>
      </c>
      <c r="U59" s="3"/>
      <c r="V59" s="20"/>
      <c r="W59" s="3"/>
      <c r="X59" s="3">
        <f t="shared" si="6"/>
        <v>51638.02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","4202"," - ","SALES RETURN TAXABLE-USED TEXT")</f>
        <v xml:space="preserve">          4202 - SALES RETURN TAXABLE-USED TEXT</v>
      </c>
      <c r="C60" s="12"/>
      <c r="D60" s="3">
        <f>0</f>
        <v>0</v>
      </c>
      <c r="E60" s="3"/>
      <c r="F60" s="20"/>
      <c r="G60" s="3"/>
      <c r="H60" s="3">
        <f>-206.95</f>
        <v>-206.95</v>
      </c>
      <c r="I60" s="3"/>
      <c r="J60" s="20"/>
      <c r="K60" s="3"/>
      <c r="L60" s="3">
        <f t="shared" si="4"/>
        <v>206.95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-20096.26</f>
        <v>-20096.259999999998</v>
      </c>
      <c r="U60" s="3"/>
      <c r="V60" s="20"/>
      <c r="W60" s="3"/>
      <c r="X60" s="3">
        <f t="shared" si="6"/>
        <v>20096.259999999998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","4204"," - ","SALES RETURN TAXABLE-DIGITAL T")</f>
        <v xml:space="preserve">          4204 - SALES RETURN TAXABLE-DIGITAL T</v>
      </c>
      <c r="C61" s="12"/>
      <c r="D61" s="3">
        <f>0</f>
        <v>0</v>
      </c>
      <c r="E61" s="3"/>
      <c r="F61" s="20"/>
      <c r="G61" s="3"/>
      <c r="H61" s="3">
        <f>0</f>
        <v>0</v>
      </c>
      <c r="I61" s="3"/>
      <c r="J61" s="20"/>
      <c r="K61" s="3"/>
      <c r="L61" s="3">
        <f t="shared" si="4"/>
        <v>0</v>
      </c>
      <c r="M61" s="3"/>
      <c r="N61" s="20">
        <f t="shared" si="5"/>
        <v>0</v>
      </c>
      <c r="O61" s="12"/>
      <c r="P61" s="3">
        <f>0</f>
        <v>0</v>
      </c>
      <c r="Q61" s="3"/>
      <c r="R61" s="20"/>
      <c r="S61" s="3"/>
      <c r="T61" s="3">
        <f>-1763.1</f>
        <v>-1763.1</v>
      </c>
      <c r="U61" s="3"/>
      <c r="V61" s="20"/>
      <c r="W61" s="3"/>
      <c r="X61" s="3">
        <f t="shared" si="6"/>
        <v>1763.1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","4213"," - ","NON-TAXABLE SALES-TRADE BOOKS")</f>
        <v xml:space="preserve">          4213 - NON-TAXABLE SALES-TRADE BOOKS</v>
      </c>
      <c r="C62" s="12"/>
      <c r="D62" s="3">
        <f>0</f>
        <v>0</v>
      </c>
      <c r="E62" s="3"/>
      <c r="F62" s="20"/>
      <c r="G62" s="3"/>
      <c r="H62" s="3">
        <f>0</f>
        <v>0</v>
      </c>
      <c r="I62" s="3"/>
      <c r="J62" s="20"/>
      <c r="K62" s="3"/>
      <c r="L62" s="3">
        <f t="shared" si="4"/>
        <v>0</v>
      </c>
      <c r="M62" s="3"/>
      <c r="N62" s="20">
        <f t="shared" si="5"/>
        <v>0</v>
      </c>
      <c r="O62" s="12"/>
      <c r="P62" s="3">
        <f>0</f>
        <v>0</v>
      </c>
      <c r="Q62" s="3"/>
      <c r="R62" s="20"/>
      <c r="S62" s="3"/>
      <c r="T62" s="3">
        <f>-69.93</f>
        <v>-69.930000000000007</v>
      </c>
      <c r="U62" s="3"/>
      <c r="V62" s="20"/>
      <c r="W62" s="3"/>
      <c r="X62" s="3">
        <f t="shared" si="6"/>
        <v>69.930000000000007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","4218"," - ","SALES RETURN TAXABLE-STUDY GUI")</f>
        <v xml:space="preserve">          4218 - SALES RETURN TAXABLE-STUDY GUI</v>
      </c>
      <c r="C63" s="12"/>
      <c r="D63" s="3">
        <f>0</f>
        <v>0</v>
      </c>
      <c r="E63" s="3"/>
      <c r="F63" s="20"/>
      <c r="G63" s="3"/>
      <c r="H63" s="3">
        <f>0</f>
        <v>0</v>
      </c>
      <c r="I63" s="3"/>
      <c r="J63" s="20"/>
      <c r="K63" s="3"/>
      <c r="L63" s="3">
        <f t="shared" si="4"/>
        <v>0</v>
      </c>
      <c r="M63" s="3"/>
      <c r="N63" s="20">
        <f t="shared" si="5"/>
        <v>0</v>
      </c>
      <c r="O63" s="12"/>
      <c r="P63" s="3">
        <f>0</f>
        <v>0</v>
      </c>
      <c r="Q63" s="3"/>
      <c r="R63" s="20"/>
      <c r="S63" s="3"/>
      <c r="T63" s="3">
        <f>-5.21</f>
        <v>-5.21</v>
      </c>
      <c r="U63" s="3"/>
      <c r="V63" s="20"/>
      <c r="W63" s="3"/>
      <c r="X63" s="3">
        <f t="shared" si="6"/>
        <v>5.21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","4226"," - ","SALES RETURN TAXABLE-WRITING I")</f>
        <v xml:space="preserve">          4226 - SALES RETURN TAXABLE-WRITING I</v>
      </c>
      <c r="C64" s="12"/>
      <c r="D64" s="3">
        <f>0</f>
        <v>0</v>
      </c>
      <c r="E64" s="3"/>
      <c r="F64" s="20"/>
      <c r="G64" s="3"/>
      <c r="H64" s="3">
        <f>0</f>
        <v>0</v>
      </c>
      <c r="I64" s="3"/>
      <c r="J64" s="20"/>
      <c r="K64" s="3"/>
      <c r="L64" s="3">
        <f t="shared" si="4"/>
        <v>0</v>
      </c>
      <c r="M64" s="3"/>
      <c r="N64" s="20">
        <f t="shared" si="5"/>
        <v>0</v>
      </c>
      <c r="O64" s="12"/>
      <c r="P64" s="3">
        <f>0</f>
        <v>0</v>
      </c>
      <c r="Q64" s="3"/>
      <c r="R64" s="20"/>
      <c r="S64" s="3"/>
      <c r="T64" s="3">
        <f>-34.23</f>
        <v>-34.229999999999997</v>
      </c>
      <c r="U64" s="3"/>
      <c r="V64" s="20"/>
      <c r="W64" s="3"/>
      <c r="X64" s="3">
        <f t="shared" si="6"/>
        <v>34.229999999999997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","4227"," - ","SALES RETURN TAXABLE-SCHOOL SU")</f>
        <v xml:space="preserve">          4227 - SALES RETURN TAXABLE-SCHOOL SU</v>
      </c>
      <c r="C65" s="12"/>
      <c r="D65" s="3">
        <f>0</f>
        <v>0</v>
      </c>
      <c r="E65" s="3"/>
      <c r="F65" s="20"/>
      <c r="G65" s="3"/>
      <c r="H65" s="3">
        <f>-500.54</f>
        <v>-500.54</v>
      </c>
      <c r="I65" s="3"/>
      <c r="J65" s="20"/>
      <c r="K65" s="3"/>
      <c r="L65" s="3">
        <f t="shared" si="4"/>
        <v>500.54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-1346.66</f>
        <v>-1346.66</v>
      </c>
      <c r="U65" s="3"/>
      <c r="V65" s="20"/>
      <c r="W65" s="3"/>
      <c r="X65" s="3">
        <f t="shared" si="6"/>
        <v>1346.66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","4228"," - ","SALES RETURN TAXABLE-ART/TECH")</f>
        <v xml:space="preserve">          4228 - SALES RETURN TAXABLE-ART/TECH</v>
      </c>
      <c r="C66" s="12"/>
      <c r="D66" s="3">
        <f>0</f>
        <v>0</v>
      </c>
      <c r="E66" s="3"/>
      <c r="F66" s="20"/>
      <c r="G66" s="3"/>
      <c r="H66" s="3">
        <f>-136.11</f>
        <v>-136.11000000000001</v>
      </c>
      <c r="I66" s="3"/>
      <c r="J66" s="20"/>
      <c r="K66" s="3"/>
      <c r="L66" s="3">
        <f t="shared" si="4"/>
        <v>136.11000000000001</v>
      </c>
      <c r="M66" s="3"/>
      <c r="N66" s="20">
        <f t="shared" si="5"/>
        <v>-1</v>
      </c>
      <c r="O66" s="12"/>
      <c r="P66" s="3">
        <f>0</f>
        <v>0</v>
      </c>
      <c r="Q66" s="3"/>
      <c r="R66" s="20"/>
      <c r="S66" s="3"/>
      <c r="T66" s="3">
        <f>-12973.73</f>
        <v>-12973.73</v>
      </c>
      <c r="U66" s="3"/>
      <c r="V66" s="20"/>
      <c r="W66" s="3"/>
      <c r="X66" s="3">
        <f t="shared" si="6"/>
        <v>12973.73</v>
      </c>
      <c r="Y66" s="3"/>
      <c r="Z66" s="20">
        <f t="shared" si="7"/>
        <v>-1</v>
      </c>
    </row>
    <row r="67" spans="1:26" s="69" customFormat="1" ht="15" hidden="1" customHeight="1" outlineLevel="1" x14ac:dyDescent="0.3">
      <c r="A67" s="42"/>
      <c r="B67" s="12" t="str">
        <f>CONCATENATE("          ","4240"," - ","SALES RETURN TAXABLE-LOGO CLOT")</f>
        <v xml:space="preserve">          4240 - SALES RETURN TAXABLE-LOGO CLOT</v>
      </c>
      <c r="C67" s="12"/>
      <c r="D67" s="3">
        <f>0</f>
        <v>0</v>
      </c>
      <c r="E67" s="3"/>
      <c r="F67" s="20"/>
      <c r="G67" s="3"/>
      <c r="H67" s="3">
        <f>-5611.92</f>
        <v>-5611.92</v>
      </c>
      <c r="I67" s="3"/>
      <c r="J67" s="20"/>
      <c r="K67" s="3"/>
      <c r="L67" s="3">
        <f t="shared" si="4"/>
        <v>5611.92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-40666.27</f>
        <v>-40666.269999999997</v>
      </c>
      <c r="U67" s="3"/>
      <c r="V67" s="20"/>
      <c r="W67" s="3"/>
      <c r="X67" s="3">
        <f t="shared" si="6"/>
        <v>40666.269999999997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","4241"," - ","SALES RETURN TAXABLE-LOGO GIFT")</f>
        <v xml:space="preserve">          4241 - SALES RETURN TAXABLE-LOGO GIFT</v>
      </c>
      <c r="C68" s="12"/>
      <c r="D68" s="3">
        <f>0</f>
        <v>0</v>
      </c>
      <c r="E68" s="3"/>
      <c r="F68" s="20"/>
      <c r="G68" s="3"/>
      <c r="H68" s="3">
        <f>-5656.91</f>
        <v>-5656.91</v>
      </c>
      <c r="I68" s="3"/>
      <c r="J68" s="20"/>
      <c r="K68" s="3"/>
      <c r="L68" s="3">
        <f t="shared" si="4"/>
        <v>5656.91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-12175.25</f>
        <v>-12175.25</v>
      </c>
      <c r="U68" s="3"/>
      <c r="V68" s="20"/>
      <c r="W68" s="3"/>
      <c r="X68" s="3">
        <f t="shared" si="6"/>
        <v>12175.25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","4242"," - ","SALES RETURN TAXABLE-EVERYDAY")</f>
        <v xml:space="preserve">          4242 - SALES RETURN TAXABLE-EVERYDAY</v>
      </c>
      <c r="C69" s="12"/>
      <c r="D69" s="3">
        <f>0</f>
        <v>0</v>
      </c>
      <c r="E69" s="3"/>
      <c r="F69" s="20"/>
      <c r="G69" s="3"/>
      <c r="H69" s="3">
        <f>-332.27</f>
        <v>-332.27</v>
      </c>
      <c r="I69" s="3"/>
      <c r="J69" s="20"/>
      <c r="K69" s="3"/>
      <c r="L69" s="3">
        <f t="shared" si="4"/>
        <v>332.27</v>
      </c>
      <c r="M69" s="3"/>
      <c r="N69" s="20">
        <f t="shared" si="5"/>
        <v>-1</v>
      </c>
      <c r="O69" s="12"/>
      <c r="P69" s="3">
        <f>0</f>
        <v>0</v>
      </c>
      <c r="Q69" s="3"/>
      <c r="R69" s="20"/>
      <c r="S69" s="3"/>
      <c r="T69" s="3">
        <f>-2636.09</f>
        <v>-2636.09</v>
      </c>
      <c r="U69" s="3"/>
      <c r="V69" s="20"/>
      <c r="W69" s="3"/>
      <c r="X69" s="3">
        <f t="shared" si="6"/>
        <v>2636.09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","4243"," - ","SALES RETURN TAXABLE-CARDS")</f>
        <v xml:space="preserve">          4243 - SALES RETURN TAXABLE-CARDS</v>
      </c>
      <c r="C70" s="12"/>
      <c r="D70" s="3">
        <f>0</f>
        <v>0</v>
      </c>
      <c r="E70" s="3"/>
      <c r="F70" s="20"/>
      <c r="G70" s="3"/>
      <c r="H70" s="3">
        <f>-199.86</f>
        <v>-199.86</v>
      </c>
      <c r="I70" s="3"/>
      <c r="J70" s="20"/>
      <c r="K70" s="3"/>
      <c r="L70" s="3">
        <f t="shared" si="4"/>
        <v>199.86</v>
      </c>
      <c r="M70" s="3"/>
      <c r="N70" s="20">
        <f t="shared" si="5"/>
        <v>-1</v>
      </c>
      <c r="O70" s="12"/>
      <c r="P70" s="3">
        <f>0</f>
        <v>0</v>
      </c>
      <c r="Q70" s="3"/>
      <c r="R70" s="20"/>
      <c r="S70" s="3"/>
      <c r="T70" s="3">
        <f>-6142.09</f>
        <v>-6142.09</v>
      </c>
      <c r="U70" s="3"/>
      <c r="V70" s="20"/>
      <c r="W70" s="3"/>
      <c r="X70" s="3">
        <f t="shared" si="6"/>
        <v>6142.09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","4244"," - ","SALES RETURN TAXABLE-ACCESSORI")</f>
        <v xml:space="preserve">          4244 - SALES RETURN TAXABLE-ACCESSORI</v>
      </c>
      <c r="C71" s="12"/>
      <c r="D71" s="3">
        <f>0</f>
        <v>0</v>
      </c>
      <c r="E71" s="3"/>
      <c r="F71" s="20"/>
      <c r="G71" s="3"/>
      <c r="H71" s="3">
        <f>-8.24</f>
        <v>-8.24</v>
      </c>
      <c r="I71" s="3"/>
      <c r="J71" s="20"/>
      <c r="K71" s="3"/>
      <c r="L71" s="3">
        <f t="shared" si="4"/>
        <v>8.24</v>
      </c>
      <c r="M71" s="3"/>
      <c r="N71" s="20">
        <f t="shared" si="5"/>
        <v>-1</v>
      </c>
      <c r="O71" s="12"/>
      <c r="P71" s="3">
        <f>0</f>
        <v>0</v>
      </c>
      <c r="Q71" s="3"/>
      <c r="R71" s="20"/>
      <c r="S71" s="3"/>
      <c r="T71" s="3">
        <f>-1243.5</f>
        <v>-1243.5</v>
      </c>
      <c r="U71" s="3"/>
      <c r="V71" s="20"/>
      <c r="W71" s="3"/>
      <c r="X71" s="3">
        <f t="shared" si="6"/>
        <v>1243.5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","4245"," - ","SALES RETURN TAXABLE-SPECIAL O")</f>
        <v xml:space="preserve">          4245 - SALES RETURN TAXABLE-SPECIAL O</v>
      </c>
      <c r="C72" s="12"/>
      <c r="D72" s="3">
        <f>0</f>
        <v>0</v>
      </c>
      <c r="E72" s="3"/>
      <c r="F72" s="20"/>
      <c r="G72" s="3"/>
      <c r="H72" s="3">
        <f>-4071.14</f>
        <v>-4071.14</v>
      </c>
      <c r="I72" s="3"/>
      <c r="J72" s="20"/>
      <c r="K72" s="3"/>
      <c r="L72" s="3">
        <f t="shared" si="4"/>
        <v>4071.14</v>
      </c>
      <c r="M72" s="3"/>
      <c r="N72" s="20">
        <f t="shared" si="5"/>
        <v>-1</v>
      </c>
      <c r="O72" s="12"/>
      <c r="P72" s="3">
        <f>0</f>
        <v>0</v>
      </c>
      <c r="Q72" s="3"/>
      <c r="R72" s="20"/>
      <c r="S72" s="3"/>
      <c r="T72" s="3">
        <f>-15424.73</f>
        <v>-15424.73</v>
      </c>
      <c r="U72" s="3"/>
      <c r="V72" s="20"/>
      <c r="W72" s="3"/>
      <c r="X72" s="3">
        <f t="shared" si="6"/>
        <v>15424.73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","4300"," - ","NON-TAX RETURNS")</f>
        <v xml:space="preserve">          4300 - NON-TAX RETURNS</v>
      </c>
      <c r="C73" s="12"/>
      <c r="D73" s="3">
        <f>-9969.65</f>
        <v>-9969.65</v>
      </c>
      <c r="E73" s="3"/>
      <c r="F73" s="20"/>
      <c r="G73" s="3"/>
      <c r="H73" s="3">
        <f>0</f>
        <v>0</v>
      </c>
      <c r="I73" s="3"/>
      <c r="J73" s="20"/>
      <c r="K73" s="3"/>
      <c r="L73" s="3">
        <f t="shared" si="4"/>
        <v>-9969.65</v>
      </c>
      <c r="M73" s="3"/>
      <c r="N73" s="20">
        <f t="shared" si="5"/>
        <v>0</v>
      </c>
      <c r="O73" s="12"/>
      <c r="P73" s="3">
        <f>-41216.85</f>
        <v>-41216.85</v>
      </c>
      <c r="Q73" s="3"/>
      <c r="R73" s="20"/>
      <c r="S73" s="3"/>
      <c r="T73" s="3">
        <f>0</f>
        <v>0</v>
      </c>
      <c r="U73" s="3"/>
      <c r="V73" s="20"/>
      <c r="W73" s="3"/>
      <c r="X73" s="3">
        <f t="shared" si="6"/>
        <v>-41216.85</v>
      </c>
      <c r="Y73" s="3"/>
      <c r="Z73" s="20">
        <f t="shared" si="7"/>
        <v>0</v>
      </c>
    </row>
    <row r="74" spans="1:26" s="69" customFormat="1" ht="15" hidden="1" customHeight="1" outlineLevel="1" x14ac:dyDescent="0.3">
      <c r="A74" s="42"/>
      <c r="B74" s="12" t="str">
        <f>CONCATENATE("          ","4301"," - ","SALES RETURN NON TAXABLE-NEW T")</f>
        <v xml:space="preserve">          4301 - SALES RETURN NON TAXABLE-NEW T</v>
      </c>
      <c r="C74" s="12"/>
      <c r="D74" s="3">
        <f>0</f>
        <v>0</v>
      </c>
      <c r="E74" s="3"/>
      <c r="F74" s="20"/>
      <c r="G74" s="3"/>
      <c r="H74" s="3">
        <f>-225.91</f>
        <v>-225.91</v>
      </c>
      <c r="I74" s="3"/>
      <c r="J74" s="20"/>
      <c r="K74" s="3"/>
      <c r="L74" s="3">
        <f t="shared" si="4"/>
        <v>225.91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-3463.2</f>
        <v>-3463.2</v>
      </c>
      <c r="U74" s="3"/>
      <c r="V74" s="20"/>
      <c r="W74" s="3"/>
      <c r="X74" s="3">
        <f t="shared" si="6"/>
        <v>3463.2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","4302"," - ","SALES RETURN NON TAXABLE-TEXT")</f>
        <v xml:space="preserve">          4302 - SALES RETURN NON TAXABLE-TEXT</v>
      </c>
      <c r="C75" s="12"/>
      <c r="D75" s="3">
        <f>0</f>
        <v>0</v>
      </c>
      <c r="E75" s="3"/>
      <c r="F75" s="20"/>
      <c r="G75" s="3"/>
      <c r="H75" s="3">
        <f>-98.97</f>
        <v>-98.97</v>
      </c>
      <c r="I75" s="3"/>
      <c r="J75" s="20"/>
      <c r="K75" s="3"/>
      <c r="L75" s="3">
        <f t="shared" si="4"/>
        <v>98.97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-2443.32</f>
        <v>-2443.3200000000002</v>
      </c>
      <c r="U75" s="3"/>
      <c r="V75" s="20"/>
      <c r="W75" s="3"/>
      <c r="X75" s="3">
        <f t="shared" si="6"/>
        <v>2443.3200000000002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","4304"," - ","SALES RETURN NON TAXABLE-DIGIT")</f>
        <v xml:space="preserve">          4304 - SALES RETURN NON TAXABLE-DIGIT</v>
      </c>
      <c r="C76" s="12"/>
      <c r="D76" s="3">
        <f>0</f>
        <v>0</v>
      </c>
      <c r="E76" s="3"/>
      <c r="F76" s="20"/>
      <c r="G76" s="3"/>
      <c r="H76" s="3">
        <f>0</f>
        <v>0</v>
      </c>
      <c r="I76" s="3"/>
      <c r="J76" s="20"/>
      <c r="K76" s="3"/>
      <c r="L76" s="3">
        <f t="shared" si="4"/>
        <v>0</v>
      </c>
      <c r="M76" s="3"/>
      <c r="N76" s="20">
        <f t="shared" si="5"/>
        <v>0</v>
      </c>
      <c r="O76" s="12"/>
      <c r="P76" s="3">
        <f>0</f>
        <v>0</v>
      </c>
      <c r="Q76" s="3"/>
      <c r="R76" s="20"/>
      <c r="S76" s="3"/>
      <c r="T76" s="3">
        <f>-27543.76</f>
        <v>-27543.759999999998</v>
      </c>
      <c r="U76" s="3"/>
      <c r="V76" s="20"/>
      <c r="W76" s="3"/>
      <c r="X76" s="3">
        <f t="shared" si="6"/>
        <v>27543.759999999998</v>
      </c>
      <c r="Y76" s="3"/>
      <c r="Z76" s="20">
        <f t="shared" si="7"/>
        <v>-1</v>
      </c>
    </row>
    <row r="77" spans="1:26" s="69" customFormat="1" ht="15" hidden="1" customHeight="1" outlineLevel="1" x14ac:dyDescent="0.3">
      <c r="A77" s="42"/>
      <c r="B77" s="12" t="str">
        <f>CONCATENATE("          ","4340"," - ","SALES RETURN NON TAXABLE-LOGO")</f>
        <v xml:space="preserve">          4340 - SALES RETURN NON TAXABLE-LOGO</v>
      </c>
      <c r="C77" s="12"/>
      <c r="D77" s="3">
        <f>0</f>
        <v>0</v>
      </c>
      <c r="E77" s="3"/>
      <c r="F77" s="20"/>
      <c r="G77" s="3"/>
      <c r="H77" s="3">
        <f>-664.13</f>
        <v>-664.13</v>
      </c>
      <c r="I77" s="3"/>
      <c r="J77" s="20"/>
      <c r="K77" s="3"/>
      <c r="L77" s="3">
        <f t="shared" si="4"/>
        <v>664.13</v>
      </c>
      <c r="M77" s="3"/>
      <c r="N77" s="20">
        <f t="shared" si="5"/>
        <v>-1</v>
      </c>
      <c r="O77" s="12"/>
      <c r="P77" s="3">
        <f>0</f>
        <v>0</v>
      </c>
      <c r="Q77" s="3"/>
      <c r="R77" s="20"/>
      <c r="S77" s="3"/>
      <c r="T77" s="3">
        <f>-3307.52</f>
        <v>-3307.52</v>
      </c>
      <c r="U77" s="3"/>
      <c r="V77" s="20"/>
      <c r="W77" s="3"/>
      <c r="X77" s="3">
        <f t="shared" si="6"/>
        <v>3307.52</v>
      </c>
      <c r="Y77" s="3"/>
      <c r="Z77" s="20">
        <f t="shared" si="7"/>
        <v>-1</v>
      </c>
    </row>
    <row r="78" spans="1:26" s="69" customFormat="1" ht="15" hidden="1" customHeight="1" outlineLevel="1" x14ac:dyDescent="0.3">
      <c r="A78" s="42"/>
      <c r="B78" s="12" t="str">
        <f>CONCATENATE("          ","4341"," - ","SALES RETURN NON TAXABLE-LOGO")</f>
        <v xml:space="preserve">          4341 - SALES RETURN NON TAXABLE-LOGO</v>
      </c>
      <c r="C78" s="12"/>
      <c r="D78" s="3">
        <f>0</f>
        <v>0</v>
      </c>
      <c r="E78" s="3"/>
      <c r="F78" s="20"/>
      <c r="G78" s="3"/>
      <c r="H78" s="3">
        <f>-9.9</f>
        <v>-9.9</v>
      </c>
      <c r="I78" s="3"/>
      <c r="J78" s="20"/>
      <c r="K78" s="3"/>
      <c r="L78" s="3">
        <f t="shared" si="4"/>
        <v>9.9</v>
      </c>
      <c r="M78" s="3"/>
      <c r="N78" s="20">
        <f t="shared" si="5"/>
        <v>-1</v>
      </c>
      <c r="O78" s="12"/>
      <c r="P78" s="3">
        <f>0</f>
        <v>0</v>
      </c>
      <c r="Q78" s="3"/>
      <c r="R78" s="20"/>
      <c r="S78" s="3"/>
      <c r="T78" s="3">
        <f>-402.44</f>
        <v>-402.44</v>
      </c>
      <c r="U78" s="3"/>
      <c r="V78" s="20"/>
      <c r="W78" s="3"/>
      <c r="X78" s="3">
        <f t="shared" si="6"/>
        <v>402.44</v>
      </c>
      <c r="Y78" s="3"/>
      <c r="Z78" s="20">
        <f t="shared" si="7"/>
        <v>-1</v>
      </c>
    </row>
    <row r="79" spans="1:26" s="69" customFormat="1" ht="15" hidden="1" customHeight="1" outlineLevel="1" x14ac:dyDescent="0.3">
      <c r="A79" s="42"/>
      <c r="B79" s="12" t="str">
        <f>CONCATENATE("          ","4342"," - ","SALES RETURN NON TAXABLE-EVERY")</f>
        <v xml:space="preserve">          4342 - SALES RETURN NON TAXABLE-EVERY</v>
      </c>
      <c r="C79" s="12"/>
      <c r="D79" s="3">
        <f>0</f>
        <v>0</v>
      </c>
      <c r="E79" s="3"/>
      <c r="F79" s="20"/>
      <c r="G79" s="3"/>
      <c r="H79" s="3">
        <f>0</f>
        <v>0</v>
      </c>
      <c r="I79" s="3"/>
      <c r="J79" s="20"/>
      <c r="K79" s="3"/>
      <c r="L79" s="3">
        <f t="shared" si="4"/>
        <v>0</v>
      </c>
      <c r="M79" s="3"/>
      <c r="N79" s="20">
        <f t="shared" si="5"/>
        <v>0</v>
      </c>
      <c r="O79" s="12"/>
      <c r="P79" s="3">
        <f>0</f>
        <v>0</v>
      </c>
      <c r="Q79" s="3"/>
      <c r="R79" s="20"/>
      <c r="S79" s="3"/>
      <c r="T79" s="3">
        <f>-118.7</f>
        <v>-118.7</v>
      </c>
      <c r="U79" s="3"/>
      <c r="V79" s="20"/>
      <c r="W79" s="3"/>
      <c r="X79" s="3">
        <f t="shared" si="6"/>
        <v>118.7</v>
      </c>
      <c r="Y79" s="3"/>
      <c r="Z79" s="20">
        <f t="shared" si="7"/>
        <v>-1</v>
      </c>
    </row>
    <row r="80" spans="1:26" s="69" customFormat="1" ht="15" hidden="1" customHeight="1" outlineLevel="1" x14ac:dyDescent="0.3">
      <c r="A80" s="42"/>
      <c r="B80" s="12" t="str">
        <f>CONCATENATE("          ","4500"," - ","SALES DISCOUNT")</f>
        <v xml:space="preserve">          4500 - SALES DISCOUNT</v>
      </c>
      <c r="C80" s="12"/>
      <c r="D80" s="3">
        <f>-14706.77</f>
        <v>-14706.77</v>
      </c>
      <c r="E80" s="3"/>
      <c r="F80" s="20"/>
      <c r="G80" s="3"/>
      <c r="H80" s="3">
        <f>0</f>
        <v>0</v>
      </c>
      <c r="I80" s="3"/>
      <c r="J80" s="20"/>
      <c r="K80" s="3"/>
      <c r="L80" s="3">
        <f t="shared" si="4"/>
        <v>-14706.77</v>
      </c>
      <c r="M80" s="3"/>
      <c r="N80" s="20">
        <f t="shared" si="5"/>
        <v>0</v>
      </c>
      <c r="O80" s="12"/>
      <c r="P80" s="3">
        <f>-106613.91</f>
        <v>-106613.91</v>
      </c>
      <c r="Q80" s="3"/>
      <c r="R80" s="20"/>
      <c r="S80" s="3"/>
      <c r="T80" s="3">
        <f>0</f>
        <v>0</v>
      </c>
      <c r="U80" s="3"/>
      <c r="V80" s="20"/>
      <c r="W80" s="3"/>
      <c r="X80" s="3">
        <f t="shared" si="6"/>
        <v>-106613.91</v>
      </c>
      <c r="Y80" s="3"/>
      <c r="Z80" s="20">
        <f t="shared" si="7"/>
        <v>0</v>
      </c>
    </row>
    <row r="81" spans="1:26" ht="15" customHeight="1" x14ac:dyDescent="0.3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collapsed="1" x14ac:dyDescent="0.3">
      <c r="A82" s="11"/>
      <c r="B82" s="27" t="s">
        <v>287</v>
      </c>
      <c r="C82" s="11"/>
      <c r="D82" s="5">
        <f>SUM(OSRRefD16x_0)</f>
        <v>379784.5</v>
      </c>
      <c r="E82" s="5"/>
      <c r="F82" s="13">
        <f t="shared" ref="F82:F123" si="8">IF(D$12=0,0,D82/D$12)</f>
        <v>0.43481942504885829</v>
      </c>
      <c r="G82" s="5"/>
      <c r="H82" s="5">
        <f>SUM(OSRRefH16x_0)</f>
        <v>223181.99</v>
      </c>
      <c r="I82" s="5"/>
      <c r="J82" s="13">
        <f t="shared" ref="J82:J123" si="9">IF(H$12=0,0,H82/H$12)</f>
        <v>0.50900613299255137</v>
      </c>
      <c r="K82" s="5"/>
      <c r="L82" s="5">
        <f t="shared" ref="L82:L123" si="10">+D82-H82</f>
        <v>156602.51</v>
      </c>
      <c r="M82" s="5"/>
      <c r="N82" s="13">
        <f t="shared" ref="N82:N123" si="11">IF(H82=0,0,L82/H82)</f>
        <v>0.70168076734148677</v>
      </c>
      <c r="O82" s="11"/>
      <c r="P82" s="5">
        <f>SUM(OSRRefP16x_0)</f>
        <v>3699319.84</v>
      </c>
      <c r="Q82" s="5"/>
      <c r="R82" s="13">
        <f t="shared" ref="R82:R123" si="12">IF(P$12=0,0,P82/P$12)</f>
        <v>0.55531470414532003</v>
      </c>
      <c r="S82" s="5"/>
      <c r="T82" s="5">
        <f>SUM(OSRRefT16x_0)</f>
        <v>2944157.7500000005</v>
      </c>
      <c r="U82" s="5"/>
      <c r="V82" s="13">
        <f t="shared" ref="V82:V123" si="13">IF(T$12=0,0,T82/T$12)</f>
        <v>0.62606495779342586</v>
      </c>
      <c r="W82" s="5"/>
      <c r="X82" s="5">
        <f t="shared" ref="X82:X123" si="14">+P82-T82</f>
        <v>755162.08999999939</v>
      </c>
      <c r="Y82" s="5"/>
      <c r="Z82" s="13">
        <f t="shared" ref="Z82:Z123" si="15">IF(T82=0,0,X82/T82)</f>
        <v>0.2564951181708926</v>
      </c>
    </row>
    <row r="83" spans="1:26" s="69" customFormat="1" ht="15" hidden="1" customHeight="1" outlineLevel="1" x14ac:dyDescent="0.3">
      <c r="A83" s="42"/>
      <c r="B83" s="12" t="str">
        <f>CONCATENATE("          ","5000"," - ","PURCHASES @ COST")</f>
        <v xml:space="preserve">          5000 - PURCHASES @ COST</v>
      </c>
      <c r="C83" s="12"/>
      <c r="D83" s="3">
        <v>156904.57999999999</v>
      </c>
      <c r="E83" s="3"/>
      <c r="F83" s="20">
        <f t="shared" si="8"/>
        <v>0.17964176859016778</v>
      </c>
      <c r="G83" s="3"/>
      <c r="H83" s="3"/>
      <c r="I83" s="3"/>
      <c r="J83" s="20">
        <f t="shared" si="9"/>
        <v>0</v>
      </c>
      <c r="K83" s="3"/>
      <c r="L83" s="3">
        <f t="shared" si="10"/>
        <v>156904.57999999999</v>
      </c>
      <c r="M83" s="3"/>
      <c r="N83" s="20">
        <f t="shared" si="11"/>
        <v>0</v>
      </c>
      <c r="O83" s="12"/>
      <c r="P83" s="3">
        <v>3684048.07</v>
      </c>
      <c r="Q83" s="3"/>
      <c r="R83" s="20">
        <f t="shared" si="12"/>
        <v>0.55302221828139819</v>
      </c>
      <c r="S83" s="3"/>
      <c r="T83" s="3">
        <v>0</v>
      </c>
      <c r="U83" s="3"/>
      <c r="V83" s="20">
        <f t="shared" si="13"/>
        <v>0</v>
      </c>
      <c r="W83" s="3"/>
      <c r="X83" s="3">
        <f t="shared" si="14"/>
        <v>3684048.07</v>
      </c>
      <c r="Y83" s="3"/>
      <c r="Z83" s="20">
        <f t="shared" si="15"/>
        <v>0</v>
      </c>
    </row>
    <row r="84" spans="1:26" s="69" customFormat="1" ht="15" hidden="1" customHeight="1" outlineLevel="1" x14ac:dyDescent="0.3">
      <c r="A84" s="42"/>
      <c r="B84" s="12" t="str">
        <f>CONCATENATE("          ","5001"," - ","PURCHASES @ COST-NEW TEXT")</f>
        <v xml:space="preserve">          5001 - PURCHASES @ COST-NEW TEXT</v>
      </c>
      <c r="C84" s="12"/>
      <c r="D84" s="3"/>
      <c r="E84" s="3"/>
      <c r="F84" s="20">
        <f t="shared" si="8"/>
        <v>0</v>
      </c>
      <c r="G84" s="3"/>
      <c r="H84" s="3">
        <v>-28969.93</v>
      </c>
      <c r="I84" s="3"/>
      <c r="J84" s="20">
        <f t="shared" si="9"/>
        <v>-6.6071066228797867E-2</v>
      </c>
      <c r="K84" s="3"/>
      <c r="L84" s="3">
        <f t="shared" si="10"/>
        <v>28969.93</v>
      </c>
      <c r="M84" s="3"/>
      <c r="N84" s="20">
        <f t="shared" si="11"/>
        <v>-1</v>
      </c>
      <c r="O84" s="12"/>
      <c r="P84" s="3">
        <v>0</v>
      </c>
      <c r="Q84" s="3"/>
      <c r="R84" s="20">
        <f t="shared" si="12"/>
        <v>0</v>
      </c>
      <c r="S84" s="3"/>
      <c r="T84" s="3">
        <v>1006546.47</v>
      </c>
      <c r="U84" s="3"/>
      <c r="V84" s="20">
        <f t="shared" si="13"/>
        <v>0.21403862386710482</v>
      </c>
      <c r="W84" s="3"/>
      <c r="X84" s="3">
        <f t="shared" si="14"/>
        <v>-1006546.47</v>
      </c>
      <c r="Y84" s="3"/>
      <c r="Z84" s="20">
        <f t="shared" si="15"/>
        <v>-1</v>
      </c>
    </row>
    <row r="85" spans="1:26" s="69" customFormat="1" ht="15" hidden="1" customHeight="1" outlineLevel="1" x14ac:dyDescent="0.3">
      <c r="A85" s="42"/>
      <c r="B85" s="12" t="str">
        <f>CONCATENATE("          ","5002"," - ","PURCHASES @ COST-USED TEXT")</f>
        <v xml:space="preserve">          5002 - PURCHASES @ COST-USED TEXT</v>
      </c>
      <c r="C85" s="12"/>
      <c r="D85" s="3"/>
      <c r="E85" s="3"/>
      <c r="F85" s="20">
        <f t="shared" si="8"/>
        <v>0</v>
      </c>
      <c r="G85" s="3"/>
      <c r="H85" s="3">
        <v>-122091.65</v>
      </c>
      <c r="I85" s="3"/>
      <c r="J85" s="20">
        <f t="shared" si="9"/>
        <v>-0.27845167361927381</v>
      </c>
      <c r="K85" s="3"/>
      <c r="L85" s="3">
        <f t="shared" si="10"/>
        <v>122091.65</v>
      </c>
      <c r="M85" s="3"/>
      <c r="N85" s="20">
        <f t="shared" si="11"/>
        <v>-1</v>
      </c>
      <c r="O85" s="12"/>
      <c r="P85" s="3">
        <v>0</v>
      </c>
      <c r="Q85" s="3"/>
      <c r="R85" s="20">
        <f t="shared" si="12"/>
        <v>0</v>
      </c>
      <c r="S85" s="3"/>
      <c r="T85" s="3">
        <v>274961.02</v>
      </c>
      <c r="U85" s="3"/>
      <c r="V85" s="20">
        <f t="shared" si="13"/>
        <v>5.8469509448376977E-2</v>
      </c>
      <c r="W85" s="3"/>
      <c r="X85" s="3">
        <f t="shared" si="14"/>
        <v>-274961.02</v>
      </c>
      <c r="Y85" s="3"/>
      <c r="Z85" s="20">
        <f t="shared" si="15"/>
        <v>-1</v>
      </c>
    </row>
    <row r="86" spans="1:26" s="69" customFormat="1" ht="15" hidden="1" customHeight="1" outlineLevel="1" x14ac:dyDescent="0.3">
      <c r="A86" s="42"/>
      <c r="B86" s="12" t="str">
        <f>CONCATENATE("          ","5003"," - ","PURCHASES @ COST-RENTAL TEXT")</f>
        <v xml:space="preserve">          5003 - PURCHASES @ COST-RENTAL TEXT</v>
      </c>
      <c r="C86" s="12"/>
      <c r="D86" s="3"/>
      <c r="E86" s="3"/>
      <c r="F86" s="20">
        <f t="shared" si="8"/>
        <v>0</v>
      </c>
      <c r="G86" s="3"/>
      <c r="H86" s="3"/>
      <c r="I86" s="3"/>
      <c r="J86" s="20">
        <f t="shared" si="9"/>
        <v>0</v>
      </c>
      <c r="K86" s="3"/>
      <c r="L86" s="3">
        <f t="shared" si="10"/>
        <v>0</v>
      </c>
      <c r="M86" s="3"/>
      <c r="N86" s="20">
        <f t="shared" si="11"/>
        <v>0</v>
      </c>
      <c r="O86" s="12"/>
      <c r="P86" s="3"/>
      <c r="Q86" s="3"/>
      <c r="R86" s="20">
        <f t="shared" si="12"/>
        <v>0</v>
      </c>
      <c r="S86" s="3"/>
      <c r="T86" s="3">
        <v>32.520000000000003</v>
      </c>
      <c r="U86" s="3"/>
      <c r="V86" s="20">
        <f t="shared" si="13"/>
        <v>6.9152654702154487E-6</v>
      </c>
      <c r="W86" s="3"/>
      <c r="X86" s="3">
        <f t="shared" si="14"/>
        <v>-32.520000000000003</v>
      </c>
      <c r="Y86" s="3"/>
      <c r="Z86" s="20">
        <f t="shared" si="15"/>
        <v>-1</v>
      </c>
    </row>
    <row r="87" spans="1:26" s="69" customFormat="1" ht="15" hidden="1" customHeight="1" outlineLevel="1" x14ac:dyDescent="0.3">
      <c r="A87" s="42"/>
      <c r="B87" s="12" t="str">
        <f>CONCATENATE("          ","5004"," - ","PURCHASES @ COST-DIGITAL TEXT")</f>
        <v xml:space="preserve">          5004 - PURCHASES @ COST-DIGITAL TEXT</v>
      </c>
      <c r="C87" s="12"/>
      <c r="D87" s="3"/>
      <c r="E87" s="3"/>
      <c r="F87" s="20">
        <f t="shared" si="8"/>
        <v>0</v>
      </c>
      <c r="G87" s="3"/>
      <c r="H87" s="3">
        <v>887.88</v>
      </c>
      <c r="I87" s="3"/>
      <c r="J87" s="20">
        <f t="shared" si="9"/>
        <v>2.0249678988946487E-3</v>
      </c>
      <c r="K87" s="3"/>
      <c r="L87" s="3">
        <f t="shared" si="10"/>
        <v>-887.88</v>
      </c>
      <c r="M87" s="3"/>
      <c r="N87" s="20">
        <f t="shared" si="11"/>
        <v>-1</v>
      </c>
      <c r="O87" s="12"/>
      <c r="P87" s="3">
        <v>0</v>
      </c>
      <c r="Q87" s="3"/>
      <c r="R87" s="20">
        <f t="shared" si="12"/>
        <v>0</v>
      </c>
      <c r="S87" s="3"/>
      <c r="T87" s="3">
        <v>207450.38</v>
      </c>
      <c r="U87" s="3"/>
      <c r="V87" s="20">
        <f t="shared" si="13"/>
        <v>4.4113605461164621E-2</v>
      </c>
      <c r="W87" s="3"/>
      <c r="X87" s="3">
        <f t="shared" si="14"/>
        <v>-207450.38</v>
      </c>
      <c r="Y87" s="3"/>
      <c r="Z87" s="20">
        <f t="shared" si="15"/>
        <v>-1</v>
      </c>
    </row>
    <row r="88" spans="1:26" s="69" customFormat="1" ht="15" hidden="1" customHeight="1" outlineLevel="1" x14ac:dyDescent="0.3">
      <c r="A88" s="42"/>
      <c r="B88" s="12" t="str">
        <f>CONCATENATE("          ","5011"," - ","PURCHASES @ COST-NO VALUE TEXT")</f>
        <v xml:space="preserve">          5011 - PURCHASES @ COST-NO VALUE TEXT</v>
      </c>
      <c r="C88" s="12"/>
      <c r="D88" s="3"/>
      <c r="E88" s="3"/>
      <c r="F88" s="20">
        <f t="shared" si="8"/>
        <v>0</v>
      </c>
      <c r="G88" s="3"/>
      <c r="H88" s="3"/>
      <c r="I88" s="3"/>
      <c r="J88" s="20">
        <f t="shared" si="9"/>
        <v>0</v>
      </c>
      <c r="K88" s="3"/>
      <c r="L88" s="3">
        <f t="shared" si="10"/>
        <v>0</v>
      </c>
      <c r="M88" s="3"/>
      <c r="N88" s="20">
        <f t="shared" si="11"/>
        <v>0</v>
      </c>
      <c r="O88" s="12"/>
      <c r="P88" s="3"/>
      <c r="Q88" s="3"/>
      <c r="R88" s="20">
        <f t="shared" si="12"/>
        <v>0</v>
      </c>
      <c r="S88" s="3"/>
      <c r="T88" s="3">
        <v>67.17</v>
      </c>
      <c r="U88" s="3"/>
      <c r="V88" s="20">
        <f t="shared" si="13"/>
        <v>1.4283468069937627E-5</v>
      </c>
      <c r="W88" s="3"/>
      <c r="X88" s="3">
        <f t="shared" si="14"/>
        <v>-67.17</v>
      </c>
      <c r="Y88" s="3"/>
      <c r="Z88" s="20">
        <f t="shared" si="15"/>
        <v>-1</v>
      </c>
    </row>
    <row r="89" spans="1:26" s="69" customFormat="1" ht="15" hidden="1" customHeight="1" outlineLevel="1" x14ac:dyDescent="0.3">
      <c r="A89" s="42"/>
      <c r="B89" s="12" t="str">
        <f>CONCATENATE("          ","5013"," - ","PURCHASES @ COST-TRADE BOOKS")</f>
        <v xml:space="preserve">          5013 - PURCHASES @ COST-TRADE BOOKS</v>
      </c>
      <c r="C89" s="12"/>
      <c r="D89" s="3"/>
      <c r="E89" s="3"/>
      <c r="F89" s="20">
        <f t="shared" si="8"/>
        <v>0</v>
      </c>
      <c r="G89" s="3"/>
      <c r="H89" s="3">
        <v>800</v>
      </c>
      <c r="I89" s="3"/>
      <c r="J89" s="20">
        <f t="shared" si="9"/>
        <v>1.8245419641344765E-3</v>
      </c>
      <c r="K89" s="3"/>
      <c r="L89" s="3">
        <f t="shared" si="10"/>
        <v>-800</v>
      </c>
      <c r="M89" s="3"/>
      <c r="N89" s="20">
        <f t="shared" si="11"/>
        <v>-1</v>
      </c>
      <c r="O89" s="12"/>
      <c r="P89" s="3"/>
      <c r="Q89" s="3"/>
      <c r="R89" s="20">
        <f t="shared" si="12"/>
        <v>0</v>
      </c>
      <c r="S89" s="3"/>
      <c r="T89" s="3">
        <v>9670.02</v>
      </c>
      <c r="U89" s="3"/>
      <c r="V89" s="20">
        <f t="shared" si="13"/>
        <v>2.0562962915834189E-3</v>
      </c>
      <c r="W89" s="3"/>
      <c r="X89" s="3">
        <f t="shared" si="14"/>
        <v>-9670.02</v>
      </c>
      <c r="Y89" s="3"/>
      <c r="Z89" s="20">
        <f t="shared" si="15"/>
        <v>-1</v>
      </c>
    </row>
    <row r="90" spans="1:26" s="69" customFormat="1" ht="15" hidden="1" customHeight="1" outlineLevel="1" x14ac:dyDescent="0.3">
      <c r="A90" s="42"/>
      <c r="B90" s="12" t="str">
        <f>CONCATENATE("          ","5014"," - ","PURCHASES @ COST-REMAINDERS")</f>
        <v xml:space="preserve">          5014 - PURCHASES @ COST-REMAINDERS</v>
      </c>
      <c r="C90" s="12"/>
      <c r="D90" s="3"/>
      <c r="E90" s="3"/>
      <c r="F90" s="20">
        <f t="shared" si="8"/>
        <v>0</v>
      </c>
      <c r="G90" s="3"/>
      <c r="H90" s="3"/>
      <c r="I90" s="3"/>
      <c r="J90" s="20">
        <f t="shared" si="9"/>
        <v>0</v>
      </c>
      <c r="K90" s="3"/>
      <c r="L90" s="3">
        <f t="shared" si="10"/>
        <v>0</v>
      </c>
      <c r="M90" s="3"/>
      <c r="N90" s="20">
        <f t="shared" si="11"/>
        <v>0</v>
      </c>
      <c r="O90" s="12"/>
      <c r="P90" s="3"/>
      <c r="Q90" s="3"/>
      <c r="R90" s="20">
        <f t="shared" si="12"/>
        <v>0</v>
      </c>
      <c r="S90" s="3"/>
      <c r="T90" s="3">
        <v>111.57</v>
      </c>
      <c r="U90" s="3"/>
      <c r="V90" s="20">
        <f t="shared" si="13"/>
        <v>2.3724974431486393E-5</v>
      </c>
      <c r="W90" s="3"/>
      <c r="X90" s="3">
        <f t="shared" si="14"/>
        <v>-111.57</v>
      </c>
      <c r="Y90" s="3"/>
      <c r="Z90" s="20">
        <f t="shared" si="15"/>
        <v>-1</v>
      </c>
    </row>
    <row r="91" spans="1:26" s="69" customFormat="1" ht="15" hidden="1" customHeight="1" outlineLevel="1" x14ac:dyDescent="0.3">
      <c r="A91" s="42"/>
      <c r="B91" s="12" t="str">
        <f>CONCATENATE("          ","5018"," - ","PURCHASES @ COST-STUDY GUIDES")</f>
        <v xml:space="preserve">          5018 - PURCHASES @ COST-STUDY GUIDES</v>
      </c>
      <c r="C91" s="12"/>
      <c r="D91" s="3"/>
      <c r="E91" s="3"/>
      <c r="F91" s="20">
        <f t="shared" si="8"/>
        <v>0</v>
      </c>
      <c r="G91" s="3"/>
      <c r="H91" s="3"/>
      <c r="I91" s="3"/>
      <c r="J91" s="20">
        <f t="shared" si="9"/>
        <v>0</v>
      </c>
      <c r="K91" s="3"/>
      <c r="L91" s="3">
        <f t="shared" si="10"/>
        <v>0</v>
      </c>
      <c r="M91" s="3"/>
      <c r="N91" s="20">
        <f t="shared" si="11"/>
        <v>0</v>
      </c>
      <c r="O91" s="12"/>
      <c r="P91" s="3"/>
      <c r="Q91" s="3"/>
      <c r="R91" s="20">
        <f t="shared" si="12"/>
        <v>0</v>
      </c>
      <c r="S91" s="3"/>
      <c r="T91" s="3">
        <v>967.21</v>
      </c>
      <c r="U91" s="3"/>
      <c r="V91" s="20">
        <f t="shared" si="13"/>
        <v>2.0567385963859422E-4</v>
      </c>
      <c r="W91" s="3"/>
      <c r="X91" s="3">
        <f t="shared" si="14"/>
        <v>-967.21</v>
      </c>
      <c r="Y91" s="3"/>
      <c r="Z91" s="20">
        <f t="shared" si="15"/>
        <v>-1</v>
      </c>
    </row>
    <row r="92" spans="1:26" s="69" customFormat="1" ht="15" hidden="1" customHeight="1" outlineLevel="1" x14ac:dyDescent="0.3">
      <c r="A92" s="42"/>
      <c r="B92" s="12" t="str">
        <f>CONCATENATE("          ","5025"," - ","PURCHASES @ COST-TEST FORMS")</f>
        <v xml:space="preserve">          5025 - PURCHASES @ COST-TEST FORMS</v>
      </c>
      <c r="C92" s="12"/>
      <c r="D92" s="3"/>
      <c r="E92" s="3"/>
      <c r="F92" s="20">
        <f t="shared" si="8"/>
        <v>0</v>
      </c>
      <c r="G92" s="3"/>
      <c r="H92" s="3"/>
      <c r="I92" s="3"/>
      <c r="J92" s="20">
        <f t="shared" si="9"/>
        <v>0</v>
      </c>
      <c r="K92" s="3"/>
      <c r="L92" s="3">
        <f t="shared" si="10"/>
        <v>0</v>
      </c>
      <c r="M92" s="3"/>
      <c r="N92" s="20">
        <f t="shared" si="11"/>
        <v>0</v>
      </c>
      <c r="O92" s="12"/>
      <c r="P92" s="3"/>
      <c r="Q92" s="3"/>
      <c r="R92" s="20">
        <f t="shared" si="12"/>
        <v>0</v>
      </c>
      <c r="S92" s="3"/>
      <c r="T92" s="3">
        <v>599.29</v>
      </c>
      <c r="U92" s="3"/>
      <c r="V92" s="20">
        <f t="shared" si="13"/>
        <v>1.2743694476154415E-4</v>
      </c>
      <c r="W92" s="3"/>
      <c r="X92" s="3">
        <f t="shared" si="14"/>
        <v>-599.29</v>
      </c>
      <c r="Y92" s="3"/>
      <c r="Z92" s="20">
        <f t="shared" si="15"/>
        <v>-1</v>
      </c>
    </row>
    <row r="93" spans="1:26" s="69" customFormat="1" ht="15" hidden="1" customHeight="1" outlineLevel="1" x14ac:dyDescent="0.3">
      <c r="A93" s="42"/>
      <c r="B93" s="12" t="str">
        <f>CONCATENATE("          ","5026"," - ","PURCHASES @ COST-WRITING INSTR")</f>
        <v xml:space="preserve">          5026 - PURCHASES @ COST-WRITING INSTR</v>
      </c>
      <c r="C93" s="12"/>
      <c r="D93" s="3"/>
      <c r="E93" s="3"/>
      <c r="F93" s="20">
        <f t="shared" si="8"/>
        <v>0</v>
      </c>
      <c r="G93" s="3"/>
      <c r="H93" s="3"/>
      <c r="I93" s="3"/>
      <c r="J93" s="20">
        <f t="shared" si="9"/>
        <v>0</v>
      </c>
      <c r="K93" s="3"/>
      <c r="L93" s="3">
        <f t="shared" si="10"/>
        <v>0</v>
      </c>
      <c r="M93" s="3"/>
      <c r="N93" s="20">
        <f t="shared" si="11"/>
        <v>0</v>
      </c>
      <c r="O93" s="12"/>
      <c r="P93" s="3">
        <v>0</v>
      </c>
      <c r="Q93" s="3"/>
      <c r="R93" s="20">
        <f t="shared" si="12"/>
        <v>0</v>
      </c>
      <c r="S93" s="3"/>
      <c r="T93" s="3">
        <v>584.54999999999995</v>
      </c>
      <c r="U93" s="3"/>
      <c r="V93" s="20">
        <f t="shared" si="13"/>
        <v>1.2430253476674168E-4</v>
      </c>
      <c r="W93" s="3"/>
      <c r="X93" s="3">
        <f t="shared" si="14"/>
        <v>-584.54999999999995</v>
      </c>
      <c r="Y93" s="3"/>
      <c r="Z93" s="20">
        <f t="shared" si="15"/>
        <v>-1</v>
      </c>
    </row>
    <row r="94" spans="1:26" s="69" customFormat="1" ht="15" hidden="1" customHeight="1" outlineLevel="1" x14ac:dyDescent="0.3">
      <c r="A94" s="42"/>
      <c r="B94" s="12" t="str">
        <f>CONCATENATE("          ","5027"," - ","PURCHASES @ COST-SCHOOL SUPPLI")</f>
        <v xml:space="preserve">          5027 - PURCHASES @ COST-SCHOOL SUPPLI</v>
      </c>
      <c r="C94" s="12"/>
      <c r="D94" s="3"/>
      <c r="E94" s="3"/>
      <c r="F94" s="20">
        <f t="shared" si="8"/>
        <v>0</v>
      </c>
      <c r="G94" s="3"/>
      <c r="H94" s="3">
        <v>1838.72</v>
      </c>
      <c r="I94" s="3"/>
      <c r="J94" s="20">
        <f t="shared" si="9"/>
        <v>4.1935272503666812E-3</v>
      </c>
      <c r="K94" s="3"/>
      <c r="L94" s="3">
        <f t="shared" si="10"/>
        <v>-1838.72</v>
      </c>
      <c r="M94" s="3"/>
      <c r="N94" s="20">
        <f t="shared" si="11"/>
        <v>-1</v>
      </c>
      <c r="O94" s="12"/>
      <c r="P94" s="3">
        <v>0</v>
      </c>
      <c r="Q94" s="3"/>
      <c r="R94" s="20">
        <f t="shared" si="12"/>
        <v>0</v>
      </c>
      <c r="S94" s="3"/>
      <c r="T94" s="3">
        <v>23734.6</v>
      </c>
      <c r="U94" s="3"/>
      <c r="V94" s="20">
        <f t="shared" si="13"/>
        <v>5.0470805605589038E-3</v>
      </c>
      <c r="W94" s="3"/>
      <c r="X94" s="3">
        <f t="shared" si="14"/>
        <v>-23734.6</v>
      </c>
      <c r="Y94" s="3"/>
      <c r="Z94" s="20">
        <f t="shared" si="15"/>
        <v>-1</v>
      </c>
    </row>
    <row r="95" spans="1:26" s="69" customFormat="1" ht="15" hidden="1" customHeight="1" outlineLevel="1" x14ac:dyDescent="0.3">
      <c r="A95" s="42"/>
      <c r="B95" s="12" t="str">
        <f>CONCATENATE("          ","5028"," - ","PURCHASES @ COST-ART/TECH")</f>
        <v xml:space="preserve">          5028 - PURCHASES @ COST-ART/TECH</v>
      </c>
      <c r="C95" s="12"/>
      <c r="D95" s="3"/>
      <c r="E95" s="3"/>
      <c r="F95" s="20">
        <f t="shared" si="8"/>
        <v>0</v>
      </c>
      <c r="G95" s="3"/>
      <c r="H95" s="3">
        <v>1371.26</v>
      </c>
      <c r="I95" s="3"/>
      <c r="J95" s="20">
        <f t="shared" si="9"/>
        <v>3.1274017671738029E-3</v>
      </c>
      <c r="K95" s="3"/>
      <c r="L95" s="3">
        <f t="shared" si="10"/>
        <v>-1371.26</v>
      </c>
      <c r="M95" s="3"/>
      <c r="N95" s="20">
        <f t="shared" si="11"/>
        <v>-1</v>
      </c>
      <c r="O95" s="12"/>
      <c r="P95" s="3">
        <v>0</v>
      </c>
      <c r="Q95" s="3"/>
      <c r="R95" s="20">
        <f t="shared" si="12"/>
        <v>0</v>
      </c>
      <c r="S95" s="3"/>
      <c r="T95" s="3">
        <v>47006.62</v>
      </c>
      <c r="U95" s="3"/>
      <c r="V95" s="20">
        <f t="shared" si="13"/>
        <v>9.9957950847951692E-3</v>
      </c>
      <c r="W95" s="3"/>
      <c r="X95" s="3">
        <f t="shared" si="14"/>
        <v>-47006.62</v>
      </c>
      <c r="Y95" s="3"/>
      <c r="Z95" s="20">
        <f t="shared" si="15"/>
        <v>-1</v>
      </c>
    </row>
    <row r="96" spans="1:26" s="69" customFormat="1" ht="15" hidden="1" customHeight="1" outlineLevel="1" x14ac:dyDescent="0.3">
      <c r="A96" s="42"/>
      <c r="B96" s="12" t="str">
        <f>CONCATENATE("          ","5031"," - ","PURCHASES @ COST-FOOD")</f>
        <v xml:space="preserve">          5031 - PURCHASES @ COST-FOOD</v>
      </c>
      <c r="C96" s="12"/>
      <c r="D96" s="3"/>
      <c r="E96" s="3"/>
      <c r="F96" s="20">
        <f t="shared" si="8"/>
        <v>0</v>
      </c>
      <c r="G96" s="3"/>
      <c r="H96" s="3"/>
      <c r="I96" s="3"/>
      <c r="J96" s="20">
        <f t="shared" si="9"/>
        <v>0</v>
      </c>
      <c r="K96" s="3"/>
      <c r="L96" s="3">
        <f t="shared" si="10"/>
        <v>0</v>
      </c>
      <c r="M96" s="3"/>
      <c r="N96" s="20">
        <f t="shared" si="11"/>
        <v>0</v>
      </c>
      <c r="O96" s="12"/>
      <c r="P96" s="3">
        <v>0</v>
      </c>
      <c r="Q96" s="3"/>
      <c r="R96" s="20">
        <f t="shared" si="12"/>
        <v>0</v>
      </c>
      <c r="S96" s="3"/>
      <c r="T96" s="3">
        <v>7785.72</v>
      </c>
      <c r="U96" s="3"/>
      <c r="V96" s="20">
        <f t="shared" si="13"/>
        <v>1.6556064168747177E-3</v>
      </c>
      <c r="W96" s="3"/>
      <c r="X96" s="3">
        <f t="shared" si="14"/>
        <v>-7785.72</v>
      </c>
      <c r="Y96" s="3"/>
      <c r="Z96" s="20">
        <f t="shared" si="15"/>
        <v>-1</v>
      </c>
    </row>
    <row r="97" spans="1:26" s="69" customFormat="1" ht="15" hidden="1" customHeight="1" outlineLevel="1" x14ac:dyDescent="0.3">
      <c r="A97" s="42"/>
      <c r="B97" s="12" t="str">
        <f>CONCATENATE("          ","5040"," - ","PURCHASES @ COST-LOGO CLOTHING")</f>
        <v xml:space="preserve">          5040 - PURCHASES @ COST-LOGO CLOTHING</v>
      </c>
      <c r="C97" s="12"/>
      <c r="D97" s="3"/>
      <c r="E97" s="3"/>
      <c r="F97" s="20">
        <f t="shared" si="8"/>
        <v>0</v>
      </c>
      <c r="G97" s="3"/>
      <c r="H97" s="3">
        <v>39218.65</v>
      </c>
      <c r="I97" s="3"/>
      <c r="J97" s="20">
        <f t="shared" si="9"/>
        <v>8.9445090877128236E-2</v>
      </c>
      <c r="K97" s="3"/>
      <c r="L97" s="3">
        <f t="shared" si="10"/>
        <v>-39218.65</v>
      </c>
      <c r="M97" s="3"/>
      <c r="N97" s="20">
        <f t="shared" si="11"/>
        <v>-1</v>
      </c>
      <c r="O97" s="12"/>
      <c r="P97" s="3">
        <v>0</v>
      </c>
      <c r="Q97" s="3"/>
      <c r="R97" s="20">
        <f t="shared" si="12"/>
        <v>0</v>
      </c>
      <c r="S97" s="3"/>
      <c r="T97" s="3">
        <v>279090.25</v>
      </c>
      <c r="U97" s="3"/>
      <c r="V97" s="20">
        <f t="shared" si="13"/>
        <v>5.9347575919397197E-2</v>
      </c>
      <c r="W97" s="3"/>
      <c r="X97" s="3">
        <f t="shared" si="14"/>
        <v>-279090.25</v>
      </c>
      <c r="Y97" s="3"/>
      <c r="Z97" s="20">
        <f t="shared" si="15"/>
        <v>-1</v>
      </c>
    </row>
    <row r="98" spans="1:26" s="69" customFormat="1" ht="15" hidden="1" customHeight="1" outlineLevel="1" x14ac:dyDescent="0.3">
      <c r="A98" s="42"/>
      <c r="B98" s="12" t="str">
        <f>CONCATENATE("          ","5041"," - ","PURCHASES @ COST-LOGO GIFTS")</f>
        <v xml:space="preserve">          5041 - PURCHASES @ COST-LOGO GIFTS</v>
      </c>
      <c r="C98" s="12"/>
      <c r="D98" s="3"/>
      <c r="E98" s="3"/>
      <c r="F98" s="20">
        <f t="shared" si="8"/>
        <v>0</v>
      </c>
      <c r="G98" s="3"/>
      <c r="H98" s="3">
        <v>15798.51</v>
      </c>
      <c r="I98" s="3"/>
      <c r="J98" s="20">
        <f t="shared" si="9"/>
        <v>3.6031305582247715E-2</v>
      </c>
      <c r="K98" s="3"/>
      <c r="L98" s="3">
        <f t="shared" si="10"/>
        <v>-15798.51</v>
      </c>
      <c r="M98" s="3"/>
      <c r="N98" s="20">
        <f t="shared" si="11"/>
        <v>-1</v>
      </c>
      <c r="O98" s="12"/>
      <c r="P98" s="3">
        <v>0</v>
      </c>
      <c r="Q98" s="3"/>
      <c r="R98" s="20">
        <f t="shared" si="12"/>
        <v>0</v>
      </c>
      <c r="S98" s="3"/>
      <c r="T98" s="3">
        <v>84261.95</v>
      </c>
      <c r="U98" s="3"/>
      <c r="V98" s="20">
        <f t="shared" si="13"/>
        <v>1.7918012093727568E-2</v>
      </c>
      <c r="W98" s="3"/>
      <c r="X98" s="3">
        <f t="shared" si="14"/>
        <v>-84261.95</v>
      </c>
      <c r="Y98" s="3"/>
      <c r="Z98" s="20">
        <f t="shared" si="15"/>
        <v>-1</v>
      </c>
    </row>
    <row r="99" spans="1:26" s="69" customFormat="1" ht="15" hidden="1" customHeight="1" outlineLevel="1" x14ac:dyDescent="0.3">
      <c r="A99" s="42"/>
      <c r="B99" s="12" t="str">
        <f>CONCATENATE("          ","5042"," - ","PURCHASES @ COST-EVERYDAY GIFT")</f>
        <v xml:space="preserve">          5042 - PURCHASES @ COST-EVERYDAY GIFT</v>
      </c>
      <c r="C99" s="12"/>
      <c r="D99" s="3"/>
      <c r="E99" s="3"/>
      <c r="F99" s="20">
        <f t="shared" si="8"/>
        <v>0</v>
      </c>
      <c r="G99" s="3"/>
      <c r="H99" s="3"/>
      <c r="I99" s="3"/>
      <c r="J99" s="20">
        <f t="shared" si="9"/>
        <v>0</v>
      </c>
      <c r="K99" s="3"/>
      <c r="L99" s="3">
        <f t="shared" si="10"/>
        <v>0</v>
      </c>
      <c r="M99" s="3"/>
      <c r="N99" s="20">
        <f t="shared" si="11"/>
        <v>0</v>
      </c>
      <c r="O99" s="12"/>
      <c r="P99" s="3">
        <v>0</v>
      </c>
      <c r="Q99" s="3"/>
      <c r="R99" s="20">
        <f t="shared" si="12"/>
        <v>0</v>
      </c>
      <c r="S99" s="3"/>
      <c r="T99" s="3">
        <v>18748.18</v>
      </c>
      <c r="U99" s="3"/>
      <c r="V99" s="20">
        <f t="shared" si="13"/>
        <v>3.9867356021950759E-3</v>
      </c>
      <c r="W99" s="3"/>
      <c r="X99" s="3">
        <f t="shared" si="14"/>
        <v>-18748.18</v>
      </c>
      <c r="Y99" s="3"/>
      <c r="Z99" s="20">
        <f t="shared" si="15"/>
        <v>-1</v>
      </c>
    </row>
    <row r="100" spans="1:26" s="69" customFormat="1" ht="15" hidden="1" customHeight="1" outlineLevel="1" x14ac:dyDescent="0.3">
      <c r="A100" s="42"/>
      <c r="B100" s="12" t="str">
        <f>CONCATENATE("          ","5043"," - ","PURCHASES @ COST-CARDS")</f>
        <v xml:space="preserve">          5043 - PURCHASES @ COST-CARDS</v>
      </c>
      <c r="C100" s="12"/>
      <c r="D100" s="3"/>
      <c r="E100" s="3"/>
      <c r="F100" s="20">
        <f t="shared" si="8"/>
        <v>0</v>
      </c>
      <c r="G100" s="3"/>
      <c r="H100" s="3">
        <v>41</v>
      </c>
      <c r="I100" s="3"/>
      <c r="J100" s="20">
        <f t="shared" si="9"/>
        <v>9.3507775661891919E-5</v>
      </c>
      <c r="K100" s="3"/>
      <c r="L100" s="3">
        <f t="shared" si="10"/>
        <v>-41</v>
      </c>
      <c r="M100" s="3"/>
      <c r="N100" s="20">
        <f t="shared" si="11"/>
        <v>-1</v>
      </c>
      <c r="O100" s="12"/>
      <c r="P100" s="3">
        <v>0</v>
      </c>
      <c r="Q100" s="3"/>
      <c r="R100" s="20">
        <f t="shared" si="12"/>
        <v>0</v>
      </c>
      <c r="S100" s="3"/>
      <c r="T100" s="3">
        <v>55405.33</v>
      </c>
      <c r="U100" s="3"/>
      <c r="V100" s="20">
        <f t="shared" si="13"/>
        <v>1.1781751704024972E-2</v>
      </c>
      <c r="W100" s="3"/>
      <c r="X100" s="3">
        <f t="shared" si="14"/>
        <v>-55405.33</v>
      </c>
      <c r="Y100" s="3"/>
      <c r="Z100" s="20">
        <f t="shared" si="15"/>
        <v>-1</v>
      </c>
    </row>
    <row r="101" spans="1:26" s="69" customFormat="1" ht="15" hidden="1" customHeight="1" outlineLevel="1" x14ac:dyDescent="0.3">
      <c r="A101" s="42"/>
      <c r="B101" s="12" t="str">
        <f>CONCATENATE("          ","5044"," - ","PURCHASES @ COST-ACCESSORIES")</f>
        <v xml:space="preserve">          5044 - PURCHASES @ COST-ACCESSORIES</v>
      </c>
      <c r="C101" s="12"/>
      <c r="D101" s="3"/>
      <c r="E101" s="3"/>
      <c r="F101" s="20">
        <f t="shared" si="8"/>
        <v>0</v>
      </c>
      <c r="G101" s="3"/>
      <c r="H101" s="3">
        <v>1490.88</v>
      </c>
      <c r="I101" s="3"/>
      <c r="J101" s="20">
        <f t="shared" si="9"/>
        <v>3.4002164043610106E-3</v>
      </c>
      <c r="K101" s="3"/>
      <c r="L101" s="3">
        <f t="shared" si="10"/>
        <v>-1490.88</v>
      </c>
      <c r="M101" s="3"/>
      <c r="N101" s="20">
        <f t="shared" si="11"/>
        <v>-1</v>
      </c>
      <c r="O101" s="12"/>
      <c r="P101" s="3">
        <v>0</v>
      </c>
      <c r="Q101" s="3"/>
      <c r="R101" s="20">
        <f t="shared" si="12"/>
        <v>0</v>
      </c>
      <c r="S101" s="3"/>
      <c r="T101" s="3">
        <v>2555.71</v>
      </c>
      <c r="U101" s="3"/>
      <c r="V101" s="20">
        <f t="shared" si="13"/>
        <v>5.4346288791157205E-4</v>
      </c>
      <c r="W101" s="3"/>
      <c r="X101" s="3">
        <f t="shared" si="14"/>
        <v>-2555.71</v>
      </c>
      <c r="Y101" s="3"/>
      <c r="Z101" s="20">
        <f t="shared" si="15"/>
        <v>-1</v>
      </c>
    </row>
    <row r="102" spans="1:26" s="69" customFormat="1" ht="15" hidden="1" customHeight="1" outlineLevel="1" x14ac:dyDescent="0.3">
      <c r="A102" s="42"/>
      <c r="B102" s="12" t="str">
        <f>CONCATENATE("          ","5045"," - ","PURCHASES @ COST-SPECIAL ORDER")</f>
        <v xml:space="preserve">          5045 - PURCHASES @ COST-SPECIAL ORDER</v>
      </c>
      <c r="C102" s="12"/>
      <c r="D102" s="3"/>
      <c r="E102" s="3"/>
      <c r="F102" s="20">
        <f t="shared" si="8"/>
        <v>0</v>
      </c>
      <c r="G102" s="3"/>
      <c r="H102" s="3">
        <v>5771.38</v>
      </c>
      <c r="I102" s="3"/>
      <c r="J102" s="20">
        <f t="shared" si="9"/>
        <v>1.3162656251208044E-2</v>
      </c>
      <c r="K102" s="3"/>
      <c r="L102" s="3">
        <f t="shared" si="10"/>
        <v>-5771.38</v>
      </c>
      <c r="M102" s="3"/>
      <c r="N102" s="20">
        <f t="shared" si="11"/>
        <v>-1</v>
      </c>
      <c r="O102" s="12"/>
      <c r="P102" s="3">
        <v>0</v>
      </c>
      <c r="Q102" s="3"/>
      <c r="R102" s="20">
        <f t="shared" si="12"/>
        <v>0</v>
      </c>
      <c r="S102" s="3"/>
      <c r="T102" s="3">
        <v>114998.07</v>
      </c>
      <c r="U102" s="3"/>
      <c r="V102" s="20">
        <f t="shared" si="13"/>
        <v>2.4453941654748432E-2</v>
      </c>
      <c r="W102" s="3"/>
      <c r="X102" s="3">
        <f t="shared" si="14"/>
        <v>-114998.07</v>
      </c>
      <c r="Y102" s="3"/>
      <c r="Z102" s="20">
        <f t="shared" si="15"/>
        <v>-1</v>
      </c>
    </row>
    <row r="103" spans="1:26" s="69" customFormat="1" ht="15" hidden="1" customHeight="1" outlineLevel="1" x14ac:dyDescent="0.3">
      <c r="A103" s="42"/>
      <c r="B103" s="12" t="str">
        <f>CONCATENATE("          ","5086"," - ","PURCHASES @ COST-COMPUTER SUPP")</f>
        <v xml:space="preserve">          5086 - PURCHASES @ COST-COMPUTER SUPP</v>
      </c>
      <c r="C103" s="12"/>
      <c r="D103" s="3"/>
      <c r="E103" s="3"/>
      <c r="F103" s="20">
        <f t="shared" si="8"/>
        <v>0</v>
      </c>
      <c r="G103" s="3"/>
      <c r="H103" s="3"/>
      <c r="I103" s="3"/>
      <c r="J103" s="20">
        <f t="shared" si="9"/>
        <v>0</v>
      </c>
      <c r="K103" s="3"/>
      <c r="L103" s="3">
        <f t="shared" si="10"/>
        <v>0</v>
      </c>
      <c r="M103" s="3"/>
      <c r="N103" s="20">
        <f t="shared" si="11"/>
        <v>0</v>
      </c>
      <c r="O103" s="12"/>
      <c r="P103" s="3"/>
      <c r="Q103" s="3"/>
      <c r="R103" s="20">
        <f t="shared" si="12"/>
        <v>0</v>
      </c>
      <c r="S103" s="3"/>
      <c r="T103" s="3">
        <v>13.21</v>
      </c>
      <c r="U103" s="3"/>
      <c r="V103" s="20">
        <f t="shared" si="13"/>
        <v>2.8090607891004326E-6</v>
      </c>
      <c r="W103" s="3"/>
      <c r="X103" s="3">
        <f t="shared" si="14"/>
        <v>-13.21</v>
      </c>
      <c r="Y103" s="3"/>
      <c r="Z103" s="20">
        <f t="shared" si="15"/>
        <v>-1</v>
      </c>
    </row>
    <row r="104" spans="1:26" s="69" customFormat="1" ht="15" hidden="1" customHeight="1" outlineLevel="1" x14ac:dyDescent="0.3">
      <c r="A104" s="42"/>
      <c r="B104" s="12" t="str">
        <f>CONCATENATE("          ","5092"," - ","PURCHASES @ COST-GRAD MERCH")</f>
        <v xml:space="preserve">          5092 - PURCHASES @ COST-GRAD MERCH</v>
      </c>
      <c r="C104" s="12"/>
      <c r="D104" s="3"/>
      <c r="E104" s="3"/>
      <c r="F104" s="20">
        <f t="shared" si="8"/>
        <v>0</v>
      </c>
      <c r="G104" s="3"/>
      <c r="H104" s="3"/>
      <c r="I104" s="3"/>
      <c r="J104" s="20">
        <f t="shared" si="9"/>
        <v>0</v>
      </c>
      <c r="K104" s="3"/>
      <c r="L104" s="3">
        <f t="shared" si="10"/>
        <v>0</v>
      </c>
      <c r="M104" s="3"/>
      <c r="N104" s="20">
        <f t="shared" si="11"/>
        <v>0</v>
      </c>
      <c r="O104" s="12"/>
      <c r="P104" s="3"/>
      <c r="Q104" s="3"/>
      <c r="R104" s="20">
        <f t="shared" si="12"/>
        <v>0</v>
      </c>
      <c r="S104" s="3"/>
      <c r="T104" s="3">
        <v>0</v>
      </c>
      <c r="U104" s="3"/>
      <c r="V104" s="20">
        <f t="shared" si="13"/>
        <v>0</v>
      </c>
      <c r="W104" s="3"/>
      <c r="X104" s="3">
        <f t="shared" si="14"/>
        <v>0</v>
      </c>
      <c r="Y104" s="3"/>
      <c r="Z104" s="20">
        <f t="shared" si="15"/>
        <v>0</v>
      </c>
    </row>
    <row r="105" spans="1:26" s="69" customFormat="1" ht="15" hidden="1" customHeight="1" outlineLevel="1" x14ac:dyDescent="0.3">
      <c r="A105" s="42"/>
      <c r="B105" s="12" t="str">
        <f>CONCATENATE("          ","5200"," - ","PURCHASES OFFSET")</f>
        <v xml:space="preserve">          5200 - PURCHASES OFFSET</v>
      </c>
      <c r="C105" s="12"/>
      <c r="D105" s="3">
        <v>-214885.79</v>
      </c>
      <c r="E105" s="3"/>
      <c r="F105" s="20">
        <f t="shared" si="8"/>
        <v>-0.24602508964681208</v>
      </c>
      <c r="G105" s="3"/>
      <c r="H105" s="3">
        <v>78563.789999999994</v>
      </c>
      <c r="I105" s="3"/>
      <c r="J105" s="20">
        <f t="shared" si="9"/>
        <v>0.17917866464556068</v>
      </c>
      <c r="K105" s="3"/>
      <c r="L105" s="3">
        <f t="shared" si="10"/>
        <v>-293449.58</v>
      </c>
      <c r="M105" s="3"/>
      <c r="N105" s="20">
        <f t="shared" si="11"/>
        <v>-3.7351759633795676</v>
      </c>
      <c r="O105" s="12"/>
      <c r="P105" s="3">
        <v>-3568024.44</v>
      </c>
      <c r="Q105" s="3"/>
      <c r="R105" s="20">
        <f t="shared" si="12"/>
        <v>-0.53560560372683841</v>
      </c>
      <c r="S105" s="3"/>
      <c r="T105" s="3">
        <v>-1685385.13</v>
      </c>
      <c r="U105" s="3"/>
      <c r="V105" s="20">
        <f t="shared" si="13"/>
        <v>-0.35839131591339402</v>
      </c>
      <c r="W105" s="3"/>
      <c r="X105" s="3">
        <f t="shared" si="14"/>
        <v>-1882639.31</v>
      </c>
      <c r="Y105" s="3"/>
      <c r="Z105" s="20">
        <f t="shared" si="15"/>
        <v>1.1170380445922174</v>
      </c>
    </row>
    <row r="106" spans="1:26" s="69" customFormat="1" ht="15" hidden="1" customHeight="1" outlineLevel="1" x14ac:dyDescent="0.3">
      <c r="A106" s="42"/>
      <c r="B106" s="12" t="str">
        <f>CONCATENATE("          ","5300"," - ","COG$ OFFSET")</f>
        <v xml:space="preserve">          5300 - COG$ OFFSET</v>
      </c>
      <c r="C106" s="12"/>
      <c r="D106" s="3">
        <v>402607.93</v>
      </c>
      <c r="E106" s="3"/>
      <c r="F106" s="20">
        <f t="shared" si="8"/>
        <v>0.4609502195132002</v>
      </c>
      <c r="G106" s="3"/>
      <c r="H106" s="3">
        <v>222888</v>
      </c>
      <c r="I106" s="3"/>
      <c r="J106" s="20">
        <f t="shared" si="9"/>
        <v>0.50833563662750647</v>
      </c>
      <c r="K106" s="3"/>
      <c r="L106" s="3">
        <f t="shared" si="10"/>
        <v>179719.93</v>
      </c>
      <c r="M106" s="3"/>
      <c r="N106" s="20">
        <f t="shared" si="11"/>
        <v>0.80632393848031292</v>
      </c>
      <c r="O106" s="12"/>
      <c r="P106" s="3">
        <v>3400022.02</v>
      </c>
      <c r="Q106" s="3"/>
      <c r="R106" s="20">
        <f t="shared" si="12"/>
        <v>0.5103863152648821</v>
      </c>
      <c r="S106" s="3"/>
      <c r="T106" s="3">
        <v>2400396</v>
      </c>
      <c r="U106" s="3"/>
      <c r="V106" s="20">
        <f t="shared" si="13"/>
        <v>0.51043590324856336</v>
      </c>
      <c r="W106" s="3"/>
      <c r="X106" s="3">
        <f t="shared" si="14"/>
        <v>999626.02</v>
      </c>
      <c r="Y106" s="3"/>
      <c r="Z106" s="20">
        <f t="shared" si="15"/>
        <v>0.41644212871542863</v>
      </c>
    </row>
    <row r="107" spans="1:26" s="69" customFormat="1" ht="15" hidden="1" customHeight="1" outlineLevel="1" x14ac:dyDescent="0.3">
      <c r="A107" s="42"/>
      <c r="B107" s="12" t="str">
        <f>CONCATENATE("          ","5500"," - ","FREIGHT-IN")</f>
        <v xml:space="preserve">          5500 - FREIGHT-IN</v>
      </c>
      <c r="C107" s="12"/>
      <c r="D107" s="3">
        <v>35157.78</v>
      </c>
      <c r="E107" s="3"/>
      <c r="F107" s="20">
        <f t="shared" si="8"/>
        <v>4.0252526592302336E-2</v>
      </c>
      <c r="G107" s="3"/>
      <c r="H107" s="3"/>
      <c r="I107" s="3"/>
      <c r="J107" s="20">
        <f t="shared" si="9"/>
        <v>0</v>
      </c>
      <c r="K107" s="3"/>
      <c r="L107" s="3">
        <f t="shared" si="10"/>
        <v>35157.78</v>
      </c>
      <c r="M107" s="3"/>
      <c r="N107" s="20">
        <f t="shared" si="11"/>
        <v>0</v>
      </c>
      <c r="O107" s="12"/>
      <c r="P107" s="3">
        <v>183274.19</v>
      </c>
      <c r="Q107" s="3"/>
      <c r="R107" s="20">
        <f t="shared" si="12"/>
        <v>2.7511774325878015E-2</v>
      </c>
      <c r="S107" s="3"/>
      <c r="T107" s="3">
        <v>0</v>
      </c>
      <c r="U107" s="3"/>
      <c r="V107" s="20">
        <f t="shared" si="13"/>
        <v>0</v>
      </c>
      <c r="W107" s="3"/>
      <c r="X107" s="3">
        <f t="shared" si="14"/>
        <v>183274.19</v>
      </c>
      <c r="Y107" s="3"/>
      <c r="Z107" s="20">
        <f t="shared" si="15"/>
        <v>0</v>
      </c>
    </row>
    <row r="108" spans="1:26" s="69" customFormat="1" ht="15" hidden="1" customHeight="1" outlineLevel="1" x14ac:dyDescent="0.3">
      <c r="A108" s="42"/>
      <c r="B108" s="12" t="str">
        <f>CONCATENATE("          ","5501"," - ","FREIGHT-IN-NEW TEXT")</f>
        <v xml:space="preserve">          5501 - FREIGHT-IN-NEW TEXT</v>
      </c>
      <c r="C108" s="12"/>
      <c r="D108" s="3"/>
      <c r="E108" s="3"/>
      <c r="F108" s="20">
        <f t="shared" si="8"/>
        <v>0</v>
      </c>
      <c r="G108" s="3"/>
      <c r="H108" s="3">
        <v>271.27</v>
      </c>
      <c r="I108" s="3"/>
      <c r="J108" s="20">
        <f t="shared" si="9"/>
        <v>6.1867937326344925E-4</v>
      </c>
      <c r="K108" s="3"/>
      <c r="L108" s="3">
        <f t="shared" si="10"/>
        <v>-271.27</v>
      </c>
      <c r="M108" s="3"/>
      <c r="N108" s="20">
        <f t="shared" si="11"/>
        <v>-1</v>
      </c>
      <c r="O108" s="12"/>
      <c r="P108" s="3">
        <v>0</v>
      </c>
      <c r="Q108" s="3"/>
      <c r="R108" s="20">
        <f t="shared" si="12"/>
        <v>0</v>
      </c>
      <c r="S108" s="3"/>
      <c r="T108" s="3">
        <v>50313.73</v>
      </c>
      <c r="U108" s="3"/>
      <c r="V108" s="20">
        <f t="shared" si="13"/>
        <v>1.0699040582618176E-2</v>
      </c>
      <c r="W108" s="3"/>
      <c r="X108" s="3">
        <f t="shared" si="14"/>
        <v>-50313.73</v>
      </c>
      <c r="Y108" s="3"/>
      <c r="Z108" s="20">
        <f t="shared" si="15"/>
        <v>-1</v>
      </c>
    </row>
    <row r="109" spans="1:26" s="69" customFormat="1" ht="15" hidden="1" customHeight="1" outlineLevel="1" x14ac:dyDescent="0.3">
      <c r="A109" s="42"/>
      <c r="B109" s="12" t="str">
        <f>CONCATENATE("          ","5502"," - ","FREIGHT-IN-USED TEXT")</f>
        <v xml:space="preserve">          5502 - FREIGHT-IN-USED TEXT</v>
      </c>
      <c r="C109" s="12"/>
      <c r="D109" s="3"/>
      <c r="E109" s="3"/>
      <c r="F109" s="20">
        <f t="shared" si="8"/>
        <v>0</v>
      </c>
      <c r="G109" s="3"/>
      <c r="H109" s="3">
        <v>58.77</v>
      </c>
      <c r="I109" s="3"/>
      <c r="J109" s="20">
        <f t="shared" si="9"/>
        <v>1.3403541404022898E-4</v>
      </c>
      <c r="K109" s="3"/>
      <c r="L109" s="3">
        <f t="shared" si="10"/>
        <v>-58.77</v>
      </c>
      <c r="M109" s="3"/>
      <c r="N109" s="20">
        <f t="shared" si="11"/>
        <v>-1</v>
      </c>
      <c r="O109" s="12"/>
      <c r="P109" s="3">
        <v>0</v>
      </c>
      <c r="Q109" s="3"/>
      <c r="R109" s="20">
        <f t="shared" si="12"/>
        <v>0</v>
      </c>
      <c r="S109" s="3"/>
      <c r="T109" s="3">
        <v>17858.900000000001</v>
      </c>
      <c r="U109" s="3"/>
      <c r="V109" s="20">
        <f t="shared" si="13"/>
        <v>3.797633287393317E-3</v>
      </c>
      <c r="W109" s="3"/>
      <c r="X109" s="3">
        <f t="shared" si="14"/>
        <v>-17858.900000000001</v>
      </c>
      <c r="Y109" s="3"/>
      <c r="Z109" s="20">
        <f t="shared" si="15"/>
        <v>-1</v>
      </c>
    </row>
    <row r="110" spans="1:26" s="69" customFormat="1" ht="15" hidden="1" customHeight="1" outlineLevel="1" x14ac:dyDescent="0.3">
      <c r="A110" s="42"/>
      <c r="B110" s="12" t="str">
        <f>CONCATENATE("          ","5504"," - ","FREIGHT-IN-DIGITAL TEXT")</f>
        <v xml:space="preserve">          5504 - FREIGHT-IN-DIGITAL TEXT</v>
      </c>
      <c r="C110" s="12"/>
      <c r="D110" s="3"/>
      <c r="E110" s="3"/>
      <c r="F110" s="20">
        <f t="shared" si="8"/>
        <v>0</v>
      </c>
      <c r="G110" s="3"/>
      <c r="H110" s="3"/>
      <c r="I110" s="3"/>
      <c r="J110" s="20">
        <f t="shared" si="9"/>
        <v>0</v>
      </c>
      <c r="K110" s="3"/>
      <c r="L110" s="3">
        <f t="shared" si="10"/>
        <v>0</v>
      </c>
      <c r="M110" s="3"/>
      <c r="N110" s="20">
        <f t="shared" si="11"/>
        <v>0</v>
      </c>
      <c r="O110" s="12"/>
      <c r="P110" s="3"/>
      <c r="Q110" s="3"/>
      <c r="R110" s="20">
        <f t="shared" si="12"/>
        <v>0</v>
      </c>
      <c r="S110" s="3"/>
      <c r="T110" s="3">
        <v>28.92</v>
      </c>
      <c r="U110" s="3"/>
      <c r="V110" s="20">
        <f t="shared" si="13"/>
        <v>6.1497379273871701E-6</v>
      </c>
      <c r="W110" s="3"/>
      <c r="X110" s="3">
        <f t="shared" si="14"/>
        <v>-28.92</v>
      </c>
      <c r="Y110" s="3"/>
      <c r="Z110" s="20">
        <f t="shared" si="15"/>
        <v>-1</v>
      </c>
    </row>
    <row r="111" spans="1:26" s="69" customFormat="1" ht="15" hidden="1" customHeight="1" outlineLevel="1" x14ac:dyDescent="0.3">
      <c r="A111" s="42"/>
      <c r="B111" s="12" t="str">
        <f>CONCATENATE("          ","5513"," - ","FREIGHT-IN-TRADE BOOKS")</f>
        <v xml:space="preserve">          5513 - FREIGHT-IN-TRADE BOOKS</v>
      </c>
      <c r="C111" s="12"/>
      <c r="D111" s="3"/>
      <c r="E111" s="3"/>
      <c r="F111" s="20">
        <f t="shared" si="8"/>
        <v>0</v>
      </c>
      <c r="G111" s="3"/>
      <c r="H111" s="3"/>
      <c r="I111" s="3"/>
      <c r="J111" s="20">
        <f t="shared" si="9"/>
        <v>0</v>
      </c>
      <c r="K111" s="3"/>
      <c r="L111" s="3">
        <f t="shared" si="10"/>
        <v>0</v>
      </c>
      <c r="M111" s="3"/>
      <c r="N111" s="20">
        <f t="shared" si="11"/>
        <v>0</v>
      </c>
      <c r="O111" s="12"/>
      <c r="P111" s="3"/>
      <c r="Q111" s="3"/>
      <c r="R111" s="20">
        <f t="shared" si="12"/>
        <v>0</v>
      </c>
      <c r="S111" s="3"/>
      <c r="T111" s="3">
        <v>85.28</v>
      </c>
      <c r="U111" s="3"/>
      <c r="V111" s="20">
        <f t="shared" si="13"/>
        <v>1.8134496903443217E-5</v>
      </c>
      <c r="W111" s="3"/>
      <c r="X111" s="3">
        <f t="shared" si="14"/>
        <v>-85.28</v>
      </c>
      <c r="Y111" s="3"/>
      <c r="Z111" s="20">
        <f t="shared" si="15"/>
        <v>-1</v>
      </c>
    </row>
    <row r="112" spans="1:26" s="69" customFormat="1" ht="15" hidden="1" customHeight="1" outlineLevel="1" x14ac:dyDescent="0.3">
      <c r="A112" s="42"/>
      <c r="B112" s="12" t="str">
        <f>CONCATENATE("          ","5518"," - ","FREIGHT-IN-STUDY GUIDES")</f>
        <v xml:space="preserve">          5518 - FREIGHT-IN-STUDY GUIDES</v>
      </c>
      <c r="C112" s="12"/>
      <c r="D112" s="3"/>
      <c r="E112" s="3"/>
      <c r="F112" s="20">
        <f t="shared" si="8"/>
        <v>0</v>
      </c>
      <c r="G112" s="3"/>
      <c r="H112" s="3"/>
      <c r="I112" s="3"/>
      <c r="J112" s="20">
        <f t="shared" si="9"/>
        <v>0</v>
      </c>
      <c r="K112" s="3"/>
      <c r="L112" s="3">
        <f t="shared" si="10"/>
        <v>0</v>
      </c>
      <c r="M112" s="3"/>
      <c r="N112" s="20">
        <f t="shared" si="11"/>
        <v>0</v>
      </c>
      <c r="O112" s="12"/>
      <c r="P112" s="3">
        <v>0</v>
      </c>
      <c r="Q112" s="3"/>
      <c r="R112" s="20">
        <f t="shared" si="12"/>
        <v>0</v>
      </c>
      <c r="S112" s="3"/>
      <c r="T112" s="3"/>
      <c r="U112" s="3"/>
      <c r="V112" s="20">
        <f t="shared" si="13"/>
        <v>0</v>
      </c>
      <c r="W112" s="3"/>
      <c r="X112" s="3">
        <f t="shared" si="14"/>
        <v>0</v>
      </c>
      <c r="Y112" s="3"/>
      <c r="Z112" s="20">
        <f t="shared" si="15"/>
        <v>0</v>
      </c>
    </row>
    <row r="113" spans="1:26" s="69" customFormat="1" ht="15" hidden="1" customHeight="1" outlineLevel="1" x14ac:dyDescent="0.3">
      <c r="A113" s="42"/>
      <c r="B113" s="12" t="str">
        <f>CONCATENATE("          ","5525"," - ","FREIGHT-IN-TEST FORMS")</f>
        <v xml:space="preserve">          5525 - FREIGHT-IN-TEST FORMS</v>
      </c>
      <c r="C113" s="12"/>
      <c r="D113" s="3"/>
      <c r="E113" s="3"/>
      <c r="F113" s="20">
        <f t="shared" si="8"/>
        <v>0</v>
      </c>
      <c r="G113" s="3"/>
      <c r="H113" s="3"/>
      <c r="I113" s="3"/>
      <c r="J113" s="20">
        <f t="shared" si="9"/>
        <v>0</v>
      </c>
      <c r="K113" s="3"/>
      <c r="L113" s="3">
        <f t="shared" si="10"/>
        <v>0</v>
      </c>
      <c r="M113" s="3"/>
      <c r="N113" s="20">
        <f t="shared" si="11"/>
        <v>0</v>
      </c>
      <c r="O113" s="12"/>
      <c r="P113" s="3"/>
      <c r="Q113" s="3"/>
      <c r="R113" s="20">
        <f t="shared" si="12"/>
        <v>0</v>
      </c>
      <c r="S113" s="3"/>
      <c r="T113" s="3">
        <v>48.14</v>
      </c>
      <c r="U113" s="3"/>
      <c r="V113" s="20">
        <f t="shared" si="13"/>
        <v>1.0236804419931477E-5</v>
      </c>
      <c r="W113" s="3"/>
      <c r="X113" s="3">
        <f t="shared" si="14"/>
        <v>-48.14</v>
      </c>
      <c r="Y113" s="3"/>
      <c r="Z113" s="20">
        <f t="shared" si="15"/>
        <v>-1</v>
      </c>
    </row>
    <row r="114" spans="1:26" s="69" customFormat="1" ht="15" hidden="1" customHeight="1" outlineLevel="1" x14ac:dyDescent="0.3">
      <c r="A114" s="42"/>
      <c r="B114" s="12" t="str">
        <f>CONCATENATE("          ","5526"," - ","FREIGHT-IN-WRITING INSTRUMENTS")</f>
        <v xml:space="preserve">          5526 - FREIGHT-IN-WRITING INSTRUMENTS</v>
      </c>
      <c r="C114" s="12"/>
      <c r="D114" s="3"/>
      <c r="E114" s="3"/>
      <c r="F114" s="20">
        <f t="shared" si="8"/>
        <v>0</v>
      </c>
      <c r="G114" s="3"/>
      <c r="H114" s="3"/>
      <c r="I114" s="3"/>
      <c r="J114" s="20">
        <f t="shared" si="9"/>
        <v>0</v>
      </c>
      <c r="K114" s="3"/>
      <c r="L114" s="3">
        <f t="shared" si="10"/>
        <v>0</v>
      </c>
      <c r="M114" s="3"/>
      <c r="N114" s="20">
        <f t="shared" si="11"/>
        <v>0</v>
      </c>
      <c r="O114" s="12"/>
      <c r="P114" s="3"/>
      <c r="Q114" s="3"/>
      <c r="R114" s="20">
        <f t="shared" si="12"/>
        <v>0</v>
      </c>
      <c r="S114" s="3"/>
      <c r="T114" s="3">
        <v>0</v>
      </c>
      <c r="U114" s="3"/>
      <c r="V114" s="20">
        <f t="shared" si="13"/>
        <v>0</v>
      </c>
      <c r="W114" s="3"/>
      <c r="X114" s="3">
        <f t="shared" si="14"/>
        <v>0</v>
      </c>
      <c r="Y114" s="3"/>
      <c r="Z114" s="20">
        <f t="shared" si="15"/>
        <v>0</v>
      </c>
    </row>
    <row r="115" spans="1:26" s="69" customFormat="1" ht="15" hidden="1" customHeight="1" outlineLevel="1" x14ac:dyDescent="0.3">
      <c r="A115" s="42"/>
      <c r="B115" s="12" t="str">
        <f>CONCATENATE("          ","5527"," - ","FREIGHT-IN-SCHOOL SUPPLIES")</f>
        <v xml:space="preserve">          5527 - FREIGHT-IN-SCHOOL SUPPLIES</v>
      </c>
      <c r="C115" s="12"/>
      <c r="D115" s="3"/>
      <c r="E115" s="3"/>
      <c r="F115" s="20">
        <f t="shared" si="8"/>
        <v>0</v>
      </c>
      <c r="G115" s="3"/>
      <c r="H115" s="3"/>
      <c r="I115" s="3"/>
      <c r="J115" s="20">
        <f t="shared" si="9"/>
        <v>0</v>
      </c>
      <c r="K115" s="3"/>
      <c r="L115" s="3">
        <f t="shared" si="10"/>
        <v>0</v>
      </c>
      <c r="M115" s="3"/>
      <c r="N115" s="20">
        <f t="shared" si="11"/>
        <v>0</v>
      </c>
      <c r="O115" s="12"/>
      <c r="P115" s="3">
        <v>0</v>
      </c>
      <c r="Q115" s="3"/>
      <c r="R115" s="20">
        <f t="shared" si="12"/>
        <v>0</v>
      </c>
      <c r="S115" s="3"/>
      <c r="T115" s="3">
        <v>218.62</v>
      </c>
      <c r="U115" s="3"/>
      <c r="V115" s="20">
        <f t="shared" si="13"/>
        <v>4.648878650364395E-5</v>
      </c>
      <c r="W115" s="3"/>
      <c r="X115" s="3">
        <f t="shared" si="14"/>
        <v>-218.62</v>
      </c>
      <c r="Y115" s="3"/>
      <c r="Z115" s="20">
        <f t="shared" si="15"/>
        <v>-1</v>
      </c>
    </row>
    <row r="116" spans="1:26" s="69" customFormat="1" ht="15" hidden="1" customHeight="1" outlineLevel="1" x14ac:dyDescent="0.3">
      <c r="A116" s="42"/>
      <c r="B116" s="12" t="str">
        <f>CONCATENATE("          ","5528"," - ","FREIGHT-IN-ART/TECH")</f>
        <v xml:space="preserve">          5528 - FREIGHT-IN-ART/TECH</v>
      </c>
      <c r="C116" s="12"/>
      <c r="D116" s="3"/>
      <c r="E116" s="3"/>
      <c r="F116" s="20">
        <f t="shared" si="8"/>
        <v>0</v>
      </c>
      <c r="G116" s="3"/>
      <c r="H116" s="3">
        <v>89.22</v>
      </c>
      <c r="I116" s="3"/>
      <c r="J116" s="20">
        <f t="shared" si="9"/>
        <v>2.0348204255009748E-4</v>
      </c>
      <c r="K116" s="3"/>
      <c r="L116" s="3">
        <f t="shared" si="10"/>
        <v>-89.22</v>
      </c>
      <c r="M116" s="3"/>
      <c r="N116" s="20">
        <f t="shared" si="11"/>
        <v>-1</v>
      </c>
      <c r="O116" s="12"/>
      <c r="P116" s="3">
        <v>0</v>
      </c>
      <c r="Q116" s="3"/>
      <c r="R116" s="20">
        <f t="shared" si="12"/>
        <v>0</v>
      </c>
      <c r="S116" s="3"/>
      <c r="T116" s="3">
        <v>544.42999999999995</v>
      </c>
      <c r="U116" s="3"/>
      <c r="V116" s="20">
        <f t="shared" si="13"/>
        <v>1.1577115559499987E-4</v>
      </c>
      <c r="W116" s="3"/>
      <c r="X116" s="3">
        <f t="shared" si="14"/>
        <v>-544.42999999999995</v>
      </c>
      <c r="Y116" s="3"/>
      <c r="Z116" s="20">
        <f t="shared" si="15"/>
        <v>-1</v>
      </c>
    </row>
    <row r="117" spans="1:26" s="69" customFormat="1" ht="15" hidden="1" customHeight="1" outlineLevel="1" x14ac:dyDescent="0.3">
      <c r="A117" s="42"/>
      <c r="B117" s="12" t="str">
        <f>CONCATENATE("          ","5540"," - ","FREIGHT-IN-LOGO CLOTHING")</f>
        <v xml:space="preserve">          5540 - FREIGHT-IN-LOGO CLOTHING</v>
      </c>
      <c r="C117" s="12"/>
      <c r="D117" s="3"/>
      <c r="E117" s="3"/>
      <c r="F117" s="20">
        <f t="shared" si="8"/>
        <v>0</v>
      </c>
      <c r="G117" s="3"/>
      <c r="H117" s="3">
        <v>2107.65</v>
      </c>
      <c r="I117" s="3"/>
      <c r="J117" s="20">
        <f t="shared" si="9"/>
        <v>4.8068698383850368E-3</v>
      </c>
      <c r="K117" s="3"/>
      <c r="L117" s="3">
        <f t="shared" si="10"/>
        <v>-2107.65</v>
      </c>
      <c r="M117" s="3"/>
      <c r="N117" s="20">
        <f t="shared" si="11"/>
        <v>-1</v>
      </c>
      <c r="O117" s="12"/>
      <c r="P117" s="3">
        <v>0</v>
      </c>
      <c r="Q117" s="3"/>
      <c r="R117" s="20">
        <f t="shared" si="12"/>
        <v>0</v>
      </c>
      <c r="S117" s="3"/>
      <c r="T117" s="3">
        <v>9216.02</v>
      </c>
      <c r="U117" s="3"/>
      <c r="V117" s="20">
        <f t="shared" si="13"/>
        <v>1.9597547625711861E-3</v>
      </c>
      <c r="W117" s="3"/>
      <c r="X117" s="3">
        <f t="shared" si="14"/>
        <v>-9216.02</v>
      </c>
      <c r="Y117" s="3"/>
      <c r="Z117" s="20">
        <f t="shared" si="15"/>
        <v>-1</v>
      </c>
    </row>
    <row r="118" spans="1:26" s="69" customFormat="1" ht="15" hidden="1" customHeight="1" outlineLevel="1" x14ac:dyDescent="0.3">
      <c r="A118" s="42"/>
      <c r="B118" s="12" t="str">
        <f>CONCATENATE("          ","5541"," - ","FREIGHT-IN-LOGO GIFTS")</f>
        <v xml:space="preserve">          5541 - FREIGHT-IN-LOGO GIFTS</v>
      </c>
      <c r="C118" s="12"/>
      <c r="D118" s="3"/>
      <c r="E118" s="3"/>
      <c r="F118" s="20">
        <f t="shared" si="8"/>
        <v>0</v>
      </c>
      <c r="G118" s="3"/>
      <c r="H118" s="3">
        <v>2877.99</v>
      </c>
      <c r="I118" s="3"/>
      <c r="J118" s="20">
        <f t="shared" si="9"/>
        <v>6.5637669091992267E-3</v>
      </c>
      <c r="K118" s="3"/>
      <c r="L118" s="3">
        <f t="shared" si="10"/>
        <v>-2877.99</v>
      </c>
      <c r="M118" s="3"/>
      <c r="N118" s="20">
        <f t="shared" si="11"/>
        <v>-1</v>
      </c>
      <c r="O118" s="12"/>
      <c r="P118" s="3">
        <v>0</v>
      </c>
      <c r="Q118" s="3"/>
      <c r="R118" s="20">
        <f t="shared" si="12"/>
        <v>0</v>
      </c>
      <c r="S118" s="3"/>
      <c r="T118" s="3">
        <v>5015.99</v>
      </c>
      <c r="U118" s="3"/>
      <c r="V118" s="20">
        <f t="shared" si="13"/>
        <v>1.0666329165420043E-3</v>
      </c>
      <c r="W118" s="3"/>
      <c r="X118" s="3">
        <f t="shared" si="14"/>
        <v>-5015.99</v>
      </c>
      <c r="Y118" s="3"/>
      <c r="Z118" s="20">
        <f t="shared" si="15"/>
        <v>-1</v>
      </c>
    </row>
    <row r="119" spans="1:26" s="69" customFormat="1" ht="15" hidden="1" customHeight="1" outlineLevel="1" x14ac:dyDescent="0.3">
      <c r="A119" s="42"/>
      <c r="B119" s="12" t="str">
        <f>CONCATENATE("          ","5542"," - ","FREIGHT-IN-EVERYDAY GIFTS")</f>
        <v xml:space="preserve">          5542 - FREIGHT-IN-EVERYDAY GIFTS</v>
      </c>
      <c r="C119" s="12"/>
      <c r="D119" s="3"/>
      <c r="E119" s="3"/>
      <c r="F119" s="20">
        <f t="shared" si="8"/>
        <v>0</v>
      </c>
      <c r="G119" s="3"/>
      <c r="H119" s="3"/>
      <c r="I119" s="3"/>
      <c r="J119" s="20">
        <f t="shared" si="9"/>
        <v>0</v>
      </c>
      <c r="K119" s="3"/>
      <c r="L119" s="3">
        <f t="shared" si="10"/>
        <v>0</v>
      </c>
      <c r="M119" s="3"/>
      <c r="N119" s="20">
        <f t="shared" si="11"/>
        <v>0</v>
      </c>
      <c r="O119" s="12"/>
      <c r="P119" s="3">
        <v>0</v>
      </c>
      <c r="Q119" s="3"/>
      <c r="R119" s="20">
        <f t="shared" si="12"/>
        <v>0</v>
      </c>
      <c r="S119" s="3"/>
      <c r="T119" s="3">
        <v>681.72</v>
      </c>
      <c r="U119" s="3"/>
      <c r="V119" s="20">
        <f t="shared" si="13"/>
        <v>1.4496539902691499E-4</v>
      </c>
      <c r="W119" s="3"/>
      <c r="X119" s="3">
        <f t="shared" si="14"/>
        <v>-681.72</v>
      </c>
      <c r="Y119" s="3"/>
      <c r="Z119" s="20">
        <f t="shared" si="15"/>
        <v>-1</v>
      </c>
    </row>
    <row r="120" spans="1:26" s="69" customFormat="1" ht="15" hidden="1" customHeight="1" outlineLevel="1" x14ac:dyDescent="0.3">
      <c r="A120" s="42"/>
      <c r="B120" s="12" t="str">
        <f>CONCATENATE("          ","5543"," - ","FREIGHT-IN-CARDS")</f>
        <v xml:space="preserve">          5543 - FREIGHT-IN-CARDS</v>
      </c>
      <c r="C120" s="12"/>
      <c r="D120" s="3"/>
      <c r="E120" s="3"/>
      <c r="F120" s="20">
        <f t="shared" si="8"/>
        <v>0</v>
      </c>
      <c r="G120" s="3"/>
      <c r="H120" s="3"/>
      <c r="I120" s="3"/>
      <c r="J120" s="20">
        <f t="shared" si="9"/>
        <v>0</v>
      </c>
      <c r="K120" s="3"/>
      <c r="L120" s="3">
        <f t="shared" si="10"/>
        <v>0</v>
      </c>
      <c r="M120" s="3"/>
      <c r="N120" s="20">
        <f t="shared" si="11"/>
        <v>0</v>
      </c>
      <c r="O120" s="12"/>
      <c r="P120" s="3"/>
      <c r="Q120" s="3"/>
      <c r="R120" s="20">
        <f t="shared" si="12"/>
        <v>0</v>
      </c>
      <c r="S120" s="3"/>
      <c r="T120" s="3">
        <v>9110.5300000000007</v>
      </c>
      <c r="U120" s="3"/>
      <c r="V120" s="20">
        <f t="shared" si="13"/>
        <v>1.9373226791009209E-3</v>
      </c>
      <c r="W120" s="3"/>
      <c r="X120" s="3">
        <f t="shared" si="14"/>
        <v>-9110.5300000000007</v>
      </c>
      <c r="Y120" s="3"/>
      <c r="Z120" s="20">
        <f t="shared" si="15"/>
        <v>-1</v>
      </c>
    </row>
    <row r="121" spans="1:26" s="69" customFormat="1" ht="15" hidden="1" customHeight="1" outlineLevel="1" x14ac:dyDescent="0.3">
      <c r="A121" s="42"/>
      <c r="B121" s="12" t="str">
        <f>CONCATENATE("          ","5544"," - ","FREIGHT-IN-ACCESSORIES")</f>
        <v xml:space="preserve">          5544 - FREIGHT-IN-ACCESSORIES</v>
      </c>
      <c r="C121" s="12"/>
      <c r="D121" s="3"/>
      <c r="E121" s="3"/>
      <c r="F121" s="20">
        <f t="shared" si="8"/>
        <v>0</v>
      </c>
      <c r="G121" s="3"/>
      <c r="H121" s="3"/>
      <c r="I121" s="3"/>
      <c r="J121" s="20">
        <f t="shared" si="9"/>
        <v>0</v>
      </c>
      <c r="K121" s="3"/>
      <c r="L121" s="3">
        <f t="shared" si="10"/>
        <v>0</v>
      </c>
      <c r="M121" s="3"/>
      <c r="N121" s="20">
        <f t="shared" si="11"/>
        <v>0</v>
      </c>
      <c r="O121" s="12"/>
      <c r="P121" s="3">
        <v>0</v>
      </c>
      <c r="Q121" s="3"/>
      <c r="R121" s="20">
        <f t="shared" si="12"/>
        <v>0</v>
      </c>
      <c r="S121" s="3"/>
      <c r="T121" s="3"/>
      <c r="U121" s="3"/>
      <c r="V121" s="20">
        <f t="shared" si="13"/>
        <v>0</v>
      </c>
      <c r="W121" s="3"/>
      <c r="X121" s="3">
        <f t="shared" si="14"/>
        <v>0</v>
      </c>
      <c r="Y121" s="3"/>
      <c r="Z121" s="20">
        <f t="shared" si="15"/>
        <v>0</v>
      </c>
    </row>
    <row r="122" spans="1:26" s="69" customFormat="1" ht="15" hidden="1" customHeight="1" outlineLevel="1" x14ac:dyDescent="0.3">
      <c r="A122" s="42"/>
      <c r="B122" s="12" t="str">
        <f>CONCATENATE("          ","5545"," - ","FREIGHT-IN-SPECIAL ORDERS")</f>
        <v xml:space="preserve">          5545 - FREIGHT-IN-SPECIAL ORDERS</v>
      </c>
      <c r="C122" s="12"/>
      <c r="D122" s="3"/>
      <c r="E122" s="3"/>
      <c r="F122" s="20">
        <f t="shared" si="8"/>
        <v>0</v>
      </c>
      <c r="G122" s="3"/>
      <c r="H122" s="3">
        <v>168.6</v>
      </c>
      <c r="I122" s="3"/>
      <c r="J122" s="20">
        <f t="shared" si="9"/>
        <v>3.845222189413409E-4</v>
      </c>
      <c r="K122" s="3"/>
      <c r="L122" s="3">
        <f t="shared" si="10"/>
        <v>-168.6</v>
      </c>
      <c r="M122" s="3"/>
      <c r="N122" s="20">
        <f t="shared" si="11"/>
        <v>-1</v>
      </c>
      <c r="O122" s="12"/>
      <c r="P122" s="3">
        <v>0</v>
      </c>
      <c r="Q122" s="3"/>
      <c r="R122" s="20">
        <f t="shared" si="12"/>
        <v>0</v>
      </c>
      <c r="S122" s="3"/>
      <c r="T122" s="3">
        <v>1434.76</v>
      </c>
      <c r="U122" s="3"/>
      <c r="V122" s="20">
        <f t="shared" si="13"/>
        <v>3.0509674926341686E-4</v>
      </c>
      <c r="W122" s="3"/>
      <c r="X122" s="3">
        <f t="shared" si="14"/>
        <v>-1434.76</v>
      </c>
      <c r="Y122" s="3"/>
      <c r="Z122" s="20">
        <f t="shared" si="15"/>
        <v>-1</v>
      </c>
    </row>
    <row r="123" spans="1:26" s="69" customFormat="1" ht="15" hidden="1" customHeight="1" outlineLevel="1" x14ac:dyDescent="0.3">
      <c r="A123" s="42"/>
      <c r="B123" s="12" t="str">
        <f>CONCATENATE("          ","5592"," - ","FREIGHT-IN-GRAD MERCH")</f>
        <v xml:space="preserve">          5592 - FREIGHT-IN-GRAD MERCH</v>
      </c>
      <c r="C123" s="12"/>
      <c r="D123" s="3"/>
      <c r="E123" s="3"/>
      <c r="F123" s="20">
        <f t="shared" si="8"/>
        <v>0</v>
      </c>
      <c r="G123" s="3"/>
      <c r="H123" s="3"/>
      <c r="I123" s="3"/>
      <c r="J123" s="20">
        <f t="shared" si="9"/>
        <v>0</v>
      </c>
      <c r="K123" s="3"/>
      <c r="L123" s="3">
        <f t="shared" si="10"/>
        <v>0</v>
      </c>
      <c r="M123" s="3"/>
      <c r="N123" s="20">
        <f t="shared" si="11"/>
        <v>0</v>
      </c>
      <c r="O123" s="12"/>
      <c r="P123" s="3"/>
      <c r="Q123" s="3"/>
      <c r="R123" s="20">
        <f t="shared" si="12"/>
        <v>0</v>
      </c>
      <c r="S123" s="3"/>
      <c r="T123" s="3">
        <v>0</v>
      </c>
      <c r="U123" s="3"/>
      <c r="V123" s="20">
        <f t="shared" si="13"/>
        <v>0</v>
      </c>
      <c r="W123" s="3"/>
      <c r="X123" s="3">
        <f t="shared" si="14"/>
        <v>0</v>
      </c>
      <c r="Y123" s="3"/>
      <c r="Z123" s="20">
        <f t="shared" si="15"/>
        <v>0</v>
      </c>
    </row>
    <row r="124" spans="1:26" ht="15" customHeight="1" x14ac:dyDescent="0.3">
      <c r="A124" s="10"/>
      <c r="B124" s="11"/>
      <c r="C124" s="11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O124" s="11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s="62" customFormat="1" ht="15" customHeight="1" x14ac:dyDescent="0.3">
      <c r="A125" s="11"/>
      <c r="B125" s="28" t="s">
        <v>288</v>
      </c>
      <c r="C125" s="28"/>
      <c r="D125" s="21">
        <f>D12-D82</f>
        <v>493645.8899999999</v>
      </c>
      <c r="E125" s="15"/>
      <c r="F125" s="23">
        <f>IF(D$12=0,0,D125/D$12)</f>
        <v>0.56518057495114171</v>
      </c>
      <c r="G125" s="15"/>
      <c r="H125" s="21">
        <f>H12-H82</f>
        <v>215284.22000000009</v>
      </c>
      <c r="I125" s="15"/>
      <c r="J125" s="23">
        <f>IF(H$12=0,0,H125/H$12)</f>
        <v>0.49099386700744863</v>
      </c>
      <c r="K125" s="16"/>
      <c r="L125" s="21">
        <f>+D125-H125</f>
        <v>278361.66999999981</v>
      </c>
      <c r="M125" s="16"/>
      <c r="N125" s="23">
        <f>IF(H125=0,0,L125/H125)</f>
        <v>1.292996161074879</v>
      </c>
      <c r="O125" s="27"/>
      <c r="P125" s="21">
        <f>P12-P82</f>
        <v>2962343.92</v>
      </c>
      <c r="Q125" s="15"/>
      <c r="R125" s="23">
        <f>IF(P$12=0,0,P125/P$12)</f>
        <v>0.44468529585468003</v>
      </c>
      <c r="S125" s="15"/>
      <c r="T125" s="21">
        <f>T12-T82</f>
        <v>1758481.6699999995</v>
      </c>
      <c r="U125" s="15"/>
      <c r="V125" s="23">
        <f>IF(T$12=0,0,T125/T$12)</f>
        <v>0.3739350422065742</v>
      </c>
      <c r="W125" s="16"/>
      <c r="X125" s="21">
        <f>+P125-T125</f>
        <v>1203862.2500000005</v>
      </c>
      <c r="Y125" s="16"/>
      <c r="Z125" s="23">
        <f>IF(T125=0,0,X125/T125)</f>
        <v>0.68460324070366951</v>
      </c>
    </row>
    <row r="126" spans="1:26" ht="15" customHeight="1" x14ac:dyDescent="0.3">
      <c r="A126" s="10"/>
      <c r="B126" s="11"/>
      <c r="C126" s="10"/>
      <c r="D126" s="2"/>
      <c r="E126" s="2"/>
      <c r="F126" s="6"/>
      <c r="G126" s="2"/>
      <c r="H126" s="2"/>
      <c r="I126" s="2"/>
      <c r="J126" s="6"/>
      <c r="K126" s="2"/>
      <c r="L126" s="2"/>
      <c r="M126" s="2"/>
      <c r="N126" s="6"/>
      <c r="O126" s="36"/>
      <c r="P126" s="2"/>
      <c r="Q126" s="2"/>
      <c r="R126" s="6"/>
      <c r="S126" s="2"/>
      <c r="T126" s="2"/>
      <c r="U126" s="2"/>
      <c r="V126" s="6"/>
      <c r="W126" s="2"/>
      <c r="X126" s="2"/>
      <c r="Y126" s="2"/>
      <c r="Z126" s="6"/>
    </row>
    <row r="127" spans="1:26" s="62" customFormat="1" ht="15" customHeight="1" x14ac:dyDescent="0.3">
      <c r="A127" s="11"/>
      <c r="B127" s="27" t="s">
        <v>289</v>
      </c>
      <c r="C127" s="11"/>
      <c r="D127" s="22" cm="1">
        <f t="array" ref="D127">SUM(OSRRefD22x_0)</f>
        <v>359058.46</v>
      </c>
      <c r="E127" s="22"/>
      <c r="F127" s="32">
        <f t="shared" ref="F127:F158" si="16">IF(D$12=0,0,D127/D$12)</f>
        <v>0.41108995531973652</v>
      </c>
      <c r="G127" s="22"/>
      <c r="H127" s="22" cm="1">
        <f t="array" ref="H127">SUM(OSRRefH22x_0)</f>
        <v>255576.60999999993</v>
      </c>
      <c r="I127" s="22"/>
      <c r="J127" s="32">
        <f t="shared" ref="J127:J158" si="17">IF(H$12=0,0,H127/H$12)</f>
        <v>0.58288781249528876</v>
      </c>
      <c r="K127" s="5"/>
      <c r="L127" s="22">
        <f t="shared" ref="L127:L158" si="18">+D127-H127</f>
        <v>103481.85000000009</v>
      </c>
      <c r="M127" s="5"/>
      <c r="N127" s="32">
        <f t="shared" ref="N127:N158" si="19">IF(H127=0,0,L127/H127)</f>
        <v>0.4048956201430175</v>
      </c>
      <c r="O127" s="11"/>
      <c r="P127" s="22" cm="1">
        <f t="array" ref="P127">SUM(OSRRefP22x_0)</f>
        <v>3213124.669999999</v>
      </c>
      <c r="Q127" s="22"/>
      <c r="R127" s="32">
        <f t="shared" ref="R127:R158" si="20">IF(P$12=0,0,P127/P$12)</f>
        <v>0.48233065879025977</v>
      </c>
      <c r="S127" s="22"/>
      <c r="T127" s="22" cm="1">
        <f t="array" ref="T127">SUM(OSRRefT22x_0)</f>
        <v>2638331.6500000008</v>
      </c>
      <c r="U127" s="22"/>
      <c r="V127" s="32">
        <f t="shared" ref="V127:V158" si="21">IF(T$12=0,0,T127/T$12)</f>
        <v>0.56103209588627168</v>
      </c>
      <c r="W127" s="5"/>
      <c r="X127" s="22">
        <f t="shared" ref="X127:X158" si="22">+P127-T127</f>
        <v>574793.01999999816</v>
      </c>
      <c r="Y127" s="5"/>
      <c r="Z127" s="32">
        <f t="shared" ref="Z127:Z158" si="23">IF(T127=0,0,X127/T127)</f>
        <v>0.21786230703785781</v>
      </c>
    </row>
    <row r="128" spans="1:26" s="68" customFormat="1" ht="15" customHeight="1" outlineLevel="1" collapsed="1" x14ac:dyDescent="0.3">
      <c r="A128" s="25"/>
      <c r="B128" s="14" t="str">
        <f>CONCATENATE("     ","*Benefits                                         ")</f>
        <v xml:space="preserve">     *Benefits                                         </v>
      </c>
      <c r="C128" s="14"/>
      <c r="D128" s="2">
        <f>SUM(OSRRefD22_0x_0)</f>
        <v>50595.58</v>
      </c>
      <c r="E128" s="2"/>
      <c r="F128" s="6">
        <f t="shared" si="16"/>
        <v>5.7927432545597603E-2</v>
      </c>
      <c r="G128" s="2"/>
      <c r="H128" s="2">
        <f>SUM(OSRRefH22_0x_0)</f>
        <v>53608.380000000005</v>
      </c>
      <c r="I128" s="2"/>
      <c r="J128" s="6">
        <f t="shared" si="17"/>
        <v>0.12226342367408424</v>
      </c>
      <c r="K128" s="2"/>
      <c r="L128" s="2">
        <f t="shared" si="18"/>
        <v>-3012.8000000000029</v>
      </c>
      <c r="M128" s="2"/>
      <c r="N128" s="6">
        <f t="shared" si="19"/>
        <v>-5.6200168704967447E-2</v>
      </c>
      <c r="O128" s="14"/>
      <c r="P128" s="2">
        <f>SUM(OSRRefP22_0x_0)</f>
        <v>472618.87</v>
      </c>
      <c r="Q128" s="2"/>
      <c r="R128" s="6">
        <f t="shared" si="20"/>
        <v>7.0946070985726251E-2</v>
      </c>
      <c r="S128" s="2"/>
      <c r="T128" s="2">
        <f>SUM(OSRRefT22_0x_0)</f>
        <v>463861.88999999996</v>
      </c>
      <c r="U128" s="2"/>
      <c r="V128" s="6">
        <f t="shared" si="21"/>
        <v>9.8638625795383642E-2</v>
      </c>
      <c r="W128" s="2"/>
      <c r="X128" s="2">
        <f t="shared" si="22"/>
        <v>8756.9800000000396</v>
      </c>
      <c r="Y128" s="2"/>
      <c r="Z128" s="6">
        <f t="shared" si="23"/>
        <v>1.8878420902394118E-2</v>
      </c>
    </row>
    <row r="129" spans="1:26" s="69" customFormat="1" ht="15" hidden="1" customHeight="1" outlineLevel="2" x14ac:dyDescent="0.3">
      <c r="A129" s="26"/>
      <c r="B129" s="12" t="str">
        <f>CONCATENATE("          ","6111"," - ","F.I.C.A.")</f>
        <v xml:space="preserve">          6111 - F.I.C.A.</v>
      </c>
      <c r="C129" s="12"/>
      <c r="D129" s="8">
        <v>9755.44</v>
      </c>
      <c r="E129" s="3"/>
      <c r="F129" s="7">
        <f t="shared" si="16"/>
        <v>1.1169109881784628E-2</v>
      </c>
      <c r="G129" s="3"/>
      <c r="H129" s="8">
        <v>10750.32</v>
      </c>
      <c r="I129" s="3"/>
      <c r="J129" s="7">
        <f t="shared" si="17"/>
        <v>2.451801245984268E-2</v>
      </c>
      <c r="K129" s="3"/>
      <c r="L129" s="8">
        <f t="shared" si="18"/>
        <v>-994.8799999999992</v>
      </c>
      <c r="M129" s="3"/>
      <c r="N129" s="7">
        <f t="shared" si="19"/>
        <v>-9.2544221939439869E-2</v>
      </c>
      <c r="O129" s="12"/>
      <c r="P129" s="8">
        <v>87533.53</v>
      </c>
      <c r="Q129" s="3"/>
      <c r="R129" s="7">
        <f t="shared" si="20"/>
        <v>1.3139890146602056E-2</v>
      </c>
      <c r="S129" s="3"/>
      <c r="T129" s="8">
        <v>89218.18</v>
      </c>
      <c r="U129" s="3"/>
      <c r="V129" s="7">
        <f t="shared" si="21"/>
        <v>1.8971937253058624E-2</v>
      </c>
      <c r="W129" s="3"/>
      <c r="X129" s="8">
        <f t="shared" si="22"/>
        <v>-1684.6499999999942</v>
      </c>
      <c r="Y129" s="3"/>
      <c r="Z129" s="7">
        <f t="shared" si="23"/>
        <v>-1.8882362316738521E-2</v>
      </c>
    </row>
    <row r="130" spans="1:26" s="69" customFormat="1" ht="15" hidden="1" customHeight="1" outlineLevel="2" x14ac:dyDescent="0.3">
      <c r="A130" s="26"/>
      <c r="B130" s="12" t="str">
        <f>CONCATENATE("          ","6112"," - ","COMPENSATION INSURANCE")</f>
        <v xml:space="preserve">          6112 - COMPENSATION INSURANCE</v>
      </c>
      <c r="C130" s="12"/>
      <c r="D130" s="8">
        <v>2266.4499999999998</v>
      </c>
      <c r="E130" s="3"/>
      <c r="F130" s="7">
        <f t="shared" si="16"/>
        <v>2.5948833770256152E-3</v>
      </c>
      <c r="G130" s="3"/>
      <c r="H130" s="8">
        <v>1599.53</v>
      </c>
      <c r="I130" s="3"/>
      <c r="J130" s="7">
        <f t="shared" si="17"/>
        <v>3.6480120098650241E-3</v>
      </c>
      <c r="K130" s="3"/>
      <c r="L130" s="8">
        <f t="shared" si="18"/>
        <v>666.91999999999985</v>
      </c>
      <c r="M130" s="3"/>
      <c r="N130" s="7">
        <f t="shared" si="19"/>
        <v>0.41694747832175694</v>
      </c>
      <c r="O130" s="12"/>
      <c r="P130" s="8">
        <v>24590.080000000002</v>
      </c>
      <c r="Q130" s="3"/>
      <c r="R130" s="7">
        <f t="shared" si="20"/>
        <v>3.6912820709521974E-3</v>
      </c>
      <c r="S130" s="3"/>
      <c r="T130" s="8">
        <v>21578.33</v>
      </c>
      <c r="U130" s="3"/>
      <c r="V130" s="7">
        <f t="shared" si="21"/>
        <v>4.5885572064549235E-3</v>
      </c>
      <c r="W130" s="3"/>
      <c r="X130" s="8">
        <f t="shared" si="22"/>
        <v>3011.75</v>
      </c>
      <c r="Y130" s="3"/>
      <c r="Z130" s="7">
        <f t="shared" si="23"/>
        <v>0.13957289558552491</v>
      </c>
    </row>
    <row r="131" spans="1:26" s="69" customFormat="1" ht="15" hidden="1" customHeight="1" outlineLevel="2" x14ac:dyDescent="0.3">
      <c r="A131" s="26"/>
      <c r="B131" s="12" t="str">
        <f>CONCATENATE("          ","6113"," - ","GROUP INSURANCE")</f>
        <v xml:space="preserve">          6113 - GROUP INSURANCE</v>
      </c>
      <c r="C131" s="12"/>
      <c r="D131" s="8">
        <v>14256.33</v>
      </c>
      <c r="E131" s="3"/>
      <c r="F131" s="7">
        <f t="shared" si="16"/>
        <v>1.6322228036970414E-2</v>
      </c>
      <c r="G131" s="3"/>
      <c r="H131" s="8">
        <v>18284.05</v>
      </c>
      <c r="I131" s="3"/>
      <c r="J131" s="7">
        <f t="shared" si="17"/>
        <v>4.1700020624166216E-2</v>
      </c>
      <c r="K131" s="3"/>
      <c r="L131" s="8">
        <f t="shared" si="18"/>
        <v>-4027.7199999999993</v>
      </c>
      <c r="M131" s="3"/>
      <c r="N131" s="7">
        <f t="shared" si="19"/>
        <v>-0.2202859869667825</v>
      </c>
      <c r="O131" s="12"/>
      <c r="P131" s="8">
        <v>164546.68</v>
      </c>
      <c r="Q131" s="3"/>
      <c r="R131" s="7">
        <f t="shared" si="20"/>
        <v>2.4700538173064442E-2</v>
      </c>
      <c r="S131" s="3"/>
      <c r="T131" s="8">
        <v>164870.14000000001</v>
      </c>
      <c r="U131" s="3"/>
      <c r="V131" s="7">
        <f t="shared" si="21"/>
        <v>3.5059064766653963E-2</v>
      </c>
      <c r="W131" s="3"/>
      <c r="X131" s="8">
        <f t="shared" si="22"/>
        <v>-323.46000000002095</v>
      </c>
      <c r="Y131" s="3"/>
      <c r="Z131" s="7">
        <f t="shared" si="23"/>
        <v>-1.9619077171889399E-3</v>
      </c>
    </row>
    <row r="132" spans="1:26" s="69" customFormat="1" ht="15" hidden="1" customHeight="1" outlineLevel="2" x14ac:dyDescent="0.3">
      <c r="A132" s="26"/>
      <c r="B132" s="12" t="str">
        <f>CONCATENATE("          ","6114"," - ","STATE UNEMPLOYMENT INSURANCE")</f>
        <v xml:space="preserve">          6114 - STATE UNEMPLOYMENT INSURANCE</v>
      </c>
      <c r="C132" s="12"/>
      <c r="D132" s="8">
        <v>406.64</v>
      </c>
      <c r="E132" s="3"/>
      <c r="F132" s="7">
        <f t="shared" si="16"/>
        <v>4.6556658052623981E-4</v>
      </c>
      <c r="G132" s="3"/>
      <c r="H132" s="8">
        <v>297.08999999999997</v>
      </c>
      <c r="I132" s="3"/>
      <c r="J132" s="7">
        <f t="shared" si="17"/>
        <v>6.775664651558895E-4</v>
      </c>
      <c r="K132" s="3"/>
      <c r="L132" s="8">
        <f t="shared" si="18"/>
        <v>109.55000000000001</v>
      </c>
      <c r="M132" s="3"/>
      <c r="N132" s="7">
        <f t="shared" si="19"/>
        <v>0.36874347840721672</v>
      </c>
      <c r="O132" s="12"/>
      <c r="P132" s="8">
        <v>4434.59</v>
      </c>
      <c r="Q132" s="3"/>
      <c r="R132" s="7">
        <f t="shared" si="20"/>
        <v>6.6568805628220427E-4</v>
      </c>
      <c r="S132" s="3"/>
      <c r="T132" s="8">
        <v>3533.43</v>
      </c>
      <c r="U132" s="3"/>
      <c r="V132" s="7">
        <f t="shared" si="21"/>
        <v>7.513716626821454E-4</v>
      </c>
      <c r="W132" s="3"/>
      <c r="X132" s="8">
        <f t="shared" si="22"/>
        <v>901.16000000000031</v>
      </c>
      <c r="Y132" s="3"/>
      <c r="Z132" s="7">
        <f t="shared" si="23"/>
        <v>0.25503830555579149</v>
      </c>
    </row>
    <row r="133" spans="1:26" s="69" customFormat="1" ht="15" hidden="1" customHeight="1" outlineLevel="2" x14ac:dyDescent="0.3">
      <c r="A133" s="26"/>
      <c r="B133" s="12" t="str">
        <f>CONCATENATE("          ","6115"," - ","P.E.R.S.")</f>
        <v xml:space="preserve">          6115 - P.E.R.S.</v>
      </c>
      <c r="C133" s="12"/>
      <c r="D133" s="8">
        <v>7052.79</v>
      </c>
      <c r="E133" s="3"/>
      <c r="F133" s="7">
        <f t="shared" si="16"/>
        <v>8.0748163571455322E-3</v>
      </c>
      <c r="G133" s="3"/>
      <c r="H133" s="8">
        <v>6172.91</v>
      </c>
      <c r="I133" s="3"/>
      <c r="J133" s="7">
        <f t="shared" si="17"/>
        <v>1.4078416669781688E-2</v>
      </c>
      <c r="K133" s="3"/>
      <c r="L133" s="8">
        <f t="shared" si="18"/>
        <v>879.88000000000011</v>
      </c>
      <c r="M133" s="3"/>
      <c r="N133" s="7">
        <f t="shared" si="19"/>
        <v>0.14253893220539424</v>
      </c>
      <c r="O133" s="12"/>
      <c r="P133" s="8">
        <v>67301.990000000005</v>
      </c>
      <c r="Q133" s="3"/>
      <c r="R133" s="7">
        <f t="shared" si="20"/>
        <v>1.0102880064904387E-2</v>
      </c>
      <c r="S133" s="3"/>
      <c r="T133" s="8">
        <v>68345.05</v>
      </c>
      <c r="U133" s="3"/>
      <c r="V133" s="7">
        <f t="shared" si="21"/>
        <v>1.4533338386382174E-2</v>
      </c>
      <c r="W133" s="3"/>
      <c r="X133" s="8">
        <f t="shared" si="22"/>
        <v>-1043.0599999999977</v>
      </c>
      <c r="Y133" s="3"/>
      <c r="Z133" s="7">
        <f t="shared" si="23"/>
        <v>-1.5261675863870136E-2</v>
      </c>
    </row>
    <row r="134" spans="1:26" s="69" customFormat="1" ht="15" hidden="1" customHeight="1" outlineLevel="2" x14ac:dyDescent="0.3">
      <c r="A134" s="26"/>
      <c r="B134" s="12" t="str">
        <f>CONCATENATE("          ","6116"," - ","EDUCATIONAL BENEFITS")</f>
        <v xml:space="preserve">          6116 - EDUCATIONAL BENEFITS</v>
      </c>
      <c r="C134" s="12"/>
      <c r="D134" s="8"/>
      <c r="E134" s="3"/>
      <c r="F134" s="7">
        <f t="shared" si="16"/>
        <v>0</v>
      </c>
      <c r="G134" s="3"/>
      <c r="H134" s="8"/>
      <c r="I134" s="3"/>
      <c r="J134" s="7">
        <f t="shared" si="17"/>
        <v>0</v>
      </c>
      <c r="K134" s="3"/>
      <c r="L134" s="8">
        <f t="shared" si="18"/>
        <v>0</v>
      </c>
      <c r="M134" s="3"/>
      <c r="N134" s="7">
        <f t="shared" si="19"/>
        <v>0</v>
      </c>
      <c r="O134" s="12"/>
      <c r="P134" s="8"/>
      <c r="Q134" s="3"/>
      <c r="R134" s="7">
        <f t="shared" si="20"/>
        <v>0</v>
      </c>
      <c r="S134" s="3"/>
      <c r="T134" s="8">
        <v>0</v>
      </c>
      <c r="U134" s="3"/>
      <c r="V134" s="7">
        <f t="shared" si="21"/>
        <v>0</v>
      </c>
      <c r="W134" s="3"/>
      <c r="X134" s="8">
        <f t="shared" si="22"/>
        <v>0</v>
      </c>
      <c r="Y134" s="3"/>
      <c r="Z134" s="7">
        <f t="shared" si="23"/>
        <v>0</v>
      </c>
    </row>
    <row r="135" spans="1:26" s="69" customFormat="1" ht="15" hidden="1" customHeight="1" outlineLevel="2" x14ac:dyDescent="0.3">
      <c r="A135" s="26"/>
      <c r="B135" s="12" t="str">
        <f>CONCATENATE("          ","6117"," - ","RETIREMENT STAFF HOURLY")</f>
        <v xml:space="preserve">          6117 - RETIREMENT STAFF HOURLY</v>
      </c>
      <c r="C135" s="12"/>
      <c r="D135" s="8">
        <v>735.56</v>
      </c>
      <c r="E135" s="3"/>
      <c r="F135" s="7">
        <f t="shared" si="16"/>
        <v>8.4215068358223721E-4</v>
      </c>
      <c r="G135" s="3"/>
      <c r="H135" s="8">
        <v>359.71</v>
      </c>
      <c r="I135" s="3"/>
      <c r="J135" s="7">
        <f t="shared" si="17"/>
        <v>8.2038248739851568E-4</v>
      </c>
      <c r="K135" s="3"/>
      <c r="L135" s="8">
        <f t="shared" si="18"/>
        <v>375.84999999999997</v>
      </c>
      <c r="M135" s="3"/>
      <c r="N135" s="7">
        <f t="shared" si="19"/>
        <v>1.0448694781907648</v>
      </c>
      <c r="O135" s="12"/>
      <c r="P135" s="8">
        <v>6875.22</v>
      </c>
      <c r="Q135" s="3"/>
      <c r="R135" s="7">
        <f t="shared" si="20"/>
        <v>1.0320574930968898E-3</v>
      </c>
      <c r="S135" s="3"/>
      <c r="T135" s="8">
        <v>3760.97</v>
      </c>
      <c r="U135" s="3"/>
      <c r="V135" s="7">
        <f t="shared" si="21"/>
        <v>7.9975725631968608E-4</v>
      </c>
      <c r="W135" s="3"/>
      <c r="X135" s="8">
        <f t="shared" si="22"/>
        <v>3114.2500000000005</v>
      </c>
      <c r="Y135" s="3"/>
      <c r="Z135" s="7">
        <f t="shared" si="23"/>
        <v>0.82804436089625832</v>
      </c>
    </row>
    <row r="136" spans="1:26" s="69" customFormat="1" ht="15" hidden="1" customHeight="1" outlineLevel="2" x14ac:dyDescent="0.3">
      <c r="A136" s="26"/>
      <c r="B136" s="12" t="str">
        <f>CONCATENATE("          ","6118"," - ","VACATION")</f>
        <v xml:space="preserve">          6118 - VACATION</v>
      </c>
      <c r="C136" s="12"/>
      <c r="D136" s="8">
        <v>7530.47</v>
      </c>
      <c r="E136" s="3"/>
      <c r="F136" s="7">
        <f t="shared" si="16"/>
        <v>8.6217174101304184E-3</v>
      </c>
      <c r="G136" s="3"/>
      <c r="H136" s="8">
        <v>8608.57</v>
      </c>
      <c r="I136" s="3"/>
      <c r="J136" s="7">
        <f t="shared" si="17"/>
        <v>1.9633371520236413E-2</v>
      </c>
      <c r="K136" s="3"/>
      <c r="L136" s="8">
        <f t="shared" si="18"/>
        <v>-1078.0999999999995</v>
      </c>
      <c r="M136" s="3"/>
      <c r="N136" s="7">
        <f t="shared" si="19"/>
        <v>-0.12523566631856389</v>
      </c>
      <c r="O136" s="12"/>
      <c r="P136" s="8">
        <v>64328.01</v>
      </c>
      <c r="Q136" s="3"/>
      <c r="R136" s="7">
        <f t="shared" si="20"/>
        <v>9.6564480462460328E-3</v>
      </c>
      <c r="S136" s="3"/>
      <c r="T136" s="8">
        <v>57554.61</v>
      </c>
      <c r="U136" s="3"/>
      <c r="V136" s="7">
        <f t="shared" si="21"/>
        <v>1.2238788658816627E-2</v>
      </c>
      <c r="W136" s="3"/>
      <c r="X136" s="8">
        <f t="shared" si="22"/>
        <v>6773.4000000000015</v>
      </c>
      <c r="Y136" s="3"/>
      <c r="Z136" s="7">
        <f t="shared" si="23"/>
        <v>0.11768648940545338</v>
      </c>
    </row>
    <row r="137" spans="1:26" s="69" customFormat="1" ht="15" hidden="1" customHeight="1" outlineLevel="2" x14ac:dyDescent="0.3">
      <c r="A137" s="26"/>
      <c r="B137" s="12" t="str">
        <f>CONCATENATE("          ","6119"," - ","SICK LEAVE")</f>
        <v xml:space="preserve">          6119 - SICK LEAVE</v>
      </c>
      <c r="C137" s="12"/>
      <c r="D137" s="8">
        <v>5490.17</v>
      </c>
      <c r="E137" s="3"/>
      <c r="F137" s="7">
        <f t="shared" si="16"/>
        <v>6.2857556398970742E-3</v>
      </c>
      <c r="G137" s="3"/>
      <c r="H137" s="8">
        <v>5736.04</v>
      </c>
      <c r="I137" s="3"/>
      <c r="J137" s="7">
        <f t="shared" si="17"/>
        <v>1.3082057109942404E-2</v>
      </c>
      <c r="K137" s="3"/>
      <c r="L137" s="8">
        <f t="shared" si="18"/>
        <v>-245.86999999999989</v>
      </c>
      <c r="M137" s="3"/>
      <c r="N137" s="7">
        <f t="shared" si="19"/>
        <v>-4.28640664988389E-2</v>
      </c>
      <c r="O137" s="12"/>
      <c r="P137" s="8">
        <v>24419.25</v>
      </c>
      <c r="Q137" s="3"/>
      <c r="R137" s="7">
        <f t="shared" si="20"/>
        <v>3.6656383269635332E-3</v>
      </c>
      <c r="S137" s="3"/>
      <c r="T137" s="8">
        <v>40704.550000000003</v>
      </c>
      <c r="U137" s="3"/>
      <c r="V137" s="7">
        <f t="shared" si="21"/>
        <v>8.6556817065085549E-3</v>
      </c>
      <c r="W137" s="3"/>
      <c r="X137" s="8">
        <f t="shared" si="22"/>
        <v>-16285.300000000003</v>
      </c>
      <c r="Y137" s="3"/>
      <c r="Z137" s="7">
        <f t="shared" si="23"/>
        <v>-0.40008549412780642</v>
      </c>
    </row>
    <row r="138" spans="1:26" s="69" customFormat="1" ht="15" hidden="1" customHeight="1" outlineLevel="2" x14ac:dyDescent="0.3">
      <c r="A138" s="26"/>
      <c r="B138" s="12" t="str">
        <f>CONCATENATE("          ","6156"," - ","EMPLOYEE MEALS")</f>
        <v xml:space="preserve">          6156 - EMPLOYEE MEALS</v>
      </c>
      <c r="C138" s="12"/>
      <c r="D138" s="8">
        <v>3101.73</v>
      </c>
      <c r="E138" s="3"/>
      <c r="F138" s="7">
        <f t="shared" si="16"/>
        <v>3.5512045785354462E-3</v>
      </c>
      <c r="G138" s="3"/>
      <c r="H138" s="8">
        <v>1800.16</v>
      </c>
      <c r="I138" s="3"/>
      <c r="J138" s="7">
        <f t="shared" si="17"/>
        <v>4.1055843276953993E-3</v>
      </c>
      <c r="K138" s="3"/>
      <c r="L138" s="8">
        <f t="shared" si="18"/>
        <v>1301.57</v>
      </c>
      <c r="M138" s="3"/>
      <c r="N138" s="7">
        <f t="shared" si="19"/>
        <v>0.72303017509554701</v>
      </c>
      <c r="O138" s="12"/>
      <c r="P138" s="8">
        <v>28589.52</v>
      </c>
      <c r="Q138" s="3"/>
      <c r="R138" s="7">
        <f t="shared" si="20"/>
        <v>4.2916486076145042E-3</v>
      </c>
      <c r="S138" s="3"/>
      <c r="T138" s="8">
        <v>14296.63</v>
      </c>
      <c r="U138" s="3"/>
      <c r="V138" s="7">
        <f t="shared" si="21"/>
        <v>3.0401288985069581E-3</v>
      </c>
      <c r="W138" s="3"/>
      <c r="X138" s="8">
        <f t="shared" si="22"/>
        <v>14292.890000000001</v>
      </c>
      <c r="Y138" s="3"/>
      <c r="Z138" s="7">
        <f t="shared" si="23"/>
        <v>0.99973839988864521</v>
      </c>
    </row>
    <row r="139" spans="1:26" s="68" customFormat="1" ht="15" customHeight="1" outlineLevel="1" collapsed="1" x14ac:dyDescent="0.3">
      <c r="A139" s="25"/>
      <c r="B139" s="14" t="str">
        <f>CONCATENATE("     ","*Payroll                                          ")</f>
        <v xml:space="preserve">     *Payroll                                          </v>
      </c>
      <c r="C139" s="14"/>
      <c r="D139" s="2">
        <f>SUM(OSRRefD22_1x_0)</f>
        <v>190153.35</v>
      </c>
      <c r="E139" s="2"/>
      <c r="F139" s="6">
        <f t="shared" si="16"/>
        <v>0.21770864876822071</v>
      </c>
      <c r="G139" s="2"/>
      <c r="H139" s="2">
        <f>SUM(OSRRefH22_1x_0)</f>
        <v>125797.98</v>
      </c>
      <c r="I139" s="2"/>
      <c r="J139" s="6">
        <f t="shared" si="17"/>
        <v>0.286904616891687</v>
      </c>
      <c r="K139" s="2"/>
      <c r="L139" s="2">
        <f t="shared" si="18"/>
        <v>64355.37000000001</v>
      </c>
      <c r="M139" s="2"/>
      <c r="N139" s="6">
        <f t="shared" si="19"/>
        <v>0.51157713343250832</v>
      </c>
      <c r="O139" s="14"/>
      <c r="P139" s="2">
        <f>SUM(OSRRefP22_1x_0)</f>
        <v>1691084.5900000003</v>
      </c>
      <c r="Q139" s="2"/>
      <c r="R139" s="6">
        <f t="shared" si="20"/>
        <v>0.25385318907179433</v>
      </c>
      <c r="S139" s="2"/>
      <c r="T139" s="2">
        <f>SUM(OSRRefT22_1x_0)</f>
        <v>1248859.78</v>
      </c>
      <c r="U139" s="2"/>
      <c r="V139" s="6">
        <f t="shared" si="21"/>
        <v>0.26556571075568453</v>
      </c>
      <c r="W139" s="2"/>
      <c r="X139" s="2">
        <f t="shared" si="22"/>
        <v>442224.81000000029</v>
      </c>
      <c r="Y139" s="2"/>
      <c r="Z139" s="6">
        <f t="shared" si="23"/>
        <v>0.35410285212323861</v>
      </c>
    </row>
    <row r="140" spans="1:26" s="69" customFormat="1" ht="15" hidden="1" customHeight="1" outlineLevel="2" x14ac:dyDescent="0.3">
      <c r="A140" s="26"/>
      <c r="B140" s="12" t="str">
        <f>CONCATENATE("          ","6001"," - ","ADMINISTRATIVE SALARIES")</f>
        <v xml:space="preserve">          6001 - ADMINISTRATIVE SALARIES</v>
      </c>
      <c r="C140" s="12"/>
      <c r="D140" s="8">
        <v>2749.47</v>
      </c>
      <c r="E140" s="3"/>
      <c r="F140" s="7">
        <f t="shared" si="16"/>
        <v>3.1478982543760585E-3</v>
      </c>
      <c r="G140" s="3"/>
      <c r="H140" s="8">
        <v>4416.46</v>
      </c>
      <c r="I140" s="3"/>
      <c r="J140" s="7">
        <f t="shared" si="17"/>
        <v>1.0072520753651688E-2</v>
      </c>
      <c r="K140" s="3"/>
      <c r="L140" s="8">
        <f t="shared" si="18"/>
        <v>-1666.9900000000002</v>
      </c>
      <c r="M140" s="3"/>
      <c r="N140" s="7">
        <f t="shared" si="19"/>
        <v>-0.37744935989457623</v>
      </c>
      <c r="O140" s="12"/>
      <c r="P140" s="8">
        <v>47666.53</v>
      </c>
      <c r="Q140" s="3"/>
      <c r="R140" s="7">
        <f t="shared" si="20"/>
        <v>7.1553491315809068E-3</v>
      </c>
      <c r="S140" s="3"/>
      <c r="T140" s="8">
        <v>43192.79</v>
      </c>
      <c r="U140" s="3"/>
      <c r="V140" s="7">
        <f t="shared" si="21"/>
        <v>9.1847973323882868E-3</v>
      </c>
      <c r="W140" s="3"/>
      <c r="X140" s="8">
        <f t="shared" si="22"/>
        <v>4473.739999999998</v>
      </c>
      <c r="Y140" s="3"/>
      <c r="Z140" s="7">
        <f t="shared" si="23"/>
        <v>0.1035760829527335</v>
      </c>
    </row>
    <row r="141" spans="1:26" s="69" customFormat="1" ht="15" hidden="1" customHeight="1" outlineLevel="2" x14ac:dyDescent="0.3">
      <c r="A141" s="26"/>
      <c r="B141" s="12" t="str">
        <f>CONCATENATE("          ","6002"," - ","STAFF SALARIES")</f>
        <v xml:space="preserve">          6002 - STAFF SALARIES</v>
      </c>
      <c r="C141" s="12"/>
      <c r="D141" s="8">
        <v>58548.65</v>
      </c>
      <c r="E141" s="3"/>
      <c r="F141" s="7">
        <f t="shared" si="16"/>
        <v>6.7032989314695146E-2</v>
      </c>
      <c r="G141" s="3"/>
      <c r="H141" s="8">
        <v>68299.41</v>
      </c>
      <c r="I141" s="3"/>
      <c r="J141" s="7">
        <f t="shared" si="17"/>
        <v>0.1557689245882824</v>
      </c>
      <c r="K141" s="3"/>
      <c r="L141" s="8">
        <f t="shared" si="18"/>
        <v>-9750.760000000002</v>
      </c>
      <c r="M141" s="3"/>
      <c r="N141" s="7">
        <f t="shared" si="19"/>
        <v>-0.14276492285950934</v>
      </c>
      <c r="O141" s="12"/>
      <c r="P141" s="8">
        <v>573829.06000000006</v>
      </c>
      <c r="Q141" s="3"/>
      <c r="R141" s="7">
        <f t="shared" si="20"/>
        <v>8.6139000807209765E-2</v>
      </c>
      <c r="S141" s="3"/>
      <c r="T141" s="8">
        <v>603174.88</v>
      </c>
      <c r="U141" s="3"/>
      <c r="V141" s="7">
        <f t="shared" si="21"/>
        <v>0.12826305105059491</v>
      </c>
      <c r="W141" s="3"/>
      <c r="X141" s="8">
        <f t="shared" si="22"/>
        <v>-29345.819999999949</v>
      </c>
      <c r="Y141" s="3"/>
      <c r="Z141" s="7">
        <f t="shared" si="23"/>
        <v>-4.8652258197489834E-2</v>
      </c>
    </row>
    <row r="142" spans="1:26" s="69" customFormat="1" ht="15" hidden="1" customHeight="1" outlineLevel="2" x14ac:dyDescent="0.3">
      <c r="A142" s="26"/>
      <c r="B142" s="12" t="str">
        <f>CONCATENATE("          ","6004"," - ","STAFF HOURLY")</f>
        <v xml:space="preserve">          6004 - STAFF HOURLY</v>
      </c>
      <c r="C142" s="12"/>
      <c r="D142" s="8">
        <v>38366.57</v>
      </c>
      <c r="E142" s="3"/>
      <c r="F142" s="7">
        <f t="shared" si="16"/>
        <v>4.3926305334990694E-2</v>
      </c>
      <c r="G142" s="3"/>
      <c r="H142" s="8">
        <v>17783.84</v>
      </c>
      <c r="I142" s="3"/>
      <c r="J142" s="7">
        <f t="shared" si="17"/>
        <v>4.0559202954316587E-2</v>
      </c>
      <c r="K142" s="3"/>
      <c r="L142" s="8">
        <f t="shared" si="18"/>
        <v>20582.73</v>
      </c>
      <c r="M142" s="3"/>
      <c r="N142" s="7">
        <f t="shared" si="19"/>
        <v>1.1573838945919441</v>
      </c>
      <c r="O142" s="12"/>
      <c r="P142" s="8">
        <v>245215.03</v>
      </c>
      <c r="Q142" s="3"/>
      <c r="R142" s="7">
        <f t="shared" si="20"/>
        <v>3.6809877957574968E-2</v>
      </c>
      <c r="S142" s="3"/>
      <c r="T142" s="8">
        <v>155291.97</v>
      </c>
      <c r="U142" s="3"/>
      <c r="V142" s="7">
        <f t="shared" si="21"/>
        <v>3.3022300059739641E-2</v>
      </c>
      <c r="W142" s="3"/>
      <c r="X142" s="8">
        <f t="shared" si="22"/>
        <v>89923.06</v>
      </c>
      <c r="Y142" s="3"/>
      <c r="Z142" s="7">
        <f t="shared" si="23"/>
        <v>0.57905801568490634</v>
      </c>
    </row>
    <row r="143" spans="1:26" s="69" customFormat="1" ht="15" hidden="1" customHeight="1" outlineLevel="2" x14ac:dyDescent="0.3">
      <c r="A143" s="26"/>
      <c r="B143" s="12" t="str">
        <f>CONCATENATE("          ","6005"," - ","TEMPORARY WAGES-HOURLY")</f>
        <v xml:space="preserve">          6005 - TEMPORARY WAGES-HOURLY</v>
      </c>
      <c r="C143" s="12"/>
      <c r="D143" s="8">
        <v>6503.23</v>
      </c>
      <c r="E143" s="3"/>
      <c r="F143" s="7">
        <f t="shared" si="16"/>
        <v>7.4456191065208985E-3</v>
      </c>
      <c r="G143" s="3"/>
      <c r="H143" s="8">
        <v>16005.07</v>
      </c>
      <c r="I143" s="3"/>
      <c r="J143" s="7">
        <f t="shared" si="17"/>
        <v>3.6502402317387231E-2</v>
      </c>
      <c r="K143" s="3"/>
      <c r="L143" s="8">
        <f t="shared" si="18"/>
        <v>-9501.84</v>
      </c>
      <c r="M143" s="3"/>
      <c r="N143" s="7">
        <f t="shared" si="19"/>
        <v>-0.59367687863908125</v>
      </c>
      <c r="O143" s="12"/>
      <c r="P143" s="8">
        <v>78700.479999999996</v>
      </c>
      <c r="Q143" s="3"/>
      <c r="R143" s="7">
        <f t="shared" si="20"/>
        <v>1.1813937604079856E-2</v>
      </c>
      <c r="S143" s="3"/>
      <c r="T143" s="8">
        <v>152232.04999999999</v>
      </c>
      <c r="U143" s="3"/>
      <c r="V143" s="7">
        <f t="shared" si="21"/>
        <v>3.2371618660058776E-2</v>
      </c>
      <c r="W143" s="3"/>
      <c r="X143" s="8">
        <f t="shared" si="22"/>
        <v>-73531.569999999992</v>
      </c>
      <c r="Y143" s="3"/>
      <c r="Z143" s="7">
        <f t="shared" si="23"/>
        <v>-0.48302292454184254</v>
      </c>
    </row>
    <row r="144" spans="1:26" s="69" customFormat="1" ht="15" hidden="1" customHeight="1" outlineLevel="2" x14ac:dyDescent="0.3">
      <c r="A144" s="26"/>
      <c r="B144" s="12" t="str">
        <f>CONCATENATE("          ","6006"," - ","TEMPORARY PART TIME")</f>
        <v xml:space="preserve">          6006 - TEMPORARY PART TIME</v>
      </c>
      <c r="C144" s="12"/>
      <c r="D144" s="8">
        <v>2482.0300000000002</v>
      </c>
      <c r="E144" s="3"/>
      <c r="F144" s="7">
        <f t="shared" si="16"/>
        <v>2.8417032752890595E-3</v>
      </c>
      <c r="G144" s="3"/>
      <c r="H144" s="8">
        <v>2893.47</v>
      </c>
      <c r="I144" s="3"/>
      <c r="J144" s="7">
        <f t="shared" si="17"/>
        <v>6.5990717962052291E-3</v>
      </c>
      <c r="K144" s="3"/>
      <c r="L144" s="8">
        <f t="shared" si="18"/>
        <v>-411.4399999999996</v>
      </c>
      <c r="M144" s="3"/>
      <c r="N144" s="7">
        <f t="shared" si="19"/>
        <v>-0.14219604834333849</v>
      </c>
      <c r="O144" s="12"/>
      <c r="P144" s="8">
        <v>17834.14</v>
      </c>
      <c r="Q144" s="3"/>
      <c r="R144" s="7">
        <f t="shared" si="20"/>
        <v>2.6771300147397413E-3</v>
      </c>
      <c r="S144" s="3"/>
      <c r="T144" s="8">
        <v>16946.759999999998</v>
      </c>
      <c r="U144" s="3"/>
      <c r="V144" s="7">
        <f t="shared" si="21"/>
        <v>3.6036698726945979E-3</v>
      </c>
      <c r="W144" s="3"/>
      <c r="X144" s="8">
        <f t="shared" si="22"/>
        <v>887.38000000000102</v>
      </c>
      <c r="Y144" s="3"/>
      <c r="Z144" s="7">
        <f t="shared" si="23"/>
        <v>5.2362811534476271E-2</v>
      </c>
    </row>
    <row r="145" spans="1:26" s="69" customFormat="1" ht="15" hidden="1" customHeight="1" outlineLevel="2" x14ac:dyDescent="0.3">
      <c r="A145" s="26"/>
      <c r="B145" s="12" t="str">
        <f>CONCATENATE("          ","6007"," - ","STUDENT HOURLY")</f>
        <v xml:space="preserve">          6007 - STUDENT HOURLY</v>
      </c>
      <c r="C145" s="12"/>
      <c r="D145" s="8">
        <v>62645.36</v>
      </c>
      <c r="E145" s="3"/>
      <c r="F145" s="7">
        <f t="shared" si="16"/>
        <v>7.1723357370242186E-2</v>
      </c>
      <c r="G145" s="3"/>
      <c r="H145" s="8">
        <v>14809.4</v>
      </c>
      <c r="I145" s="3"/>
      <c r="J145" s="7">
        <f t="shared" si="17"/>
        <v>3.3775464704566396E-2</v>
      </c>
      <c r="K145" s="3"/>
      <c r="L145" s="8">
        <f t="shared" si="18"/>
        <v>47835.96</v>
      </c>
      <c r="M145" s="3"/>
      <c r="N145" s="7">
        <f t="shared" si="19"/>
        <v>3.2301079044390724</v>
      </c>
      <c r="O145" s="12"/>
      <c r="P145" s="8">
        <v>620858.54</v>
      </c>
      <c r="Q145" s="3"/>
      <c r="R145" s="7">
        <f t="shared" si="20"/>
        <v>9.3198720675148589E-2</v>
      </c>
      <c r="S145" s="3"/>
      <c r="T145" s="8">
        <v>268019.38</v>
      </c>
      <c r="U145" s="3"/>
      <c r="V145" s="7">
        <f t="shared" si="21"/>
        <v>5.6993393722710728E-2</v>
      </c>
      <c r="W145" s="3"/>
      <c r="X145" s="8">
        <f t="shared" si="22"/>
        <v>352839.16000000003</v>
      </c>
      <c r="Y145" s="3"/>
      <c r="Z145" s="7">
        <f t="shared" si="23"/>
        <v>1.3164688314703215</v>
      </c>
    </row>
    <row r="146" spans="1:26" s="69" customFormat="1" ht="15" hidden="1" customHeight="1" outlineLevel="2" x14ac:dyDescent="0.3">
      <c r="A146" s="26"/>
      <c r="B146" s="12" t="str">
        <f>CONCATENATE("          ","6008"," - ","STUDENT HOURLY-FICA EXEMPT")</f>
        <v xml:space="preserve">          6008 - STUDENT HOURLY-FICA EXEMPT</v>
      </c>
      <c r="C146" s="12"/>
      <c r="D146" s="8">
        <v>18858.04</v>
      </c>
      <c r="E146" s="3"/>
      <c r="F146" s="7">
        <f t="shared" si="16"/>
        <v>2.159077611210666E-2</v>
      </c>
      <c r="G146" s="3"/>
      <c r="H146" s="8">
        <v>1590.33</v>
      </c>
      <c r="I146" s="3"/>
      <c r="J146" s="7">
        <f t="shared" si="17"/>
        <v>3.6270297772774776E-3</v>
      </c>
      <c r="K146" s="3"/>
      <c r="L146" s="8">
        <f t="shared" si="18"/>
        <v>17267.71</v>
      </c>
      <c r="M146" s="3"/>
      <c r="N146" s="7">
        <f t="shared" si="19"/>
        <v>10.857941433538951</v>
      </c>
      <c r="O146" s="12"/>
      <c r="P146" s="8">
        <v>106980.81</v>
      </c>
      <c r="Q146" s="3"/>
      <c r="R146" s="7">
        <f t="shared" si="20"/>
        <v>1.6059172881460471E-2</v>
      </c>
      <c r="S146" s="3"/>
      <c r="T146" s="8">
        <v>10001.950000000001</v>
      </c>
      <c r="U146" s="3"/>
      <c r="V146" s="7">
        <f t="shared" si="21"/>
        <v>2.1268800574975829E-3</v>
      </c>
      <c r="W146" s="3"/>
      <c r="X146" s="8">
        <f t="shared" si="22"/>
        <v>96978.86</v>
      </c>
      <c r="Y146" s="3"/>
      <c r="Z146" s="7">
        <f t="shared" si="23"/>
        <v>9.6959952809202203</v>
      </c>
    </row>
    <row r="147" spans="1:26" s="68" customFormat="1" ht="15" customHeight="1" outlineLevel="1" collapsed="1" x14ac:dyDescent="0.3">
      <c r="A147" s="25"/>
      <c r="B147" s="14" t="str">
        <f>CONCATENATE("     ","Advertising/Promo                                 ")</f>
        <v xml:space="preserve">     Advertising/Promo                                 </v>
      </c>
      <c r="C147" s="14"/>
      <c r="D147" s="2">
        <f>SUM(OSRRefD22_2x_0)</f>
        <v>3210.66</v>
      </c>
      <c r="E147" s="2"/>
      <c r="F147" s="6">
        <f t="shared" si="16"/>
        <v>3.6759197261272305E-3</v>
      </c>
      <c r="G147" s="2"/>
      <c r="H147" s="2">
        <f>SUM(OSRRefH22_2x_0)</f>
        <v>1313.83</v>
      </c>
      <c r="I147" s="2"/>
      <c r="J147" s="6">
        <f t="shared" si="17"/>
        <v>2.9964224609234989E-3</v>
      </c>
      <c r="K147" s="2"/>
      <c r="L147" s="2">
        <f t="shared" si="18"/>
        <v>1896.83</v>
      </c>
      <c r="M147" s="2"/>
      <c r="N147" s="6">
        <f t="shared" si="19"/>
        <v>1.4437408188273977</v>
      </c>
      <c r="O147" s="14"/>
      <c r="P147" s="2">
        <f>SUM(OSRRefP22_2x_0)</f>
        <v>12210.28</v>
      </c>
      <c r="Q147" s="2"/>
      <c r="R147" s="6">
        <f t="shared" si="20"/>
        <v>1.8329174872674752E-3</v>
      </c>
      <c r="S147" s="2"/>
      <c r="T147" s="2">
        <f>SUM(OSRRefT22_2x_0)</f>
        <v>17536.05</v>
      </c>
      <c r="U147" s="2"/>
      <c r="V147" s="6">
        <f t="shared" si="21"/>
        <v>3.7289803520593971E-3</v>
      </c>
      <c r="W147" s="2"/>
      <c r="X147" s="2">
        <f t="shared" si="22"/>
        <v>-5325.7699999999986</v>
      </c>
      <c r="Y147" s="2"/>
      <c r="Z147" s="6">
        <f t="shared" si="23"/>
        <v>-0.30370408387293596</v>
      </c>
    </row>
    <row r="148" spans="1:26" s="69" customFormat="1" ht="15" hidden="1" customHeight="1" outlineLevel="2" x14ac:dyDescent="0.3">
      <c r="A148" s="26"/>
      <c r="B148" s="12" t="str">
        <f>CONCATENATE("          ","6362"," - ","ADVERTISING EXPENSE")</f>
        <v xml:space="preserve">          6362 - ADVERTISING EXPENSE</v>
      </c>
      <c r="C148" s="12"/>
      <c r="D148" s="8">
        <v>3210.66</v>
      </c>
      <c r="E148" s="3"/>
      <c r="F148" s="7">
        <f t="shared" si="16"/>
        <v>3.6759197261272305E-3</v>
      </c>
      <c r="G148" s="3"/>
      <c r="H148" s="8">
        <v>1313.83</v>
      </c>
      <c r="I148" s="3"/>
      <c r="J148" s="7">
        <f t="shared" si="17"/>
        <v>2.9964224609234989E-3</v>
      </c>
      <c r="K148" s="3"/>
      <c r="L148" s="8">
        <f t="shared" si="18"/>
        <v>1896.83</v>
      </c>
      <c r="M148" s="3"/>
      <c r="N148" s="7">
        <f t="shared" si="19"/>
        <v>1.4437408188273977</v>
      </c>
      <c r="O148" s="12"/>
      <c r="P148" s="8">
        <v>12210.28</v>
      </c>
      <c r="Q148" s="3"/>
      <c r="R148" s="7">
        <f t="shared" si="20"/>
        <v>1.8329174872674752E-3</v>
      </c>
      <c r="S148" s="3"/>
      <c r="T148" s="8">
        <v>17536.05</v>
      </c>
      <c r="U148" s="3"/>
      <c r="V148" s="7">
        <f t="shared" si="21"/>
        <v>3.7289803520593971E-3</v>
      </c>
      <c r="W148" s="3"/>
      <c r="X148" s="8">
        <f t="shared" si="22"/>
        <v>-5325.7699999999986</v>
      </c>
      <c r="Y148" s="3"/>
      <c r="Z148" s="7">
        <f t="shared" si="23"/>
        <v>-0.30370408387293596</v>
      </c>
    </row>
    <row r="149" spans="1:26" s="68" customFormat="1" ht="15" customHeight="1" outlineLevel="1" collapsed="1" x14ac:dyDescent="0.3">
      <c r="A149" s="25"/>
      <c r="B149" s="14" t="str">
        <f>CONCATENATE("     ","Bad Debts/Over/Short                              ")</f>
        <v xml:space="preserve">     Bad Debts/Over/Short                              </v>
      </c>
      <c r="C149" s="14"/>
      <c r="D149" s="2">
        <f>SUM(OSRRefD22_3x_0)</f>
        <v>-46.29</v>
      </c>
      <c r="E149" s="2"/>
      <c r="F149" s="6">
        <f t="shared" si="16"/>
        <v>-5.29979269441266E-5</v>
      </c>
      <c r="G149" s="2"/>
      <c r="H149" s="2">
        <f>SUM(OSRRefH22_3x_0)</f>
        <v>-1.25</v>
      </c>
      <c r="I149" s="2"/>
      <c r="J149" s="6">
        <f t="shared" si="17"/>
        <v>-2.8508468189601196E-6</v>
      </c>
      <c r="K149" s="2"/>
      <c r="L149" s="2">
        <f t="shared" si="18"/>
        <v>-45.04</v>
      </c>
      <c r="M149" s="2"/>
      <c r="N149" s="6">
        <f t="shared" si="19"/>
        <v>36.031999999999996</v>
      </c>
      <c r="O149" s="14"/>
      <c r="P149" s="2">
        <f>SUM(OSRRefP22_3x_0)</f>
        <v>6.76</v>
      </c>
      <c r="Q149" s="2"/>
      <c r="R149" s="6">
        <f t="shared" si="20"/>
        <v>1.0147615135711984E-6</v>
      </c>
      <c r="S149" s="2"/>
      <c r="T149" s="2">
        <f>SUM(OSRRefT22_3x_0)</f>
        <v>5182.7</v>
      </c>
      <c r="U149" s="2"/>
      <c r="V149" s="6">
        <f t="shared" si="21"/>
        <v>1.1020832211711439E-3</v>
      </c>
      <c r="W149" s="2"/>
      <c r="X149" s="2">
        <f t="shared" si="22"/>
        <v>-5175.9399999999996</v>
      </c>
      <c r="Y149" s="2"/>
      <c r="Z149" s="6">
        <f t="shared" si="23"/>
        <v>-0.99869566056302694</v>
      </c>
    </row>
    <row r="150" spans="1:26" s="69" customFormat="1" ht="15" hidden="1" customHeight="1" outlineLevel="2" x14ac:dyDescent="0.3">
      <c r="A150" s="26"/>
      <c r="B150" s="12" t="str">
        <f>CONCATENATE("          ","6272"," - ","CASH (OVER/SHORT)")</f>
        <v xml:space="preserve">          6272 - CASH (OVER/SHORT)</v>
      </c>
      <c r="C150" s="12"/>
      <c r="D150" s="8">
        <v>-46.29</v>
      </c>
      <c r="E150" s="3"/>
      <c r="F150" s="7">
        <f t="shared" si="16"/>
        <v>-5.29979269441266E-5</v>
      </c>
      <c r="G150" s="3"/>
      <c r="H150" s="8">
        <v>-1.25</v>
      </c>
      <c r="I150" s="3"/>
      <c r="J150" s="7">
        <f t="shared" si="17"/>
        <v>-2.8508468189601196E-6</v>
      </c>
      <c r="K150" s="3"/>
      <c r="L150" s="8">
        <f t="shared" si="18"/>
        <v>-45.04</v>
      </c>
      <c r="M150" s="3"/>
      <c r="N150" s="7">
        <f t="shared" si="19"/>
        <v>36.031999999999996</v>
      </c>
      <c r="O150" s="12"/>
      <c r="P150" s="8">
        <v>6.76</v>
      </c>
      <c r="Q150" s="3"/>
      <c r="R150" s="7">
        <f t="shared" si="20"/>
        <v>1.0147615135711984E-6</v>
      </c>
      <c r="S150" s="3"/>
      <c r="T150" s="8">
        <v>-166.72</v>
      </c>
      <c r="U150" s="3"/>
      <c r="V150" s="7">
        <f t="shared" si="21"/>
        <v>-3.5452431094536268E-5</v>
      </c>
      <c r="W150" s="3"/>
      <c r="X150" s="8">
        <f t="shared" si="22"/>
        <v>173.48</v>
      </c>
      <c r="Y150" s="3"/>
      <c r="Z150" s="7">
        <f t="shared" si="23"/>
        <v>-1.0405470249520152</v>
      </c>
    </row>
    <row r="151" spans="1:26" s="69" customFormat="1" ht="15" hidden="1" customHeight="1" outlineLevel="2" x14ac:dyDescent="0.3">
      <c r="A151" s="26"/>
      <c r="B151" s="12" t="str">
        <f>CONCATENATE("          ","6342"," - ","BAD DEBT")</f>
        <v xml:space="preserve">          6342 - BAD DEBT</v>
      </c>
      <c r="C151" s="12"/>
      <c r="D151" s="8"/>
      <c r="E151" s="3"/>
      <c r="F151" s="7">
        <f t="shared" si="16"/>
        <v>0</v>
      </c>
      <c r="G151" s="3"/>
      <c r="H151" s="8"/>
      <c r="I151" s="3"/>
      <c r="J151" s="7">
        <f t="shared" si="17"/>
        <v>0</v>
      </c>
      <c r="K151" s="3"/>
      <c r="L151" s="8">
        <f t="shared" si="18"/>
        <v>0</v>
      </c>
      <c r="M151" s="3"/>
      <c r="N151" s="7">
        <f t="shared" si="19"/>
        <v>0</v>
      </c>
      <c r="O151" s="12"/>
      <c r="P151" s="8"/>
      <c r="Q151" s="3"/>
      <c r="R151" s="7">
        <f t="shared" si="20"/>
        <v>0</v>
      </c>
      <c r="S151" s="3"/>
      <c r="T151" s="8">
        <v>5349.42</v>
      </c>
      <c r="U151" s="3"/>
      <c r="V151" s="7">
        <f t="shared" si="21"/>
        <v>1.1375356522656803E-3</v>
      </c>
      <c r="W151" s="3"/>
      <c r="X151" s="8">
        <f t="shared" si="22"/>
        <v>-5349.42</v>
      </c>
      <c r="Y151" s="3"/>
      <c r="Z151" s="7">
        <f t="shared" si="23"/>
        <v>-1</v>
      </c>
    </row>
    <row r="152" spans="1:26" s="68" customFormat="1" ht="15" customHeight="1" outlineLevel="1" collapsed="1" x14ac:dyDescent="0.3">
      <c r="A152" s="25"/>
      <c r="B152" s="14" t="str">
        <f>CONCATENATE("     ","Bank/card Fees                                    ")</f>
        <v xml:space="preserve">     Bank/card Fees                                    </v>
      </c>
      <c r="C152" s="14"/>
      <c r="D152" s="2">
        <f>SUM(OSRRefD22_4x_0)</f>
        <v>15412.52</v>
      </c>
      <c r="E152" s="2"/>
      <c r="F152" s="6">
        <f t="shared" si="16"/>
        <v>1.7645962604987905E-2</v>
      </c>
      <c r="G152" s="2"/>
      <c r="H152" s="2">
        <f>SUM(OSRRefH22_4x_0)</f>
        <v>5310.85</v>
      </c>
      <c r="I152" s="2"/>
      <c r="J152" s="6">
        <f t="shared" si="17"/>
        <v>1.2112335862779482E-2</v>
      </c>
      <c r="K152" s="2"/>
      <c r="L152" s="2">
        <f t="shared" si="18"/>
        <v>10101.67</v>
      </c>
      <c r="M152" s="2"/>
      <c r="N152" s="6">
        <f t="shared" si="19"/>
        <v>1.9020815876931187</v>
      </c>
      <c r="O152" s="14"/>
      <c r="P152" s="2">
        <f>SUM(OSRRefP22_4x_0)</f>
        <v>126779.94</v>
      </c>
      <c r="Q152" s="2"/>
      <c r="R152" s="6">
        <f t="shared" si="20"/>
        <v>1.9031272752199069E-2</v>
      </c>
      <c r="S152" s="2"/>
      <c r="T152" s="2">
        <f>SUM(OSRRefT22_4x_0)</f>
        <v>74635.86</v>
      </c>
      <c r="U152" s="2"/>
      <c r="V152" s="6">
        <f t="shared" si="21"/>
        <v>1.5871057364632051E-2</v>
      </c>
      <c r="W152" s="2"/>
      <c r="X152" s="2">
        <f t="shared" si="22"/>
        <v>52144.08</v>
      </c>
      <c r="Y152" s="2"/>
      <c r="Z152" s="6">
        <f t="shared" si="23"/>
        <v>0.69864646833305066</v>
      </c>
    </row>
    <row r="153" spans="1:26" s="69" customFormat="1" ht="15" hidden="1" customHeight="1" outlineLevel="2" x14ac:dyDescent="0.3">
      <c r="A153" s="26"/>
      <c r="B153" s="12" t="str">
        <f>CONCATENATE("          ","6381"," - ","BANK/CREDIT CARD FEES")</f>
        <v xml:space="preserve">          6381 - BANK/CREDIT CARD FEES</v>
      </c>
      <c r="C153" s="12"/>
      <c r="D153" s="8">
        <v>15412.52</v>
      </c>
      <c r="E153" s="3"/>
      <c r="F153" s="7">
        <f t="shared" si="16"/>
        <v>1.7645962604987905E-2</v>
      </c>
      <c r="G153" s="3"/>
      <c r="H153" s="8">
        <v>5310.85</v>
      </c>
      <c r="I153" s="3"/>
      <c r="J153" s="7">
        <f t="shared" si="17"/>
        <v>1.2112335862779482E-2</v>
      </c>
      <c r="K153" s="3"/>
      <c r="L153" s="8">
        <f t="shared" si="18"/>
        <v>10101.67</v>
      </c>
      <c r="M153" s="3"/>
      <c r="N153" s="7">
        <f t="shared" si="19"/>
        <v>1.9020815876931187</v>
      </c>
      <c r="O153" s="12"/>
      <c r="P153" s="8">
        <v>126779.94</v>
      </c>
      <c r="Q153" s="3"/>
      <c r="R153" s="7">
        <f t="shared" si="20"/>
        <v>1.9031272752199069E-2</v>
      </c>
      <c r="S153" s="3"/>
      <c r="T153" s="8">
        <v>74635.86</v>
      </c>
      <c r="U153" s="3"/>
      <c r="V153" s="7">
        <f t="shared" si="21"/>
        <v>1.5871057364632051E-2</v>
      </c>
      <c r="W153" s="3"/>
      <c r="X153" s="8">
        <f t="shared" si="22"/>
        <v>52144.08</v>
      </c>
      <c r="Y153" s="3"/>
      <c r="Z153" s="7">
        <f t="shared" si="23"/>
        <v>0.69864646833305066</v>
      </c>
    </row>
    <row r="154" spans="1:26" s="68" customFormat="1" ht="15" customHeight="1" outlineLevel="1" collapsed="1" x14ac:dyDescent="0.3">
      <c r="A154" s="25"/>
      <c r="B154" s="14" t="str">
        <f>CONCATENATE("     ","Depreciation                                      ")</f>
        <v xml:space="preserve">     Depreciation                                      </v>
      </c>
      <c r="C154" s="14"/>
      <c r="D154" s="2">
        <f>SUM(OSRRefD22_5x_0)</f>
        <v>16380.05</v>
      </c>
      <c r="E154" s="2"/>
      <c r="F154" s="6">
        <f t="shared" si="16"/>
        <v>1.8753698276974311E-2</v>
      </c>
      <c r="G154" s="2"/>
      <c r="H154" s="2">
        <f>SUM(OSRRefH22_5x_0)</f>
        <v>30735.85</v>
      </c>
      <c r="I154" s="2"/>
      <c r="J154" s="6">
        <f t="shared" si="17"/>
        <v>7.0098560160428314E-2</v>
      </c>
      <c r="K154" s="2"/>
      <c r="L154" s="2">
        <f t="shared" si="18"/>
        <v>-14355.8</v>
      </c>
      <c r="M154" s="2"/>
      <c r="N154" s="6">
        <f t="shared" si="19"/>
        <v>-0.46707021279710825</v>
      </c>
      <c r="O154" s="14"/>
      <c r="P154" s="2">
        <f>SUM(OSRRefP22_5x_0)</f>
        <v>283816.62</v>
      </c>
      <c r="Q154" s="2"/>
      <c r="R154" s="6">
        <f t="shared" si="20"/>
        <v>4.2604464924239888E-2</v>
      </c>
      <c r="S154" s="2"/>
      <c r="T154" s="2">
        <f>SUM(OSRRefT22_5x_0)</f>
        <v>307653.99</v>
      </c>
      <c r="U154" s="2"/>
      <c r="V154" s="6">
        <f t="shared" si="21"/>
        <v>6.5421556390559923E-2</v>
      </c>
      <c r="W154" s="2"/>
      <c r="X154" s="2">
        <f t="shared" si="22"/>
        <v>-23837.369999999995</v>
      </c>
      <c r="Y154" s="2"/>
      <c r="Z154" s="6">
        <f t="shared" si="23"/>
        <v>-7.7481101415261988E-2</v>
      </c>
    </row>
    <row r="155" spans="1:26" s="69" customFormat="1" ht="15" hidden="1" customHeight="1" outlineLevel="2" x14ac:dyDescent="0.3">
      <c r="A155" s="26"/>
      <c r="B155" s="12" t="str">
        <f>CONCATENATE("          ","6321"," - ","BUILDING DEPRECIATION")</f>
        <v xml:space="preserve">          6321 - BUILDING DEPRECIATION</v>
      </c>
      <c r="C155" s="12"/>
      <c r="D155" s="8">
        <v>13321.71</v>
      </c>
      <c r="E155" s="3"/>
      <c r="F155" s="7">
        <f t="shared" si="16"/>
        <v>1.5252171383686342E-2</v>
      </c>
      <c r="G155" s="3"/>
      <c r="H155" s="8">
        <v>16396.52</v>
      </c>
      <c r="I155" s="3"/>
      <c r="J155" s="7">
        <f t="shared" si="17"/>
        <v>3.7395173507212782E-2</v>
      </c>
      <c r="K155" s="3"/>
      <c r="L155" s="8">
        <f t="shared" si="18"/>
        <v>-3074.8100000000013</v>
      </c>
      <c r="M155" s="3"/>
      <c r="N155" s="7">
        <f t="shared" si="19"/>
        <v>-0.18752820720494356</v>
      </c>
      <c r="O155" s="12"/>
      <c r="P155" s="8">
        <v>152475.84</v>
      </c>
      <c r="Q155" s="3"/>
      <c r="R155" s="7">
        <f t="shared" si="20"/>
        <v>2.2888552393704121E-2</v>
      </c>
      <c r="S155" s="3"/>
      <c r="T155" s="8">
        <v>163965.20000000001</v>
      </c>
      <c r="U155" s="3"/>
      <c r="V155" s="7">
        <f t="shared" si="21"/>
        <v>3.4866632407040896E-2</v>
      </c>
      <c r="W155" s="3"/>
      <c r="X155" s="8">
        <f t="shared" si="22"/>
        <v>-11489.360000000015</v>
      </c>
      <c r="Y155" s="3"/>
      <c r="Z155" s="7">
        <f t="shared" si="23"/>
        <v>-7.007194209503001E-2</v>
      </c>
    </row>
    <row r="156" spans="1:26" s="69" customFormat="1" ht="15" hidden="1" customHeight="1" outlineLevel="2" x14ac:dyDescent="0.3">
      <c r="A156" s="26"/>
      <c r="B156" s="12" t="str">
        <f>CONCATENATE("          ","6322"," - ","EQUIPMENT DEPRECIATION EXPENSE")</f>
        <v xml:space="preserve">          6322 - EQUIPMENT DEPRECIATION EXPENSE</v>
      </c>
      <c r="C156" s="12"/>
      <c r="D156" s="8">
        <v>3058.34</v>
      </c>
      <c r="E156" s="3"/>
      <c r="F156" s="7">
        <f t="shared" si="16"/>
        <v>3.5015268932879705E-3</v>
      </c>
      <c r="G156" s="3"/>
      <c r="H156" s="8">
        <v>14339.33</v>
      </c>
      <c r="I156" s="3"/>
      <c r="J156" s="7">
        <f t="shared" si="17"/>
        <v>3.2703386653215531E-2</v>
      </c>
      <c r="K156" s="3"/>
      <c r="L156" s="8">
        <f t="shared" si="18"/>
        <v>-11280.99</v>
      </c>
      <c r="M156" s="3"/>
      <c r="N156" s="7">
        <f t="shared" si="19"/>
        <v>-0.78671667365211628</v>
      </c>
      <c r="O156" s="12"/>
      <c r="P156" s="8">
        <v>131340.78</v>
      </c>
      <c r="Q156" s="3"/>
      <c r="R156" s="7">
        <f t="shared" si="20"/>
        <v>1.9715912530535767E-2</v>
      </c>
      <c r="S156" s="3"/>
      <c r="T156" s="8">
        <v>143688.79</v>
      </c>
      <c r="U156" s="3"/>
      <c r="V156" s="7">
        <f t="shared" si="21"/>
        <v>3.0554923983519028E-2</v>
      </c>
      <c r="W156" s="3"/>
      <c r="X156" s="8">
        <f t="shared" si="22"/>
        <v>-12348.010000000009</v>
      </c>
      <c r="Y156" s="3"/>
      <c r="Z156" s="7">
        <f t="shared" si="23"/>
        <v>-8.5935792207589803E-2</v>
      </c>
    </row>
    <row r="157" spans="1:26" s="68" customFormat="1" ht="15" customHeight="1" outlineLevel="1" collapsed="1" x14ac:dyDescent="0.3">
      <c r="A157" s="25"/>
      <c r="B157" s="14" t="str">
        <f>CONCATENATE("     ","Discounts and Markdowns                           ")</f>
        <v xml:space="preserve">     Discounts and Markdowns                           </v>
      </c>
      <c r="C157" s="14"/>
      <c r="D157" s="2">
        <f>SUM(OSRRefD22_6x_0)</f>
        <v>-50.18</v>
      </c>
      <c r="E157" s="2"/>
      <c r="F157" s="6">
        <f t="shared" si="16"/>
        <v>-5.7451630461358239E-5</v>
      </c>
      <c r="G157" s="2"/>
      <c r="H157" s="2">
        <f>SUM(OSRRefH22_6x_0)</f>
        <v>-15.43</v>
      </c>
      <c r="I157" s="2"/>
      <c r="J157" s="6">
        <f t="shared" si="17"/>
        <v>-3.5190853133243717E-5</v>
      </c>
      <c r="K157" s="2"/>
      <c r="L157" s="2">
        <f t="shared" si="18"/>
        <v>-34.75</v>
      </c>
      <c r="M157" s="2"/>
      <c r="N157" s="6">
        <f t="shared" si="19"/>
        <v>2.2521062864549579</v>
      </c>
      <c r="O157" s="14"/>
      <c r="P157" s="2">
        <f>SUM(OSRRefP22_6x_0)</f>
        <v>2006.6499999999999</v>
      </c>
      <c r="Q157" s="2"/>
      <c r="R157" s="6">
        <f t="shared" si="20"/>
        <v>3.0122354899521375E-4</v>
      </c>
      <c r="S157" s="2"/>
      <c r="T157" s="2">
        <f>SUM(OSRRefT22_6x_0)</f>
        <v>-15.43</v>
      </c>
      <c r="U157" s="2"/>
      <c r="V157" s="6">
        <f t="shared" si="21"/>
        <v>-3.2811361071778706E-6</v>
      </c>
      <c r="W157" s="2"/>
      <c r="X157" s="2">
        <f t="shared" si="22"/>
        <v>2022.08</v>
      </c>
      <c r="Y157" s="2"/>
      <c r="Z157" s="6">
        <f t="shared" si="23"/>
        <v>-131.04860661049904</v>
      </c>
    </row>
    <row r="158" spans="1:26" s="69" customFormat="1" ht="15" hidden="1" customHeight="1" outlineLevel="2" x14ac:dyDescent="0.3">
      <c r="A158" s="26"/>
      <c r="B158" s="12" t="str">
        <f>CONCATENATE("          ","6382"," - ","DISCOUNTS/MARK DOWNS")</f>
        <v xml:space="preserve">          6382 - DISCOUNTS/MARK DOWNS</v>
      </c>
      <c r="C158" s="12"/>
      <c r="D158" s="8"/>
      <c r="E158" s="3"/>
      <c r="F158" s="7">
        <f t="shared" si="16"/>
        <v>0</v>
      </c>
      <c r="G158" s="3"/>
      <c r="H158" s="8">
        <v>0</v>
      </c>
      <c r="I158" s="3"/>
      <c r="J158" s="7">
        <f t="shared" si="17"/>
        <v>0</v>
      </c>
      <c r="K158" s="3"/>
      <c r="L158" s="8">
        <f t="shared" si="18"/>
        <v>0</v>
      </c>
      <c r="M158" s="3"/>
      <c r="N158" s="7">
        <f t="shared" si="19"/>
        <v>0</v>
      </c>
      <c r="O158" s="12"/>
      <c r="P158" s="8">
        <v>2171.35</v>
      </c>
      <c r="Q158" s="3"/>
      <c r="R158" s="7">
        <f t="shared" si="20"/>
        <v>3.2594710243976651E-4</v>
      </c>
      <c r="S158" s="3"/>
      <c r="T158" s="8">
        <v>0</v>
      </c>
      <c r="U158" s="3"/>
      <c r="V158" s="7">
        <f t="shared" si="21"/>
        <v>0</v>
      </c>
      <c r="W158" s="3"/>
      <c r="X158" s="8">
        <f t="shared" si="22"/>
        <v>2171.35</v>
      </c>
      <c r="Y158" s="3"/>
      <c r="Z158" s="7">
        <f t="shared" si="23"/>
        <v>0</v>
      </c>
    </row>
    <row r="159" spans="1:26" s="69" customFormat="1" ht="15" hidden="1" customHeight="1" outlineLevel="2" x14ac:dyDescent="0.3">
      <c r="A159" s="26"/>
      <c r="B159" s="12" t="str">
        <f>CONCATENATE("          ","9175"," - ","EARNED DISCOUNTS")</f>
        <v xml:space="preserve">          9175 - EARNED DISCOUNTS</v>
      </c>
      <c r="C159" s="12"/>
      <c r="D159" s="8">
        <v>-50.18</v>
      </c>
      <c r="E159" s="3"/>
      <c r="F159" s="7">
        <f t="shared" ref="F159:F190" si="24">IF(D$12=0,0,D159/D$12)</f>
        <v>-5.7451630461358239E-5</v>
      </c>
      <c r="G159" s="3"/>
      <c r="H159" s="8">
        <v>-15.43</v>
      </c>
      <c r="I159" s="3"/>
      <c r="J159" s="7">
        <f t="shared" ref="J159:J190" si="25">IF(H$12=0,0,H159/H$12)</f>
        <v>-3.5190853133243717E-5</v>
      </c>
      <c r="K159" s="3"/>
      <c r="L159" s="8">
        <f t="shared" ref="L159:L190" si="26">+D159-H159</f>
        <v>-34.75</v>
      </c>
      <c r="M159" s="3"/>
      <c r="N159" s="7">
        <f t="shared" ref="N159:N190" si="27">IF(H159=0,0,L159/H159)</f>
        <v>2.2521062864549579</v>
      </c>
      <c r="O159" s="12"/>
      <c r="P159" s="8">
        <v>-164.7</v>
      </c>
      <c r="Q159" s="3"/>
      <c r="R159" s="7">
        <f t="shared" ref="R159:R190" si="28">IF(P$12=0,0,P159/P$12)</f>
        <v>-2.4723553444552716E-5</v>
      </c>
      <c r="S159" s="3"/>
      <c r="T159" s="8">
        <v>-15.43</v>
      </c>
      <c r="U159" s="3"/>
      <c r="V159" s="7">
        <f t="shared" ref="V159:V190" si="29">IF(T$12=0,0,T159/T$12)</f>
        <v>-3.2811361071778706E-6</v>
      </c>
      <c r="W159" s="3"/>
      <c r="X159" s="8">
        <f t="shared" ref="X159:X190" si="30">+P159-T159</f>
        <v>-149.26999999999998</v>
      </c>
      <c r="Y159" s="3"/>
      <c r="Z159" s="7">
        <f t="shared" ref="Z159:Z190" si="31">IF(T159=0,0,X159/T159)</f>
        <v>9.6740116655865194</v>
      </c>
    </row>
    <row r="160" spans="1:26" s="68" customFormat="1" ht="15" customHeight="1" outlineLevel="1" collapsed="1" x14ac:dyDescent="0.3">
      <c r="A160" s="25"/>
      <c r="B160" s="14" t="str">
        <f>CONCATENATE("     ","Donations                                         ")</f>
        <v xml:space="preserve">     Donations                                         </v>
      </c>
      <c r="C160" s="14"/>
      <c r="D160" s="2">
        <f>SUM(OSRRefD22_7x_0)</f>
        <v>1488.53</v>
      </c>
      <c r="E160" s="2"/>
      <c r="F160" s="6">
        <f t="shared" si="24"/>
        <v>1.7042342664536783E-3</v>
      </c>
      <c r="G160" s="2"/>
      <c r="H160" s="2">
        <f>SUM(OSRRefH22_7x_0)</f>
        <v>360.9</v>
      </c>
      <c r="I160" s="2"/>
      <c r="J160" s="6">
        <f t="shared" si="25"/>
        <v>8.2309649357016569E-4</v>
      </c>
      <c r="K160" s="2"/>
      <c r="L160" s="2">
        <f t="shared" si="26"/>
        <v>1127.6300000000001</v>
      </c>
      <c r="M160" s="2"/>
      <c r="N160" s="6">
        <f t="shared" si="27"/>
        <v>3.1244943197561654</v>
      </c>
      <c r="O160" s="14"/>
      <c r="P160" s="2">
        <f>SUM(OSRRefP22_7x_0)</f>
        <v>7306.8</v>
      </c>
      <c r="Q160" s="2"/>
      <c r="R160" s="6">
        <f t="shared" si="28"/>
        <v>1.0968431105565137E-3</v>
      </c>
      <c r="S160" s="2"/>
      <c r="T160" s="2">
        <f>SUM(OSRRefT22_7x_0)</f>
        <v>360.9</v>
      </c>
      <c r="U160" s="2"/>
      <c r="V160" s="6">
        <f t="shared" si="29"/>
        <v>7.6744136168534899E-5</v>
      </c>
      <c r="W160" s="2"/>
      <c r="X160" s="2">
        <f t="shared" si="30"/>
        <v>6945.9000000000005</v>
      </c>
      <c r="Y160" s="2"/>
      <c r="Z160" s="6">
        <f t="shared" si="31"/>
        <v>19.246051537822115</v>
      </c>
    </row>
    <row r="161" spans="1:26" s="69" customFormat="1" ht="15" hidden="1" customHeight="1" outlineLevel="2" x14ac:dyDescent="0.3">
      <c r="A161" s="26"/>
      <c r="B161" s="12" t="str">
        <f>CONCATENATE("          ","6399"," - ","DONATION-ON CAMPUS")</f>
        <v xml:space="preserve">          6399 - DONATION-ON CAMPUS</v>
      </c>
      <c r="C161" s="12"/>
      <c r="D161" s="8">
        <v>1488.53</v>
      </c>
      <c r="E161" s="3"/>
      <c r="F161" s="7">
        <f t="shared" si="24"/>
        <v>1.7042342664536783E-3</v>
      </c>
      <c r="G161" s="3"/>
      <c r="H161" s="8">
        <v>360.9</v>
      </c>
      <c r="I161" s="3"/>
      <c r="J161" s="7">
        <f t="shared" si="25"/>
        <v>8.2309649357016569E-4</v>
      </c>
      <c r="K161" s="3"/>
      <c r="L161" s="8">
        <f t="shared" si="26"/>
        <v>1127.6300000000001</v>
      </c>
      <c r="M161" s="3"/>
      <c r="N161" s="7">
        <f t="shared" si="27"/>
        <v>3.1244943197561654</v>
      </c>
      <c r="O161" s="12"/>
      <c r="P161" s="8">
        <v>7306.8</v>
      </c>
      <c r="Q161" s="3"/>
      <c r="R161" s="7">
        <f t="shared" si="28"/>
        <v>1.0968431105565137E-3</v>
      </c>
      <c r="S161" s="3"/>
      <c r="T161" s="8">
        <v>360.9</v>
      </c>
      <c r="U161" s="3"/>
      <c r="V161" s="7">
        <f t="shared" si="29"/>
        <v>7.6744136168534899E-5</v>
      </c>
      <c r="W161" s="3"/>
      <c r="X161" s="8">
        <f t="shared" si="30"/>
        <v>6945.9000000000005</v>
      </c>
      <c r="Y161" s="3"/>
      <c r="Z161" s="7">
        <f t="shared" si="31"/>
        <v>19.246051537822115</v>
      </c>
    </row>
    <row r="162" spans="1:26" s="68" customFormat="1" ht="15" customHeight="1" outlineLevel="1" collapsed="1" x14ac:dyDescent="0.3">
      <c r="A162" s="25"/>
      <c r="B162" s="14" t="str">
        <f>CONCATENATE("     ","Employees' Appreciation                           ")</f>
        <v xml:space="preserve">     Employees' Appreciation                           </v>
      </c>
      <c r="C162" s="14"/>
      <c r="D162" s="2">
        <f>SUM(OSRRefD22_8x_0)</f>
        <v>0</v>
      </c>
      <c r="E162" s="2"/>
      <c r="F162" s="6">
        <f t="shared" si="24"/>
        <v>0</v>
      </c>
      <c r="G162" s="2"/>
      <c r="H162" s="2">
        <f>SUM(OSRRefH22_8x_0)</f>
        <v>0</v>
      </c>
      <c r="I162" s="2"/>
      <c r="J162" s="6">
        <f t="shared" si="25"/>
        <v>0</v>
      </c>
      <c r="K162" s="2"/>
      <c r="L162" s="2">
        <f t="shared" si="26"/>
        <v>0</v>
      </c>
      <c r="M162" s="2"/>
      <c r="N162" s="6">
        <f t="shared" si="27"/>
        <v>0</v>
      </c>
      <c r="O162" s="14"/>
      <c r="P162" s="2">
        <f>SUM(OSRRefP22_8x_0)</f>
        <v>4319.88</v>
      </c>
      <c r="Q162" s="2"/>
      <c r="R162" s="6">
        <f t="shared" si="28"/>
        <v>6.4846863420798054E-4</v>
      </c>
      <c r="S162" s="2"/>
      <c r="T162" s="2">
        <f>SUM(OSRRefT22_8x_0)</f>
        <v>186.03</v>
      </c>
      <c r="U162" s="2"/>
      <c r="V162" s="6">
        <f t="shared" si="29"/>
        <v>3.9558635775651285E-5</v>
      </c>
      <c r="W162" s="2"/>
      <c r="X162" s="2">
        <f t="shared" si="30"/>
        <v>4133.8500000000004</v>
      </c>
      <c r="Y162" s="2"/>
      <c r="Z162" s="6">
        <f t="shared" si="31"/>
        <v>22.221415900661185</v>
      </c>
    </row>
    <row r="163" spans="1:26" s="69" customFormat="1" ht="15" hidden="1" customHeight="1" outlineLevel="2" x14ac:dyDescent="0.3">
      <c r="A163" s="26"/>
      <c r="B163" s="12" t="str">
        <f>CONCATENATE("          ","6277"," - ","EMPLOYEE APPRECIATION")</f>
        <v xml:space="preserve">          6277 - EMPLOYEE APPRECIATION</v>
      </c>
      <c r="C163" s="12"/>
      <c r="D163" s="8"/>
      <c r="E163" s="3"/>
      <c r="F163" s="7">
        <f t="shared" si="24"/>
        <v>0</v>
      </c>
      <c r="G163" s="3"/>
      <c r="H163" s="8"/>
      <c r="I163" s="3"/>
      <c r="J163" s="7">
        <f t="shared" si="25"/>
        <v>0</v>
      </c>
      <c r="K163" s="3"/>
      <c r="L163" s="8">
        <f t="shared" si="26"/>
        <v>0</v>
      </c>
      <c r="M163" s="3"/>
      <c r="N163" s="7">
        <f t="shared" si="27"/>
        <v>0</v>
      </c>
      <c r="O163" s="12"/>
      <c r="P163" s="8">
        <v>4319.88</v>
      </c>
      <c r="Q163" s="3"/>
      <c r="R163" s="7">
        <f t="shared" si="28"/>
        <v>6.4846863420798054E-4</v>
      </c>
      <c r="S163" s="3"/>
      <c r="T163" s="8">
        <v>186.03</v>
      </c>
      <c r="U163" s="3"/>
      <c r="V163" s="7">
        <f t="shared" si="29"/>
        <v>3.9558635775651285E-5</v>
      </c>
      <c r="W163" s="3"/>
      <c r="X163" s="8">
        <f t="shared" si="30"/>
        <v>4133.8500000000004</v>
      </c>
      <c r="Y163" s="3"/>
      <c r="Z163" s="7">
        <f t="shared" si="31"/>
        <v>22.221415900661185</v>
      </c>
    </row>
    <row r="164" spans="1:26" s="68" customFormat="1" ht="15" customHeight="1" outlineLevel="1" collapsed="1" x14ac:dyDescent="0.3">
      <c r="A164" s="25"/>
      <c r="B164" s="14" t="str">
        <f>CONCATENATE("     ","Equipment Rental                                  ")</f>
        <v xml:space="preserve">     Equipment Rental                                  </v>
      </c>
      <c r="C164" s="14"/>
      <c r="D164" s="2">
        <f>SUM(OSRRefD22_9x_0)</f>
        <v>1388.16</v>
      </c>
      <c r="E164" s="2"/>
      <c r="F164" s="6">
        <f t="shared" si="24"/>
        <v>1.5893195564216631E-3</v>
      </c>
      <c r="G164" s="2"/>
      <c r="H164" s="2">
        <f>SUM(OSRRefH22_9x_0)</f>
        <v>1388.16</v>
      </c>
      <c r="I164" s="2"/>
      <c r="J164" s="6">
        <f t="shared" si="25"/>
        <v>3.1659452161661439E-3</v>
      </c>
      <c r="K164" s="2"/>
      <c r="L164" s="2">
        <f t="shared" si="26"/>
        <v>0</v>
      </c>
      <c r="M164" s="2"/>
      <c r="N164" s="6">
        <f t="shared" si="27"/>
        <v>0</v>
      </c>
      <c r="O164" s="14"/>
      <c r="P164" s="2">
        <f>SUM(OSRRefP22_9x_0)</f>
        <v>15798.31</v>
      </c>
      <c r="Q164" s="2"/>
      <c r="R164" s="6">
        <f t="shared" si="28"/>
        <v>2.3715261786193785E-3</v>
      </c>
      <c r="S164" s="2"/>
      <c r="T164" s="2">
        <f>SUM(OSRRefT22_9x_0)</f>
        <v>14834.17</v>
      </c>
      <c r="U164" s="2"/>
      <c r="V164" s="6">
        <f t="shared" si="29"/>
        <v>3.1544349194436005E-3</v>
      </c>
      <c r="W164" s="2"/>
      <c r="X164" s="2">
        <f t="shared" si="30"/>
        <v>964.13999999999942</v>
      </c>
      <c r="Y164" s="2"/>
      <c r="Z164" s="6">
        <f t="shared" si="31"/>
        <v>6.4994536263235453E-2</v>
      </c>
    </row>
    <row r="165" spans="1:26" s="69" customFormat="1" ht="15" hidden="1" customHeight="1" outlineLevel="2" x14ac:dyDescent="0.3">
      <c r="A165" s="26"/>
      <c r="B165" s="12" t="str">
        <f>CONCATENATE("          ","6351"," - ","EQUIPMENT RENTAL")</f>
        <v xml:space="preserve">          6351 - EQUIPMENT RENTAL</v>
      </c>
      <c r="C165" s="12"/>
      <c r="D165" s="8">
        <v>1388.16</v>
      </c>
      <c r="E165" s="3"/>
      <c r="F165" s="7">
        <f t="shared" si="24"/>
        <v>1.5893195564216631E-3</v>
      </c>
      <c r="G165" s="3"/>
      <c r="H165" s="8">
        <v>1388.16</v>
      </c>
      <c r="I165" s="3"/>
      <c r="J165" s="7">
        <f t="shared" si="25"/>
        <v>3.1659452161661439E-3</v>
      </c>
      <c r="K165" s="3"/>
      <c r="L165" s="8">
        <f t="shared" si="26"/>
        <v>0</v>
      </c>
      <c r="M165" s="3"/>
      <c r="N165" s="7">
        <f t="shared" si="27"/>
        <v>0</v>
      </c>
      <c r="O165" s="12"/>
      <c r="P165" s="8">
        <v>15798.31</v>
      </c>
      <c r="Q165" s="3"/>
      <c r="R165" s="7">
        <f t="shared" si="28"/>
        <v>2.3715261786193785E-3</v>
      </c>
      <c r="S165" s="3"/>
      <c r="T165" s="8">
        <v>14834.17</v>
      </c>
      <c r="U165" s="3"/>
      <c r="V165" s="7">
        <f t="shared" si="29"/>
        <v>3.1544349194436005E-3</v>
      </c>
      <c r="W165" s="3"/>
      <c r="X165" s="8">
        <f t="shared" si="30"/>
        <v>964.13999999999942</v>
      </c>
      <c r="Y165" s="3"/>
      <c r="Z165" s="7">
        <f t="shared" si="31"/>
        <v>6.4994536263235453E-2</v>
      </c>
    </row>
    <row r="166" spans="1:26" s="68" customFormat="1" ht="15" customHeight="1" outlineLevel="1" collapsed="1" x14ac:dyDescent="0.3">
      <c r="A166" s="25"/>
      <c r="B166" s="14" t="str">
        <f>CONCATENATE("     ","Freight out/Postage                               ")</f>
        <v xml:space="preserve">     Freight out/Postage                               </v>
      </c>
      <c r="C166" s="14"/>
      <c r="D166" s="2">
        <f>SUM(OSRRefD22_10x_0)</f>
        <v>750.14999999999964</v>
      </c>
      <c r="E166" s="2"/>
      <c r="F166" s="6">
        <f t="shared" si="24"/>
        <v>8.5885493404918016E-4</v>
      </c>
      <c r="G166" s="2"/>
      <c r="H166" s="2">
        <f>SUM(OSRRefH22_10x_0)</f>
        <v>-12514.900000000001</v>
      </c>
      <c r="I166" s="2"/>
      <c r="J166" s="6">
        <f t="shared" si="25"/>
        <v>-2.8542450283683202E-2</v>
      </c>
      <c r="K166" s="2"/>
      <c r="L166" s="2">
        <f t="shared" si="26"/>
        <v>13265.050000000001</v>
      </c>
      <c r="M166" s="2"/>
      <c r="N166" s="6">
        <f t="shared" si="27"/>
        <v>-1.0599405508633708</v>
      </c>
      <c r="O166" s="14"/>
      <c r="P166" s="2">
        <f>SUM(OSRRefP22_10x_0)</f>
        <v>-43978.59</v>
      </c>
      <c r="Q166" s="2"/>
      <c r="R166" s="6">
        <f t="shared" si="28"/>
        <v>-6.6017426853738409E-3</v>
      </c>
      <c r="S166" s="2"/>
      <c r="T166" s="2">
        <f>SUM(OSRRefT22_10x_0)</f>
        <v>-47021.550000000017</v>
      </c>
      <c r="U166" s="2"/>
      <c r="V166" s="6">
        <f t="shared" si="29"/>
        <v>-9.9989698976325134E-3</v>
      </c>
      <c r="W166" s="2"/>
      <c r="X166" s="2">
        <f t="shared" si="30"/>
        <v>3042.960000000021</v>
      </c>
      <c r="Y166" s="2"/>
      <c r="Z166" s="6">
        <f t="shared" si="31"/>
        <v>-6.4714157657500021E-2</v>
      </c>
    </row>
    <row r="167" spans="1:26" s="69" customFormat="1" ht="15" hidden="1" customHeight="1" outlineLevel="2" x14ac:dyDescent="0.3">
      <c r="A167" s="26"/>
      <c r="B167" s="12" t="str">
        <f>CONCATENATE("          ","6305"," - ","FREIGHT OUT")</f>
        <v xml:space="preserve">          6305 - FREIGHT OUT</v>
      </c>
      <c r="C167" s="12"/>
      <c r="D167" s="8">
        <v>14219.32</v>
      </c>
      <c r="E167" s="3"/>
      <c r="F167" s="7">
        <f t="shared" si="24"/>
        <v>1.6279854883455569E-2</v>
      </c>
      <c r="G167" s="3"/>
      <c r="H167" s="8">
        <v>22667.040000000001</v>
      </c>
      <c r="I167" s="3"/>
      <c r="J167" s="7">
        <f t="shared" si="25"/>
        <v>5.1696207103393434E-2</v>
      </c>
      <c r="K167" s="3"/>
      <c r="L167" s="8">
        <f t="shared" si="26"/>
        <v>-8447.7200000000012</v>
      </c>
      <c r="M167" s="3"/>
      <c r="N167" s="7">
        <f t="shared" si="27"/>
        <v>-0.37268739103120657</v>
      </c>
      <c r="O167" s="12"/>
      <c r="P167" s="8">
        <v>126337.18</v>
      </c>
      <c r="Q167" s="3"/>
      <c r="R167" s="7">
        <f t="shared" si="28"/>
        <v>1.8964808875313155E-2</v>
      </c>
      <c r="S167" s="3"/>
      <c r="T167" s="8">
        <v>201900.83</v>
      </c>
      <c r="U167" s="3"/>
      <c r="V167" s="7">
        <f t="shared" si="29"/>
        <v>4.2933512856913873E-2</v>
      </c>
      <c r="W167" s="3"/>
      <c r="X167" s="8">
        <f t="shared" si="30"/>
        <v>-75563.649999999994</v>
      </c>
      <c r="Y167" s="3"/>
      <c r="Z167" s="7">
        <f t="shared" si="31"/>
        <v>-0.37426121527088324</v>
      </c>
    </row>
    <row r="168" spans="1:26" s="69" customFormat="1" ht="15" hidden="1" customHeight="1" outlineLevel="2" x14ac:dyDescent="0.3">
      <c r="A168" s="26"/>
      <c r="B168" s="12" t="str">
        <f>CONCATENATE("          ","6307"," - ","POSTAGE")</f>
        <v xml:space="preserve">          6307 - POSTAGE</v>
      </c>
      <c r="C168" s="12"/>
      <c r="D168" s="8">
        <v>-13469.17</v>
      </c>
      <c r="E168" s="3"/>
      <c r="F168" s="7">
        <f t="shared" si="24"/>
        <v>-1.5420999949406388E-2</v>
      </c>
      <c r="G168" s="3"/>
      <c r="H168" s="8">
        <v>-35181.94</v>
      </c>
      <c r="I168" s="3"/>
      <c r="J168" s="7">
        <f t="shared" si="25"/>
        <v>-8.023865738707664E-2</v>
      </c>
      <c r="K168" s="3"/>
      <c r="L168" s="8">
        <f t="shared" si="26"/>
        <v>21712.770000000004</v>
      </c>
      <c r="M168" s="3"/>
      <c r="N168" s="7">
        <f t="shared" si="27"/>
        <v>-0.6171567002842937</v>
      </c>
      <c r="O168" s="12"/>
      <c r="P168" s="8">
        <v>-170315.77</v>
      </c>
      <c r="Q168" s="3"/>
      <c r="R168" s="7">
        <f t="shared" si="28"/>
        <v>-2.5566551560686997E-2</v>
      </c>
      <c r="S168" s="3"/>
      <c r="T168" s="8">
        <v>-248922.38</v>
      </c>
      <c r="U168" s="3"/>
      <c r="V168" s="7">
        <f t="shared" si="29"/>
        <v>-5.2932482754546387E-2</v>
      </c>
      <c r="W168" s="3"/>
      <c r="X168" s="8">
        <f t="shared" si="30"/>
        <v>78606.610000000015</v>
      </c>
      <c r="Y168" s="3"/>
      <c r="Z168" s="7">
        <f t="shared" si="31"/>
        <v>-0.31578763629047746</v>
      </c>
    </row>
    <row r="169" spans="1:26" s="68" customFormat="1" ht="15" customHeight="1" outlineLevel="1" collapsed="1" x14ac:dyDescent="0.3">
      <c r="A169" s="25"/>
      <c r="B169" s="14" t="str">
        <f>CONCATENATE("     ","General                                           ")</f>
        <v xml:space="preserve">     General                                           </v>
      </c>
      <c r="C169" s="14"/>
      <c r="D169" s="2">
        <f>SUM(OSRRefD22_11x_0)</f>
        <v>493.61</v>
      </c>
      <c r="E169" s="2"/>
      <c r="F169" s="6">
        <f t="shared" si="24"/>
        <v>5.6513948409786844E-4</v>
      </c>
      <c r="G169" s="2"/>
      <c r="H169" s="2">
        <f>SUM(OSRRefH22_11x_0)</f>
        <v>93.84</v>
      </c>
      <c r="I169" s="2"/>
      <c r="J169" s="6">
        <f t="shared" si="25"/>
        <v>2.1401877239297411E-4</v>
      </c>
      <c r="K169" s="2"/>
      <c r="L169" s="2">
        <f t="shared" si="26"/>
        <v>399.77</v>
      </c>
      <c r="M169" s="2"/>
      <c r="N169" s="6">
        <f t="shared" si="27"/>
        <v>4.2601236146632564</v>
      </c>
      <c r="O169" s="14"/>
      <c r="P169" s="2">
        <f>SUM(OSRRefP22_11x_0)</f>
        <v>6440.06</v>
      </c>
      <c r="Q169" s="2"/>
      <c r="R169" s="6">
        <f t="shared" si="28"/>
        <v>9.6673447235049294E-4</v>
      </c>
      <c r="S169" s="2"/>
      <c r="T169" s="2">
        <f>SUM(OSRRefT22_11x_0)</f>
        <v>2603.63</v>
      </c>
      <c r="U169" s="2"/>
      <c r="V169" s="6">
        <f t="shared" si="29"/>
        <v>5.5365291009277509E-4</v>
      </c>
      <c r="W169" s="2"/>
      <c r="X169" s="2">
        <f t="shared" si="30"/>
        <v>3836.4300000000003</v>
      </c>
      <c r="Y169" s="2"/>
      <c r="Z169" s="6">
        <f t="shared" si="31"/>
        <v>1.4734927773915649</v>
      </c>
    </row>
    <row r="170" spans="1:26" s="69" customFormat="1" ht="15" hidden="1" customHeight="1" outlineLevel="2" x14ac:dyDescent="0.3">
      <c r="A170" s="26"/>
      <c r="B170" s="12" t="str">
        <f>CONCATENATE("          ","6279"," - ","GENERAL EXPENSE")</f>
        <v xml:space="preserve">          6279 - GENERAL EXPENSE</v>
      </c>
      <c r="C170" s="12"/>
      <c r="D170" s="8">
        <v>493.61</v>
      </c>
      <c r="E170" s="3"/>
      <c r="F170" s="7">
        <f t="shared" si="24"/>
        <v>5.6513948409786844E-4</v>
      </c>
      <c r="G170" s="3"/>
      <c r="H170" s="8">
        <v>93.84</v>
      </c>
      <c r="I170" s="3"/>
      <c r="J170" s="7">
        <f t="shared" si="25"/>
        <v>2.1401877239297411E-4</v>
      </c>
      <c r="K170" s="3"/>
      <c r="L170" s="8">
        <f t="shared" si="26"/>
        <v>399.77</v>
      </c>
      <c r="M170" s="3"/>
      <c r="N170" s="7">
        <f t="shared" si="27"/>
        <v>4.2601236146632564</v>
      </c>
      <c r="O170" s="12"/>
      <c r="P170" s="8">
        <v>6440.06</v>
      </c>
      <c r="Q170" s="3"/>
      <c r="R170" s="7">
        <f t="shared" si="28"/>
        <v>9.6673447235049294E-4</v>
      </c>
      <c r="S170" s="3"/>
      <c r="T170" s="8">
        <v>2603.63</v>
      </c>
      <c r="U170" s="3"/>
      <c r="V170" s="7">
        <f t="shared" si="29"/>
        <v>5.5365291009277509E-4</v>
      </c>
      <c r="W170" s="3"/>
      <c r="X170" s="8">
        <f t="shared" si="30"/>
        <v>3836.4300000000003</v>
      </c>
      <c r="Y170" s="3"/>
      <c r="Z170" s="7">
        <f t="shared" si="31"/>
        <v>1.4734927773915649</v>
      </c>
    </row>
    <row r="171" spans="1:26" s="68" customFormat="1" ht="15" customHeight="1" outlineLevel="1" collapsed="1" x14ac:dyDescent="0.3">
      <c r="A171" s="25"/>
      <c r="B171" s="14" t="str">
        <f>CONCATENATE("     ","Insurance                                         ")</f>
        <v xml:space="preserve">     Insurance                                         </v>
      </c>
      <c r="C171" s="14"/>
      <c r="D171" s="2">
        <f>SUM(OSRRefD22_12x_0)</f>
        <v>5494.57</v>
      </c>
      <c r="E171" s="2"/>
      <c r="F171" s="6">
        <f t="shared" si="24"/>
        <v>6.290793247988544E-3</v>
      </c>
      <c r="G171" s="2"/>
      <c r="H171" s="2">
        <f>SUM(OSRRefH22_12x_0)</f>
        <v>4044.74</v>
      </c>
      <c r="I171" s="2"/>
      <c r="J171" s="6">
        <f t="shared" si="25"/>
        <v>9.2247473300166027E-3</v>
      </c>
      <c r="K171" s="2"/>
      <c r="L171" s="2">
        <f t="shared" si="26"/>
        <v>1449.83</v>
      </c>
      <c r="M171" s="2"/>
      <c r="N171" s="6">
        <f t="shared" si="27"/>
        <v>0.35844825625380122</v>
      </c>
      <c r="O171" s="14"/>
      <c r="P171" s="2">
        <f>SUM(OSRRefP22_12x_0)</f>
        <v>54945.7</v>
      </c>
      <c r="Q171" s="2"/>
      <c r="R171" s="6">
        <f t="shared" si="28"/>
        <v>8.2480446296196736E-3</v>
      </c>
      <c r="S171" s="2"/>
      <c r="T171" s="2">
        <f>SUM(OSRRefT22_12x_0)</f>
        <v>40447.4</v>
      </c>
      <c r="U171" s="2"/>
      <c r="V171" s="6">
        <f t="shared" si="29"/>
        <v>8.6009996488312524E-3</v>
      </c>
      <c r="W171" s="2"/>
      <c r="X171" s="2">
        <f t="shared" si="30"/>
        <v>14498.299999999996</v>
      </c>
      <c r="Y171" s="2"/>
      <c r="Z171" s="6">
        <f t="shared" si="31"/>
        <v>0.35844825625380111</v>
      </c>
    </row>
    <row r="172" spans="1:26" s="69" customFormat="1" ht="15" hidden="1" customHeight="1" outlineLevel="2" x14ac:dyDescent="0.3">
      <c r="A172" s="26"/>
      <c r="B172" s="12" t="str">
        <f>CONCATENATE("          ","6314"," - ","LIABILITY INSURANCE")</f>
        <v xml:space="preserve">          6314 - LIABILITY INSURANCE</v>
      </c>
      <c r="C172" s="12"/>
      <c r="D172" s="8">
        <v>5494.57</v>
      </c>
      <c r="E172" s="3"/>
      <c r="F172" s="7">
        <f t="shared" si="24"/>
        <v>6.290793247988544E-3</v>
      </c>
      <c r="G172" s="3"/>
      <c r="H172" s="8">
        <v>4044.74</v>
      </c>
      <c r="I172" s="3"/>
      <c r="J172" s="7">
        <f t="shared" si="25"/>
        <v>9.2247473300166027E-3</v>
      </c>
      <c r="K172" s="3"/>
      <c r="L172" s="8">
        <f t="shared" si="26"/>
        <v>1449.83</v>
      </c>
      <c r="M172" s="3"/>
      <c r="N172" s="7">
        <f t="shared" si="27"/>
        <v>0.35844825625380122</v>
      </c>
      <c r="O172" s="12"/>
      <c r="P172" s="8">
        <v>54945.7</v>
      </c>
      <c r="Q172" s="3"/>
      <c r="R172" s="7">
        <f t="shared" si="28"/>
        <v>8.2480446296196736E-3</v>
      </c>
      <c r="S172" s="3"/>
      <c r="T172" s="8">
        <v>40447.4</v>
      </c>
      <c r="U172" s="3"/>
      <c r="V172" s="7">
        <f t="shared" si="29"/>
        <v>8.6009996488312524E-3</v>
      </c>
      <c r="W172" s="3"/>
      <c r="X172" s="8">
        <f t="shared" si="30"/>
        <v>14498.299999999996</v>
      </c>
      <c r="Y172" s="3"/>
      <c r="Z172" s="7">
        <f t="shared" si="31"/>
        <v>0.35844825625380111</v>
      </c>
    </row>
    <row r="173" spans="1:26" s="68" customFormat="1" ht="15" customHeight="1" outlineLevel="1" collapsed="1" x14ac:dyDescent="0.3">
      <c r="A173" s="25"/>
      <c r="B173" s="14" t="str">
        <f>CONCATENATE("     ","Inventory Adjustment                              ")</f>
        <v xml:space="preserve">     Inventory Adjustment                              </v>
      </c>
      <c r="C173" s="14"/>
      <c r="D173" s="2">
        <f>SUM(OSRRefD22_13x_0)</f>
        <v>5100</v>
      </c>
      <c r="E173" s="2"/>
      <c r="F173" s="6">
        <f t="shared" si="24"/>
        <v>5.8390457423859506E-3</v>
      </c>
      <c r="G173" s="2"/>
      <c r="H173" s="2">
        <f>SUM(OSRRefH22_13x_0)</f>
        <v>2100</v>
      </c>
      <c r="I173" s="2"/>
      <c r="J173" s="6">
        <f t="shared" si="25"/>
        <v>4.789422655853001E-3</v>
      </c>
      <c r="K173" s="2"/>
      <c r="L173" s="2">
        <f t="shared" si="26"/>
        <v>3000</v>
      </c>
      <c r="M173" s="2"/>
      <c r="N173" s="6">
        <f t="shared" si="27"/>
        <v>1.4285714285714286</v>
      </c>
      <c r="O173" s="14"/>
      <c r="P173" s="2">
        <f>SUM(OSRRefP22_13x_0)</f>
        <v>55000</v>
      </c>
      <c r="Q173" s="2"/>
      <c r="R173" s="6">
        <f t="shared" si="28"/>
        <v>8.2561957465112287E-3</v>
      </c>
      <c r="S173" s="2"/>
      <c r="T173" s="2">
        <f>SUM(OSRRefT22_13x_0)</f>
        <v>26000</v>
      </c>
      <c r="U173" s="2"/>
      <c r="V173" s="6">
        <f t="shared" si="29"/>
        <v>5.5288100315375663E-3</v>
      </c>
      <c r="W173" s="2"/>
      <c r="X173" s="2">
        <f t="shared" si="30"/>
        <v>29000</v>
      </c>
      <c r="Y173" s="2"/>
      <c r="Z173" s="6">
        <f t="shared" si="31"/>
        <v>1.1153846153846154</v>
      </c>
    </row>
    <row r="174" spans="1:26" s="69" customFormat="1" ht="15" hidden="1" customHeight="1" outlineLevel="2" x14ac:dyDescent="0.3">
      <c r="A174" s="26"/>
      <c r="B174" s="12" t="str">
        <f>CONCATENATE("          ","6408"," - ","INVENTORY ADJUSTMENT")</f>
        <v xml:space="preserve">          6408 - INVENTORY ADJUSTMENT</v>
      </c>
      <c r="C174" s="12"/>
      <c r="D174" s="8">
        <v>5100</v>
      </c>
      <c r="E174" s="3"/>
      <c r="F174" s="7">
        <f t="shared" si="24"/>
        <v>5.8390457423859506E-3</v>
      </c>
      <c r="G174" s="3"/>
      <c r="H174" s="8">
        <v>2100</v>
      </c>
      <c r="I174" s="3"/>
      <c r="J174" s="7">
        <f t="shared" si="25"/>
        <v>4.789422655853001E-3</v>
      </c>
      <c r="K174" s="3"/>
      <c r="L174" s="8">
        <f t="shared" si="26"/>
        <v>3000</v>
      </c>
      <c r="M174" s="3"/>
      <c r="N174" s="7">
        <f t="shared" si="27"/>
        <v>1.4285714285714286</v>
      </c>
      <c r="O174" s="12"/>
      <c r="P174" s="8">
        <v>55000</v>
      </c>
      <c r="Q174" s="3"/>
      <c r="R174" s="7">
        <f t="shared" si="28"/>
        <v>8.2561957465112287E-3</v>
      </c>
      <c r="S174" s="3"/>
      <c r="T174" s="8">
        <v>26000</v>
      </c>
      <c r="U174" s="3"/>
      <c r="V174" s="7">
        <f t="shared" si="29"/>
        <v>5.5288100315375663E-3</v>
      </c>
      <c r="W174" s="3"/>
      <c r="X174" s="8">
        <f t="shared" si="30"/>
        <v>29000</v>
      </c>
      <c r="Y174" s="3"/>
      <c r="Z174" s="7">
        <f t="shared" si="31"/>
        <v>1.1153846153846154</v>
      </c>
    </row>
    <row r="175" spans="1:26" s="69" customFormat="1" ht="15" hidden="1" customHeight="1" outlineLevel="2" x14ac:dyDescent="0.3">
      <c r="A175" s="26"/>
      <c r="B175" s="12" t="str">
        <f>CONCATENATE("          ","7741"," - ","INV. SHRINKAGE-LOGO GIFTS")</f>
        <v xml:space="preserve">          7741 - INV. SHRINKAGE-LOGO GIFTS</v>
      </c>
      <c r="C175" s="12"/>
      <c r="D175" s="8"/>
      <c r="E175" s="3"/>
      <c r="F175" s="7">
        <f t="shared" si="24"/>
        <v>0</v>
      </c>
      <c r="G175" s="3"/>
      <c r="H175" s="8"/>
      <c r="I175" s="3"/>
      <c r="J175" s="7">
        <f t="shared" si="25"/>
        <v>0</v>
      </c>
      <c r="K175" s="3"/>
      <c r="L175" s="8">
        <f t="shared" si="26"/>
        <v>0</v>
      </c>
      <c r="M175" s="3"/>
      <c r="N175" s="7">
        <f t="shared" si="27"/>
        <v>0</v>
      </c>
      <c r="O175" s="12"/>
      <c r="P175" s="8"/>
      <c r="Q175" s="3"/>
      <c r="R175" s="7">
        <f t="shared" si="28"/>
        <v>0</v>
      </c>
      <c r="S175" s="3"/>
      <c r="T175" s="8">
        <v>0</v>
      </c>
      <c r="U175" s="3"/>
      <c r="V175" s="7">
        <f t="shared" si="29"/>
        <v>0</v>
      </c>
      <c r="W175" s="3"/>
      <c r="X175" s="8">
        <f t="shared" si="30"/>
        <v>0</v>
      </c>
      <c r="Y175" s="3"/>
      <c r="Z175" s="7">
        <f t="shared" si="31"/>
        <v>0</v>
      </c>
    </row>
    <row r="176" spans="1:26" s="68" customFormat="1" ht="15" customHeight="1" outlineLevel="1" collapsed="1" x14ac:dyDescent="0.3">
      <c r="A176" s="25"/>
      <c r="B176" s="14" t="str">
        <f>CONCATENATE("     ","Professional Services                             ")</f>
        <v xml:space="preserve">     Professional Services                             </v>
      </c>
      <c r="C176" s="14"/>
      <c r="D176" s="2">
        <f>SUM(OSRRefD22_14x_0)</f>
        <v>0</v>
      </c>
      <c r="E176" s="2"/>
      <c r="F176" s="6">
        <f t="shared" si="24"/>
        <v>0</v>
      </c>
      <c r="G176" s="2"/>
      <c r="H176" s="2">
        <f>SUM(OSRRefH22_14x_0)</f>
        <v>0</v>
      </c>
      <c r="I176" s="2"/>
      <c r="J176" s="6">
        <f t="shared" si="25"/>
        <v>0</v>
      </c>
      <c r="K176" s="2"/>
      <c r="L176" s="2">
        <f t="shared" si="26"/>
        <v>0</v>
      </c>
      <c r="M176" s="2"/>
      <c r="N176" s="6">
        <f t="shared" si="27"/>
        <v>0</v>
      </c>
      <c r="O176" s="14"/>
      <c r="P176" s="2">
        <f>SUM(OSRRefP22_14x_0)</f>
        <v>9626.5300000000007</v>
      </c>
      <c r="Q176" s="2"/>
      <c r="R176" s="6">
        <f t="shared" si="28"/>
        <v>1.4450639279938681E-3</v>
      </c>
      <c r="S176" s="2"/>
      <c r="T176" s="2">
        <f>SUM(OSRRefT22_14x_0)</f>
        <v>0</v>
      </c>
      <c r="U176" s="2"/>
      <c r="V176" s="6">
        <f t="shared" si="29"/>
        <v>0</v>
      </c>
      <c r="W176" s="2"/>
      <c r="X176" s="2">
        <f t="shared" si="30"/>
        <v>9626.5300000000007</v>
      </c>
      <c r="Y176" s="2"/>
      <c r="Z176" s="6">
        <f t="shared" si="31"/>
        <v>0</v>
      </c>
    </row>
    <row r="177" spans="1:26" s="69" customFormat="1" ht="15" hidden="1" customHeight="1" outlineLevel="2" x14ac:dyDescent="0.3">
      <c r="A177" s="26"/>
      <c r="B177" s="12" t="str">
        <f>CONCATENATE("          ","6336"," - ","PROFESSIONAL SERVICES")</f>
        <v xml:space="preserve">          6336 - PROFESSIONAL SERVICES</v>
      </c>
      <c r="C177" s="12"/>
      <c r="D177" s="8"/>
      <c r="E177" s="3"/>
      <c r="F177" s="7">
        <f t="shared" si="24"/>
        <v>0</v>
      </c>
      <c r="G177" s="3"/>
      <c r="H177" s="8"/>
      <c r="I177" s="3"/>
      <c r="J177" s="7">
        <f t="shared" si="25"/>
        <v>0</v>
      </c>
      <c r="K177" s="3"/>
      <c r="L177" s="8">
        <f t="shared" si="26"/>
        <v>0</v>
      </c>
      <c r="M177" s="3"/>
      <c r="N177" s="7">
        <f t="shared" si="27"/>
        <v>0</v>
      </c>
      <c r="O177" s="12"/>
      <c r="P177" s="8">
        <v>9626.5300000000007</v>
      </c>
      <c r="Q177" s="3"/>
      <c r="R177" s="7">
        <f t="shared" si="28"/>
        <v>1.4450639279938681E-3</v>
      </c>
      <c r="S177" s="3"/>
      <c r="T177" s="8"/>
      <c r="U177" s="3"/>
      <c r="V177" s="7">
        <f t="shared" si="29"/>
        <v>0</v>
      </c>
      <c r="W177" s="3"/>
      <c r="X177" s="8">
        <f t="shared" si="30"/>
        <v>9626.5300000000007</v>
      </c>
      <c r="Y177" s="3"/>
      <c r="Z177" s="7">
        <f t="shared" si="31"/>
        <v>0</v>
      </c>
    </row>
    <row r="178" spans="1:26" s="68" customFormat="1" ht="15" customHeight="1" outlineLevel="1" collapsed="1" x14ac:dyDescent="0.3">
      <c r="A178" s="25"/>
      <c r="B178" s="14" t="str">
        <f>CONCATENATE("     ","Rent                                              ")</f>
        <v xml:space="preserve">     Rent                                              </v>
      </c>
      <c r="C178" s="14"/>
      <c r="D178" s="2">
        <f>SUM(OSRRefD22_15x_0)</f>
        <v>6100</v>
      </c>
      <c r="E178" s="2"/>
      <c r="F178" s="6">
        <f t="shared" si="24"/>
        <v>6.9839566722655491E-3</v>
      </c>
      <c r="G178" s="2"/>
      <c r="H178" s="2">
        <f>SUM(OSRRefH22_15x_0)</f>
        <v>6100</v>
      </c>
      <c r="I178" s="2"/>
      <c r="J178" s="6">
        <f t="shared" si="25"/>
        <v>1.3912132476525384E-2</v>
      </c>
      <c r="K178" s="2"/>
      <c r="L178" s="2">
        <f t="shared" si="26"/>
        <v>0</v>
      </c>
      <c r="M178" s="2"/>
      <c r="N178" s="6">
        <f t="shared" si="27"/>
        <v>0</v>
      </c>
      <c r="O178" s="14"/>
      <c r="P178" s="2">
        <f>SUM(OSRRefP22_15x_0)</f>
        <v>61000</v>
      </c>
      <c r="Q178" s="2"/>
      <c r="R178" s="6">
        <f t="shared" si="28"/>
        <v>9.1568716461306356E-3</v>
      </c>
      <c r="S178" s="2"/>
      <c r="T178" s="2">
        <f>SUM(OSRRefT22_15x_0)</f>
        <v>61000</v>
      </c>
      <c r="U178" s="2"/>
      <c r="V178" s="6">
        <f t="shared" si="29"/>
        <v>1.2971438920145828E-2</v>
      </c>
      <c r="W178" s="2"/>
      <c r="X178" s="2">
        <f t="shared" si="30"/>
        <v>0</v>
      </c>
      <c r="Y178" s="2"/>
      <c r="Z178" s="6">
        <f t="shared" si="31"/>
        <v>0</v>
      </c>
    </row>
    <row r="179" spans="1:26" s="69" customFormat="1" ht="15" hidden="1" customHeight="1" outlineLevel="2" x14ac:dyDescent="0.3">
      <c r="A179" s="26"/>
      <c r="B179" s="12" t="str">
        <f>CONCATENATE("          ","6273"," - ","RENT")</f>
        <v xml:space="preserve">          6273 - RENT</v>
      </c>
      <c r="C179" s="12"/>
      <c r="D179" s="8">
        <v>6100</v>
      </c>
      <c r="E179" s="3"/>
      <c r="F179" s="7">
        <f t="shared" si="24"/>
        <v>6.9839566722655491E-3</v>
      </c>
      <c r="G179" s="3"/>
      <c r="H179" s="8">
        <v>6100</v>
      </c>
      <c r="I179" s="3"/>
      <c r="J179" s="7">
        <f t="shared" si="25"/>
        <v>1.3912132476525384E-2</v>
      </c>
      <c r="K179" s="3"/>
      <c r="L179" s="8">
        <f t="shared" si="26"/>
        <v>0</v>
      </c>
      <c r="M179" s="3"/>
      <c r="N179" s="7">
        <f t="shared" si="27"/>
        <v>0</v>
      </c>
      <c r="O179" s="12"/>
      <c r="P179" s="8">
        <v>61000</v>
      </c>
      <c r="Q179" s="3"/>
      <c r="R179" s="7">
        <f t="shared" si="28"/>
        <v>9.1568716461306356E-3</v>
      </c>
      <c r="S179" s="3"/>
      <c r="T179" s="8">
        <v>61000</v>
      </c>
      <c r="U179" s="3"/>
      <c r="V179" s="7">
        <f t="shared" si="29"/>
        <v>1.2971438920145828E-2</v>
      </c>
      <c r="W179" s="3"/>
      <c r="X179" s="8">
        <f t="shared" si="30"/>
        <v>0</v>
      </c>
      <c r="Y179" s="3"/>
      <c r="Z179" s="7">
        <f t="shared" si="31"/>
        <v>0</v>
      </c>
    </row>
    <row r="180" spans="1:26" s="68" customFormat="1" ht="15" customHeight="1" outlineLevel="1" collapsed="1" x14ac:dyDescent="0.3">
      <c r="A180" s="25"/>
      <c r="B180" s="14" t="str">
        <f>CONCATENATE("     ","Repair and Maintenance                            ")</f>
        <v xml:space="preserve">     Repair and Maintenance                            </v>
      </c>
      <c r="C180" s="14"/>
      <c r="D180" s="2">
        <f>SUM(OSRRefD22_16x_0)</f>
        <v>6647.7800000000007</v>
      </c>
      <c r="E180" s="2"/>
      <c r="F180" s="6">
        <f t="shared" si="24"/>
        <v>7.6111159814349965E-3</v>
      </c>
      <c r="G180" s="2"/>
      <c r="H180" s="2">
        <f>SUM(OSRRefH22_16x_0)</f>
        <v>2485.83</v>
      </c>
      <c r="I180" s="2"/>
      <c r="J180" s="6">
        <f t="shared" si="25"/>
        <v>5.6693764383805067E-3</v>
      </c>
      <c r="K180" s="2"/>
      <c r="L180" s="2">
        <f t="shared" si="26"/>
        <v>4161.9500000000007</v>
      </c>
      <c r="M180" s="2"/>
      <c r="N180" s="6">
        <f t="shared" si="27"/>
        <v>1.6742697610053787</v>
      </c>
      <c r="O180" s="14"/>
      <c r="P180" s="2">
        <f>SUM(OSRRefP22_16x_0)</f>
        <v>137010.46</v>
      </c>
      <c r="Q180" s="2"/>
      <c r="R180" s="6">
        <f t="shared" si="28"/>
        <v>2.0567003219628125E-2</v>
      </c>
      <c r="S180" s="2"/>
      <c r="T180" s="2">
        <f>SUM(OSRRefT22_16x_0)</f>
        <v>132915.69</v>
      </c>
      <c r="U180" s="2"/>
      <c r="V180" s="6">
        <f t="shared" si="29"/>
        <v>2.8264061546951436E-2</v>
      </c>
      <c r="W180" s="2"/>
      <c r="X180" s="2">
        <f t="shared" si="30"/>
        <v>4094.7699999999895</v>
      </c>
      <c r="Y180" s="2"/>
      <c r="Z180" s="6">
        <f t="shared" si="31"/>
        <v>3.0807273392629488E-2</v>
      </c>
    </row>
    <row r="181" spans="1:26" s="69" customFormat="1" ht="15" hidden="1" customHeight="1" outlineLevel="2" x14ac:dyDescent="0.3">
      <c r="A181" s="26"/>
      <c r="B181" s="12" t="str">
        <f>CONCATENATE("          ","6371"," - ","COMPUTER SOFTWARE MAINTENANCE")</f>
        <v xml:space="preserve">          6371 - COMPUTER SOFTWARE MAINTENANCE</v>
      </c>
      <c r="C181" s="12"/>
      <c r="D181" s="8"/>
      <c r="E181" s="3"/>
      <c r="F181" s="7">
        <f t="shared" si="24"/>
        <v>0</v>
      </c>
      <c r="G181" s="3"/>
      <c r="H181" s="8"/>
      <c r="I181" s="3"/>
      <c r="J181" s="7">
        <f t="shared" si="25"/>
        <v>0</v>
      </c>
      <c r="K181" s="3"/>
      <c r="L181" s="8">
        <f t="shared" si="26"/>
        <v>0</v>
      </c>
      <c r="M181" s="3"/>
      <c r="N181" s="7">
        <f t="shared" si="27"/>
        <v>0</v>
      </c>
      <c r="O181" s="12"/>
      <c r="P181" s="8">
        <v>62511</v>
      </c>
      <c r="Q181" s="3"/>
      <c r="R181" s="7">
        <f t="shared" si="28"/>
        <v>9.3836918601847893E-3</v>
      </c>
      <c r="S181" s="3"/>
      <c r="T181" s="8">
        <v>59767.72</v>
      </c>
      <c r="U181" s="3"/>
      <c r="V181" s="7">
        <f t="shared" si="29"/>
        <v>1.2709398842235708E-2</v>
      </c>
      <c r="W181" s="3"/>
      <c r="X181" s="8">
        <f t="shared" si="30"/>
        <v>2743.2799999999988</v>
      </c>
      <c r="Y181" s="3"/>
      <c r="Z181" s="7">
        <f t="shared" si="31"/>
        <v>4.5899023753959475E-2</v>
      </c>
    </row>
    <row r="182" spans="1:26" s="69" customFormat="1" ht="15" hidden="1" customHeight="1" outlineLevel="2" x14ac:dyDescent="0.3">
      <c r="A182" s="26"/>
      <c r="B182" s="12" t="str">
        <f>CONCATENATE("          ","6372"," - ","COMPUTER HARDWARE MAINTENANCE")</f>
        <v xml:space="preserve">          6372 - COMPUTER HARDWARE MAINTENANCE</v>
      </c>
      <c r="C182" s="12"/>
      <c r="D182" s="8"/>
      <c r="E182" s="3"/>
      <c r="F182" s="7">
        <f t="shared" si="24"/>
        <v>0</v>
      </c>
      <c r="G182" s="3"/>
      <c r="H182" s="8"/>
      <c r="I182" s="3"/>
      <c r="J182" s="7">
        <f t="shared" si="25"/>
        <v>0</v>
      </c>
      <c r="K182" s="3"/>
      <c r="L182" s="8">
        <f t="shared" si="26"/>
        <v>0</v>
      </c>
      <c r="M182" s="3"/>
      <c r="N182" s="7">
        <f t="shared" si="27"/>
        <v>0</v>
      </c>
      <c r="O182" s="12"/>
      <c r="P182" s="8"/>
      <c r="Q182" s="3"/>
      <c r="R182" s="7">
        <f t="shared" si="28"/>
        <v>0</v>
      </c>
      <c r="S182" s="3"/>
      <c r="T182" s="8">
        <v>-1.1499999999999999</v>
      </c>
      <c r="U182" s="3"/>
      <c r="V182" s="7">
        <f t="shared" si="29"/>
        <v>-2.4454352062570001E-7</v>
      </c>
      <c r="W182" s="3"/>
      <c r="X182" s="8">
        <f t="shared" si="30"/>
        <v>1.1499999999999999</v>
      </c>
      <c r="Y182" s="3"/>
      <c r="Z182" s="7">
        <f t="shared" si="31"/>
        <v>-1</v>
      </c>
    </row>
    <row r="183" spans="1:26" s="69" customFormat="1" ht="15" hidden="1" customHeight="1" outlineLevel="2" x14ac:dyDescent="0.3">
      <c r="A183" s="26"/>
      <c r="B183" s="12" t="str">
        <f>CONCATENATE("          ","6373"," - ","MAINTENANCE CONTRACTS")</f>
        <v xml:space="preserve">          6373 - MAINTENANCE CONTRACTS</v>
      </c>
      <c r="C183" s="12"/>
      <c r="D183" s="8">
        <v>800.18</v>
      </c>
      <c r="E183" s="3"/>
      <c r="F183" s="7">
        <f t="shared" si="24"/>
        <v>9.1613482787105684E-4</v>
      </c>
      <c r="G183" s="3"/>
      <c r="H183" s="8">
        <v>1429</v>
      </c>
      <c r="I183" s="3"/>
      <c r="J183" s="7">
        <f t="shared" si="25"/>
        <v>3.2590880834352087E-3</v>
      </c>
      <c r="K183" s="3"/>
      <c r="L183" s="8">
        <f t="shared" si="26"/>
        <v>-628.82000000000005</v>
      </c>
      <c r="M183" s="3"/>
      <c r="N183" s="7">
        <f t="shared" si="27"/>
        <v>-0.44004198740377892</v>
      </c>
      <c r="O183" s="12"/>
      <c r="P183" s="8">
        <v>22371.7</v>
      </c>
      <c r="Q183" s="3"/>
      <c r="R183" s="7">
        <f t="shared" si="28"/>
        <v>3.3582751705859139E-3</v>
      </c>
      <c r="S183" s="3"/>
      <c r="T183" s="8">
        <v>46118.58</v>
      </c>
      <c r="U183" s="3"/>
      <c r="V183" s="7">
        <f t="shared" si="29"/>
        <v>9.8069564517026062E-3</v>
      </c>
      <c r="W183" s="3"/>
      <c r="X183" s="8">
        <f t="shared" si="30"/>
        <v>-23746.880000000001</v>
      </c>
      <c r="Y183" s="3"/>
      <c r="Z183" s="7">
        <f t="shared" si="31"/>
        <v>-0.51490917543428272</v>
      </c>
    </row>
    <row r="184" spans="1:26" s="69" customFormat="1" ht="15" hidden="1" customHeight="1" outlineLevel="2" x14ac:dyDescent="0.3">
      <c r="A184" s="26"/>
      <c r="B184" s="12" t="str">
        <f>CONCATENATE("          ","6375"," - ","OUTSIDE REPAIRS &amp; MAINTENANCE")</f>
        <v xml:space="preserve">          6375 - OUTSIDE REPAIRS &amp; MAINTENANCE</v>
      </c>
      <c r="C184" s="12"/>
      <c r="D184" s="8">
        <v>5847.6</v>
      </c>
      <c r="E184" s="3"/>
      <c r="F184" s="7">
        <f t="shared" si="24"/>
        <v>6.6949811535639385E-3</v>
      </c>
      <c r="G184" s="3"/>
      <c r="H184" s="8">
        <v>1056.83</v>
      </c>
      <c r="I184" s="3"/>
      <c r="J184" s="7">
        <f t="shared" si="25"/>
        <v>2.4102883549452984E-3</v>
      </c>
      <c r="K184" s="3"/>
      <c r="L184" s="8">
        <f t="shared" si="26"/>
        <v>4790.7700000000004</v>
      </c>
      <c r="M184" s="3"/>
      <c r="N184" s="7">
        <f t="shared" si="27"/>
        <v>4.5331510271282998</v>
      </c>
      <c r="O184" s="12"/>
      <c r="P184" s="8">
        <v>52127.76</v>
      </c>
      <c r="Q184" s="3"/>
      <c r="R184" s="7">
        <f t="shared" si="28"/>
        <v>7.8250361888574215E-3</v>
      </c>
      <c r="S184" s="3"/>
      <c r="T184" s="8">
        <v>27030.54</v>
      </c>
      <c r="U184" s="3"/>
      <c r="V184" s="7">
        <f t="shared" si="29"/>
        <v>5.7479507965337477E-3</v>
      </c>
      <c r="W184" s="3"/>
      <c r="X184" s="8">
        <f t="shared" si="30"/>
        <v>25097.22</v>
      </c>
      <c r="Y184" s="3"/>
      <c r="Z184" s="7">
        <f t="shared" si="31"/>
        <v>0.9284764566301672</v>
      </c>
    </row>
    <row r="185" spans="1:26" s="68" customFormat="1" ht="15" customHeight="1" outlineLevel="1" collapsed="1" x14ac:dyDescent="0.3">
      <c r="A185" s="25"/>
      <c r="B185" s="14" t="str">
        <f>CONCATENATE("     ","Royalty &amp; Commissions                             ")</f>
        <v xml:space="preserve">     Royalty &amp; Commissions                             </v>
      </c>
      <c r="C185" s="14"/>
      <c r="D185" s="2">
        <f>SUM(OSRRefD22_17x_0)</f>
        <v>28886.6</v>
      </c>
      <c r="E185" s="2"/>
      <c r="F185" s="6">
        <f t="shared" si="24"/>
        <v>3.3072584067059999E-2</v>
      </c>
      <c r="G185" s="2"/>
      <c r="H185" s="2">
        <f>SUM(OSRRefH22_17x_0)</f>
        <v>11531.75</v>
      </c>
      <c r="I185" s="2"/>
      <c r="J185" s="6">
        <f t="shared" si="25"/>
        <v>2.6300202243634687E-2</v>
      </c>
      <c r="K185" s="2"/>
      <c r="L185" s="2">
        <f t="shared" si="26"/>
        <v>17354.849999999999</v>
      </c>
      <c r="M185" s="2"/>
      <c r="N185" s="6">
        <f t="shared" si="27"/>
        <v>1.5049623864547876</v>
      </c>
      <c r="O185" s="14"/>
      <c r="P185" s="2">
        <f>SUM(OSRRefP22_17x_0)</f>
        <v>81622.53</v>
      </c>
      <c r="Q185" s="2"/>
      <c r="R185" s="6">
        <f t="shared" si="28"/>
        <v>1.2252574272827003E-2</v>
      </c>
      <c r="S185" s="2"/>
      <c r="T185" s="2">
        <f>SUM(OSRRefT22_17x_0)</f>
        <v>48392.95</v>
      </c>
      <c r="U185" s="2"/>
      <c r="V185" s="6">
        <f t="shared" si="29"/>
        <v>1.0290593362142147E-2</v>
      </c>
      <c r="W185" s="2"/>
      <c r="X185" s="2">
        <f t="shared" si="30"/>
        <v>33229.58</v>
      </c>
      <c r="Y185" s="2"/>
      <c r="Z185" s="6">
        <f t="shared" si="31"/>
        <v>0.68666159016964257</v>
      </c>
    </row>
    <row r="186" spans="1:26" s="69" customFormat="1" ht="15" hidden="1" customHeight="1" outlineLevel="2" x14ac:dyDescent="0.3">
      <c r="A186" s="26"/>
      <c r="B186" s="12" t="str">
        <f>CONCATENATE("          ","6253"," - ","ROYALTY DUE ATHLETICS-LRG")</f>
        <v xml:space="preserve">          6253 - ROYALTY DUE ATHLETICS-LRG</v>
      </c>
      <c r="C186" s="12"/>
      <c r="D186" s="8">
        <v>15944.33</v>
      </c>
      <c r="E186" s="3"/>
      <c r="F186" s="7">
        <f t="shared" si="24"/>
        <v>1.8254837686607173E-2</v>
      </c>
      <c r="G186" s="3"/>
      <c r="H186" s="8">
        <v>8961.48</v>
      </c>
      <c r="I186" s="3"/>
      <c r="J186" s="7">
        <f t="shared" si="25"/>
        <v>2.0438245400939786E-2</v>
      </c>
      <c r="K186" s="3"/>
      <c r="L186" s="8">
        <f t="shared" si="26"/>
        <v>6982.85</v>
      </c>
      <c r="M186" s="3"/>
      <c r="N186" s="7">
        <f t="shared" si="27"/>
        <v>0.77920722916304008</v>
      </c>
      <c r="O186" s="12"/>
      <c r="P186" s="8">
        <v>55165.49</v>
      </c>
      <c r="Q186" s="3"/>
      <c r="R186" s="7">
        <f t="shared" si="28"/>
        <v>8.2810378889492317E-3</v>
      </c>
      <c r="S186" s="3"/>
      <c r="T186" s="8">
        <v>35159.06</v>
      </c>
      <c r="U186" s="3"/>
      <c r="V186" s="7">
        <f t="shared" si="29"/>
        <v>7.4764524472088903E-3</v>
      </c>
      <c r="W186" s="3"/>
      <c r="X186" s="8">
        <f t="shared" si="30"/>
        <v>20006.43</v>
      </c>
      <c r="Y186" s="3"/>
      <c r="Z186" s="7">
        <f t="shared" si="31"/>
        <v>0.56902630502635743</v>
      </c>
    </row>
    <row r="187" spans="1:26" s="69" customFormat="1" ht="15" hidden="1" customHeight="1" outlineLevel="2" x14ac:dyDescent="0.3">
      <c r="A187" s="26"/>
      <c r="B187" s="12" t="str">
        <f>CONCATENATE("          ","6254"," - ","ROYALTY &amp; COMMISSIONS")</f>
        <v xml:space="preserve">          6254 - ROYALTY &amp; COMMISSIONS</v>
      </c>
      <c r="C187" s="12"/>
      <c r="D187" s="8">
        <v>10897.24</v>
      </c>
      <c r="E187" s="3"/>
      <c r="F187" s="7">
        <f t="shared" si="24"/>
        <v>1.2476369181521153E-2</v>
      </c>
      <c r="G187" s="3"/>
      <c r="H187" s="8"/>
      <c r="I187" s="3"/>
      <c r="J187" s="7">
        <f t="shared" si="25"/>
        <v>0</v>
      </c>
      <c r="K187" s="3"/>
      <c r="L187" s="8">
        <f t="shared" si="26"/>
        <v>10897.24</v>
      </c>
      <c r="M187" s="3"/>
      <c r="N187" s="7">
        <f t="shared" si="27"/>
        <v>0</v>
      </c>
      <c r="O187" s="12"/>
      <c r="P187" s="8">
        <v>14406.39</v>
      </c>
      <c r="Q187" s="3"/>
      <c r="R187" s="7">
        <f t="shared" si="28"/>
        <v>2.162581378919671E-3</v>
      </c>
      <c r="S187" s="3"/>
      <c r="T187" s="8"/>
      <c r="U187" s="3"/>
      <c r="V187" s="7">
        <f t="shared" si="29"/>
        <v>0</v>
      </c>
      <c r="W187" s="3"/>
      <c r="X187" s="8">
        <f t="shared" si="30"/>
        <v>14406.39</v>
      </c>
      <c r="Y187" s="3"/>
      <c r="Z187" s="7">
        <f t="shared" si="31"/>
        <v>0</v>
      </c>
    </row>
    <row r="188" spans="1:26" s="69" customFormat="1" ht="15" hidden="1" customHeight="1" outlineLevel="2" x14ac:dyDescent="0.3">
      <c r="A188" s="26"/>
      <c r="B188" s="12" t="str">
        <f>CONCATENATE("          ","6259"," - ","ROYALTY &amp; COMMISSIONS")</f>
        <v xml:space="preserve">          6259 - ROYALTY &amp; COMMISSIONS</v>
      </c>
      <c r="C188" s="12"/>
      <c r="D188" s="8">
        <v>2045.03</v>
      </c>
      <c r="E188" s="3"/>
      <c r="F188" s="7">
        <f t="shared" si="24"/>
        <v>2.3413771989316749E-3</v>
      </c>
      <c r="G188" s="3"/>
      <c r="H188" s="8">
        <v>2570.27</v>
      </c>
      <c r="I188" s="3"/>
      <c r="J188" s="7">
        <f t="shared" si="25"/>
        <v>5.8619568426949015E-3</v>
      </c>
      <c r="K188" s="3"/>
      <c r="L188" s="8">
        <f t="shared" si="26"/>
        <v>-525.24</v>
      </c>
      <c r="M188" s="3"/>
      <c r="N188" s="7">
        <f t="shared" si="27"/>
        <v>-0.20435207196131147</v>
      </c>
      <c r="O188" s="12"/>
      <c r="P188" s="8">
        <v>12050.65</v>
      </c>
      <c r="Q188" s="3"/>
      <c r="R188" s="7">
        <f t="shared" si="28"/>
        <v>1.8089550049581007E-3</v>
      </c>
      <c r="S188" s="3"/>
      <c r="T188" s="8">
        <v>13233.89</v>
      </c>
      <c r="U188" s="3"/>
      <c r="V188" s="7">
        <f t="shared" si="29"/>
        <v>2.8141409149332569E-3</v>
      </c>
      <c r="W188" s="3"/>
      <c r="X188" s="8">
        <f t="shared" si="30"/>
        <v>-1183.2399999999998</v>
      </c>
      <c r="Y188" s="3"/>
      <c r="Z188" s="7">
        <f t="shared" si="31"/>
        <v>-8.940984094623726E-2</v>
      </c>
    </row>
    <row r="189" spans="1:26" s="68" customFormat="1" ht="15" customHeight="1" outlineLevel="1" collapsed="1" x14ac:dyDescent="0.3">
      <c r="A189" s="25"/>
      <c r="B189" s="14" t="str">
        <f>CONCATENATE("     ","Services                                          ")</f>
        <v xml:space="preserve">     Services                                          </v>
      </c>
      <c r="C189" s="14"/>
      <c r="D189" s="2">
        <f>SUM(OSRRefD22_18x_0)</f>
        <v>4617.1299999999992</v>
      </c>
      <c r="E189" s="2"/>
      <c r="F189" s="6">
        <f t="shared" si="24"/>
        <v>5.2862026016749887E-3</v>
      </c>
      <c r="G189" s="2"/>
      <c r="H189" s="2">
        <f>SUM(OSRRefH22_18x_0)</f>
        <v>4006.32</v>
      </c>
      <c r="I189" s="2"/>
      <c r="J189" s="6">
        <f t="shared" si="25"/>
        <v>9.1371237021890452E-3</v>
      </c>
      <c r="K189" s="2"/>
      <c r="L189" s="2">
        <f t="shared" si="26"/>
        <v>610.80999999999904</v>
      </c>
      <c r="M189" s="2"/>
      <c r="N189" s="6">
        <f t="shared" si="27"/>
        <v>0.15246161065516459</v>
      </c>
      <c r="O189" s="14"/>
      <c r="P189" s="2">
        <f>SUM(OSRRefP22_18x_0)</f>
        <v>56510.759999999995</v>
      </c>
      <c r="Q189" s="2"/>
      <c r="R189" s="6">
        <f t="shared" si="28"/>
        <v>8.4829799335293977E-3</v>
      </c>
      <c r="S189" s="2"/>
      <c r="T189" s="2">
        <f>SUM(OSRRefT22_18x_0)</f>
        <v>40143.980000000003</v>
      </c>
      <c r="U189" s="2"/>
      <c r="V189" s="6">
        <f t="shared" si="29"/>
        <v>8.5364784357632086E-3</v>
      </c>
      <c r="W189" s="2"/>
      <c r="X189" s="2">
        <f t="shared" si="30"/>
        <v>16366.779999999992</v>
      </c>
      <c r="Y189" s="2"/>
      <c r="Z189" s="6">
        <f t="shared" si="31"/>
        <v>0.40770197673474307</v>
      </c>
    </row>
    <row r="190" spans="1:26" s="69" customFormat="1" ht="15" hidden="1" customHeight="1" outlineLevel="2" x14ac:dyDescent="0.3">
      <c r="A190" s="26"/>
      <c r="B190" s="12" t="str">
        <f>CONCATENATE("          ","6282"," - ","JANITORIAL/EXTERMINATOR EXPENS")</f>
        <v xml:space="preserve">          6282 - JANITORIAL/EXTERMINATOR EXPENS</v>
      </c>
      <c r="C190" s="12"/>
      <c r="D190" s="8">
        <v>209.65</v>
      </c>
      <c r="E190" s="3"/>
      <c r="F190" s="7">
        <f t="shared" si="24"/>
        <v>2.4003057644925778E-4</v>
      </c>
      <c r="G190" s="3"/>
      <c r="H190" s="8"/>
      <c r="I190" s="3"/>
      <c r="J190" s="7">
        <f t="shared" si="25"/>
        <v>0</v>
      </c>
      <c r="K190" s="3"/>
      <c r="L190" s="8">
        <f t="shared" si="26"/>
        <v>209.65</v>
      </c>
      <c r="M190" s="3"/>
      <c r="N190" s="7">
        <f t="shared" si="27"/>
        <v>0</v>
      </c>
      <c r="O190" s="12"/>
      <c r="P190" s="8">
        <v>2963.28</v>
      </c>
      <c r="Q190" s="3"/>
      <c r="R190" s="7">
        <f t="shared" si="28"/>
        <v>4.4482581330403267E-4</v>
      </c>
      <c r="S190" s="3"/>
      <c r="T190" s="8">
        <v>7406.12</v>
      </c>
      <c r="U190" s="3"/>
      <c r="V190" s="7">
        <f t="shared" si="29"/>
        <v>1.574885790414269E-3</v>
      </c>
      <c r="W190" s="3"/>
      <c r="X190" s="8">
        <f t="shared" si="30"/>
        <v>-4442.84</v>
      </c>
      <c r="Y190" s="3"/>
      <c r="Z190" s="7">
        <f t="shared" si="31"/>
        <v>-0.59988766047539066</v>
      </c>
    </row>
    <row r="191" spans="1:26" s="69" customFormat="1" ht="15" hidden="1" customHeight="1" outlineLevel="2" x14ac:dyDescent="0.3">
      <c r="A191" s="26"/>
      <c r="B191" s="12" t="str">
        <f>CONCATENATE("          ","6283"," - ","PLANT SERVICE")</f>
        <v xml:space="preserve">          6283 - PLANT SERVICE</v>
      </c>
      <c r="C191" s="12"/>
      <c r="D191" s="8"/>
      <c r="E191" s="3"/>
      <c r="F191" s="7">
        <f t="shared" ref="F191:F215" si="32">IF(D$12=0,0,D191/D$12)</f>
        <v>0</v>
      </c>
      <c r="G191" s="3"/>
      <c r="H191" s="8"/>
      <c r="I191" s="3"/>
      <c r="J191" s="7">
        <f t="shared" ref="J191:J215" si="33">IF(H$12=0,0,H191/H$12)</f>
        <v>0</v>
      </c>
      <c r="K191" s="3"/>
      <c r="L191" s="8">
        <f t="shared" ref="L191:L215" si="34">+D191-H191</f>
        <v>0</v>
      </c>
      <c r="M191" s="3"/>
      <c r="N191" s="7">
        <f t="shared" ref="N191:N215" si="35">IF(H191=0,0,L191/H191)</f>
        <v>0</v>
      </c>
      <c r="O191" s="12"/>
      <c r="P191" s="8"/>
      <c r="Q191" s="3"/>
      <c r="R191" s="7">
        <f t="shared" ref="R191:R215" si="36">IF(P$12=0,0,P191/P$12)</f>
        <v>0</v>
      </c>
      <c r="S191" s="3"/>
      <c r="T191" s="8">
        <v>171.31</v>
      </c>
      <c r="U191" s="3"/>
      <c r="V191" s="7">
        <f t="shared" ref="V191:V215" si="37">IF(T$12=0,0,T191/T$12)</f>
        <v>3.6428478711642325E-5</v>
      </c>
      <c r="W191" s="3"/>
      <c r="X191" s="8">
        <f t="shared" ref="X191:X215" si="38">+P191-T191</f>
        <v>-171.31</v>
      </c>
      <c r="Y191" s="3"/>
      <c r="Z191" s="7">
        <f t="shared" ref="Z191:Z215" si="39">IF(T191=0,0,X191/T191)</f>
        <v>-1</v>
      </c>
    </row>
    <row r="192" spans="1:26" s="69" customFormat="1" ht="15" hidden="1" customHeight="1" outlineLevel="2" x14ac:dyDescent="0.3">
      <c r="A192" s="26"/>
      <c r="B192" s="12" t="str">
        <f>CONCATENATE("          ","6284"," - ","TRASH REMOVAL EXPENSE")</f>
        <v xml:space="preserve">          6284 - TRASH REMOVAL EXPENSE</v>
      </c>
      <c r="C192" s="12"/>
      <c r="D192" s="8"/>
      <c r="E192" s="3"/>
      <c r="F192" s="7">
        <f t="shared" si="32"/>
        <v>0</v>
      </c>
      <c r="G192" s="3"/>
      <c r="H192" s="8">
        <v>142.57</v>
      </c>
      <c r="I192" s="3"/>
      <c r="J192" s="7">
        <f t="shared" si="33"/>
        <v>3.2515618478331539E-4</v>
      </c>
      <c r="K192" s="3"/>
      <c r="L192" s="8">
        <f t="shared" si="34"/>
        <v>-142.57</v>
      </c>
      <c r="M192" s="3"/>
      <c r="N192" s="7">
        <f t="shared" si="35"/>
        <v>-1</v>
      </c>
      <c r="O192" s="12"/>
      <c r="P192" s="8">
        <v>1340.17</v>
      </c>
      <c r="Q192" s="3"/>
      <c r="R192" s="7">
        <f t="shared" si="36"/>
        <v>2.0117647006549007E-4</v>
      </c>
      <c r="S192" s="3"/>
      <c r="T192" s="8">
        <v>1440.72</v>
      </c>
      <c r="U192" s="3"/>
      <c r="V192" s="7">
        <f t="shared" si="37"/>
        <v>3.0636412263987698E-4</v>
      </c>
      <c r="W192" s="3"/>
      <c r="X192" s="8">
        <f t="shared" si="38"/>
        <v>-100.54999999999995</v>
      </c>
      <c r="Y192" s="3"/>
      <c r="Z192" s="7">
        <f t="shared" si="39"/>
        <v>-6.9791493142317695E-2</v>
      </c>
    </row>
    <row r="193" spans="1:26" s="69" customFormat="1" ht="15" hidden="1" customHeight="1" outlineLevel="2" x14ac:dyDescent="0.3">
      <c r="A193" s="26"/>
      <c r="B193" s="12" t="str">
        <f>CONCATENATE("          ","6285"," - ","JANITORIAL SERVICES")</f>
        <v xml:space="preserve">          6285 - JANITORIAL SERVICES</v>
      </c>
      <c r="C193" s="12"/>
      <c r="D193" s="8">
        <v>4407.4799999999996</v>
      </c>
      <c r="E193" s="3"/>
      <c r="F193" s="7">
        <f t="shared" si="32"/>
        <v>5.046172025225731E-3</v>
      </c>
      <c r="G193" s="3"/>
      <c r="H193" s="8">
        <v>3863.75</v>
      </c>
      <c r="I193" s="3"/>
      <c r="J193" s="7">
        <f t="shared" si="33"/>
        <v>8.8119675174057298E-3</v>
      </c>
      <c r="K193" s="3"/>
      <c r="L193" s="8">
        <f t="shared" si="34"/>
        <v>543.72999999999956</v>
      </c>
      <c r="M193" s="3"/>
      <c r="N193" s="7">
        <f t="shared" si="35"/>
        <v>0.14072597864768671</v>
      </c>
      <c r="O193" s="12"/>
      <c r="P193" s="8">
        <v>52207.31</v>
      </c>
      <c r="Q193" s="3"/>
      <c r="R193" s="7">
        <f t="shared" si="36"/>
        <v>7.8369776501598758E-3</v>
      </c>
      <c r="S193" s="3"/>
      <c r="T193" s="8">
        <v>31125.83</v>
      </c>
      <c r="U193" s="3"/>
      <c r="V193" s="7">
        <f t="shared" si="37"/>
        <v>6.6188000439974205E-3</v>
      </c>
      <c r="W193" s="3"/>
      <c r="X193" s="8">
        <f t="shared" si="38"/>
        <v>21081.479999999996</v>
      </c>
      <c r="Y193" s="3"/>
      <c r="Z193" s="7">
        <f t="shared" si="39"/>
        <v>0.67729856521095166</v>
      </c>
    </row>
    <row r="194" spans="1:26" s="68" customFormat="1" ht="15" customHeight="1" outlineLevel="1" collapsed="1" x14ac:dyDescent="0.3">
      <c r="A194" s="25"/>
      <c r="B194" s="14" t="str">
        <f>CONCATENATE("     ","Subscriptions &amp; Dues                              ")</f>
        <v xml:space="preserve">     Subscriptions &amp; Dues                              </v>
      </c>
      <c r="C194" s="14"/>
      <c r="D194" s="2">
        <f>SUM(OSRRefD22_19x_0)</f>
        <v>2418.29</v>
      </c>
      <c r="E194" s="2"/>
      <c r="F194" s="6">
        <f t="shared" si="32"/>
        <v>2.7687266526185334E-3</v>
      </c>
      <c r="G194" s="2"/>
      <c r="H194" s="2">
        <f>SUM(OSRRefH22_19x_0)</f>
        <v>2343.58</v>
      </c>
      <c r="I194" s="2"/>
      <c r="J194" s="6">
        <f t="shared" si="33"/>
        <v>5.3449500703828456E-3</v>
      </c>
      <c r="K194" s="2"/>
      <c r="L194" s="2">
        <f t="shared" si="34"/>
        <v>74.710000000000036</v>
      </c>
      <c r="M194" s="2"/>
      <c r="N194" s="6">
        <f t="shared" si="35"/>
        <v>3.1878578926258137E-2</v>
      </c>
      <c r="O194" s="14"/>
      <c r="P194" s="2">
        <f>SUM(OSRRefP22_19x_0)</f>
        <v>4895.9400000000005</v>
      </c>
      <c r="Q194" s="2"/>
      <c r="R194" s="6">
        <f t="shared" si="36"/>
        <v>7.3494252733043988E-4</v>
      </c>
      <c r="S194" s="2"/>
      <c r="T194" s="2">
        <f>SUM(OSRRefT22_19x_0)</f>
        <v>6677.91</v>
      </c>
      <c r="U194" s="2"/>
      <c r="V194" s="6">
        <f t="shared" si="37"/>
        <v>1.4200344537578856E-3</v>
      </c>
      <c r="W194" s="2"/>
      <c r="X194" s="2">
        <f t="shared" si="38"/>
        <v>-1781.9699999999993</v>
      </c>
      <c r="Y194" s="2"/>
      <c r="Z194" s="6">
        <f t="shared" si="39"/>
        <v>-0.26684546512306984</v>
      </c>
    </row>
    <row r="195" spans="1:26" s="69" customFormat="1" ht="15" hidden="1" customHeight="1" outlineLevel="2" x14ac:dyDescent="0.3">
      <c r="A195" s="26"/>
      <c r="B195" s="12" t="str">
        <f>CONCATENATE("          ","6258"," - ","MEMBERSHIP DUES")</f>
        <v xml:space="preserve">          6258 - MEMBERSHIP DUES</v>
      </c>
      <c r="C195" s="12"/>
      <c r="D195" s="8">
        <v>510.65</v>
      </c>
      <c r="E195" s="3"/>
      <c r="F195" s="7">
        <f t="shared" si="32"/>
        <v>5.8464876634301683E-4</v>
      </c>
      <c r="G195" s="3"/>
      <c r="H195" s="8">
        <v>328.71</v>
      </c>
      <c r="I195" s="3"/>
      <c r="J195" s="7">
        <f t="shared" si="33"/>
        <v>7.4968148628830463E-4</v>
      </c>
      <c r="K195" s="3"/>
      <c r="L195" s="8">
        <f t="shared" si="34"/>
        <v>181.94</v>
      </c>
      <c r="M195" s="3"/>
      <c r="N195" s="7">
        <f t="shared" si="35"/>
        <v>0.55349700343768071</v>
      </c>
      <c r="O195" s="12"/>
      <c r="P195" s="8">
        <v>2988.3</v>
      </c>
      <c r="Q195" s="3"/>
      <c r="R195" s="7">
        <f t="shared" si="36"/>
        <v>4.4858163180544561E-4</v>
      </c>
      <c r="S195" s="3"/>
      <c r="T195" s="8">
        <v>2435.23</v>
      </c>
      <c r="U195" s="3"/>
      <c r="V195" s="7">
        <f t="shared" si="37"/>
        <v>5.1784323281158569E-4</v>
      </c>
      <c r="W195" s="3"/>
      <c r="X195" s="8">
        <f t="shared" si="38"/>
        <v>553.07000000000016</v>
      </c>
      <c r="Y195" s="3"/>
      <c r="Z195" s="7">
        <f t="shared" si="39"/>
        <v>0.22711201816666193</v>
      </c>
    </row>
    <row r="196" spans="1:26" s="69" customFormat="1" ht="15" hidden="1" customHeight="1" outlineLevel="2" x14ac:dyDescent="0.3">
      <c r="A196" s="26"/>
      <c r="B196" s="12" t="str">
        <f>CONCATENATE("          ","6275"," - ","SUBSCRIPTIONS")</f>
        <v xml:space="preserve">          6275 - SUBSCRIPTIONS</v>
      </c>
      <c r="C196" s="12"/>
      <c r="D196" s="8">
        <v>1907.64</v>
      </c>
      <c r="E196" s="3"/>
      <c r="F196" s="7">
        <f t="shared" si="32"/>
        <v>2.1840778862755169E-3</v>
      </c>
      <c r="G196" s="3"/>
      <c r="H196" s="8">
        <v>2014.87</v>
      </c>
      <c r="I196" s="3"/>
      <c r="J196" s="7">
        <f t="shared" si="33"/>
        <v>4.5952685840945405E-3</v>
      </c>
      <c r="K196" s="3"/>
      <c r="L196" s="8">
        <f t="shared" si="34"/>
        <v>-107.22999999999979</v>
      </c>
      <c r="M196" s="3"/>
      <c r="N196" s="7">
        <f t="shared" si="35"/>
        <v>-5.3219314397454823E-2</v>
      </c>
      <c r="O196" s="12"/>
      <c r="P196" s="8">
        <v>1907.64</v>
      </c>
      <c r="Q196" s="3"/>
      <c r="R196" s="7">
        <f t="shared" si="36"/>
        <v>2.8636089552499421E-4</v>
      </c>
      <c r="S196" s="3"/>
      <c r="T196" s="8">
        <v>4242.68</v>
      </c>
      <c r="U196" s="3"/>
      <c r="V196" s="7">
        <f t="shared" si="37"/>
        <v>9.021912209463001E-4</v>
      </c>
      <c r="W196" s="3"/>
      <c r="X196" s="8">
        <f t="shared" si="38"/>
        <v>-2335.04</v>
      </c>
      <c r="Y196" s="3"/>
      <c r="Z196" s="7">
        <f t="shared" si="39"/>
        <v>-0.55036910631959035</v>
      </c>
    </row>
    <row r="197" spans="1:26" s="68" customFormat="1" ht="15" customHeight="1" outlineLevel="1" collapsed="1" x14ac:dyDescent="0.3">
      <c r="A197" s="25"/>
      <c r="B197" s="14" t="str">
        <f>CONCATENATE("     ","Supplies                                          ")</f>
        <v xml:space="preserve">     Supplies                                          </v>
      </c>
      <c r="C197" s="14"/>
      <c r="D197" s="2">
        <f>SUM(OSRRefD22_20x_0)</f>
        <v>11285.779999999999</v>
      </c>
      <c r="E197" s="2"/>
      <c r="F197" s="6">
        <f t="shared" si="32"/>
        <v>1.292121287421657E-2</v>
      </c>
      <c r="G197" s="2"/>
      <c r="H197" s="2">
        <f>SUM(OSRRefH22_20x_0)</f>
        <v>8692.42</v>
      </c>
      <c r="I197" s="2"/>
      <c r="J197" s="6">
        <f t="shared" si="33"/>
        <v>1.9824606324852258E-2</v>
      </c>
      <c r="K197" s="2"/>
      <c r="L197" s="2">
        <f t="shared" si="34"/>
        <v>2593.3599999999988</v>
      </c>
      <c r="M197" s="2"/>
      <c r="N197" s="6">
        <f t="shared" si="35"/>
        <v>0.29834729568980778</v>
      </c>
      <c r="O197" s="14"/>
      <c r="P197" s="2">
        <f>SUM(OSRRefP22_20x_0)</f>
        <v>97813.51999999999</v>
      </c>
      <c r="Q197" s="2"/>
      <c r="R197" s="6">
        <f t="shared" si="36"/>
        <v>1.4683046686823471E-2</v>
      </c>
      <c r="S197" s="2"/>
      <c r="T197" s="2">
        <f>SUM(OSRRefT22_20x_0)</f>
        <v>111696.69</v>
      </c>
      <c r="U197" s="2"/>
      <c r="V197" s="6">
        <f t="shared" si="37"/>
        <v>2.3751914621597758E-2</v>
      </c>
      <c r="W197" s="2"/>
      <c r="X197" s="2">
        <f t="shared" si="38"/>
        <v>-13883.170000000013</v>
      </c>
      <c r="Y197" s="2"/>
      <c r="Z197" s="6">
        <f t="shared" si="39"/>
        <v>-0.12429347727314044</v>
      </c>
    </row>
    <row r="198" spans="1:26" s="69" customFormat="1" ht="15" hidden="1" customHeight="1" outlineLevel="2" x14ac:dyDescent="0.3">
      <c r="A198" s="26"/>
      <c r="B198" s="12" t="str">
        <f>CONCATENATE("          ","6234"," - ","EXPENDABLE SUPPLIES &amp; EQUIPMEN")</f>
        <v xml:space="preserve">          6234 - EXPENDABLE SUPPLIES &amp; EQUIPMEN</v>
      </c>
      <c r="C198" s="12"/>
      <c r="D198" s="8">
        <v>4993.3100000000004</v>
      </c>
      <c r="E198" s="3"/>
      <c r="F198" s="7">
        <f t="shared" si="32"/>
        <v>5.7168951952770971E-3</v>
      </c>
      <c r="G198" s="3"/>
      <c r="H198" s="8">
        <v>53</v>
      </c>
      <c r="I198" s="3"/>
      <c r="J198" s="7">
        <f t="shared" si="33"/>
        <v>1.2087590512390907E-4</v>
      </c>
      <c r="K198" s="3"/>
      <c r="L198" s="8">
        <f t="shared" si="34"/>
        <v>4940.3100000000004</v>
      </c>
      <c r="M198" s="3"/>
      <c r="N198" s="7">
        <f t="shared" si="35"/>
        <v>93.213396226415099</v>
      </c>
      <c r="O198" s="12"/>
      <c r="P198" s="8">
        <v>10282.879999999999</v>
      </c>
      <c r="Q198" s="3"/>
      <c r="R198" s="7">
        <f t="shared" si="36"/>
        <v>1.5435903657797343E-3</v>
      </c>
      <c r="S198" s="3"/>
      <c r="T198" s="8">
        <v>0.16</v>
      </c>
      <c r="U198" s="3"/>
      <c r="V198" s="7">
        <f t="shared" si="37"/>
        <v>3.4023446347923484E-8</v>
      </c>
      <c r="W198" s="3"/>
      <c r="X198" s="8">
        <f t="shared" si="38"/>
        <v>10282.719999999999</v>
      </c>
      <c r="Y198" s="3"/>
      <c r="Z198" s="7">
        <f t="shared" si="39"/>
        <v>64266.999999999993</v>
      </c>
    </row>
    <row r="199" spans="1:26" s="69" customFormat="1" ht="15" hidden="1" customHeight="1" outlineLevel="2" x14ac:dyDescent="0.3">
      <c r="A199" s="26"/>
      <c r="B199" s="12" t="str">
        <f>CONCATENATE("          ","6235"," - ","COVID-19 EXPENSES")</f>
        <v xml:space="preserve">          6235 - COVID-19 EXPENSES</v>
      </c>
      <c r="C199" s="12"/>
      <c r="D199" s="8"/>
      <c r="E199" s="3"/>
      <c r="F199" s="7">
        <f t="shared" si="32"/>
        <v>0</v>
      </c>
      <c r="G199" s="3"/>
      <c r="H199" s="8">
        <v>3407.79</v>
      </c>
      <c r="I199" s="3"/>
      <c r="J199" s="7">
        <f t="shared" si="33"/>
        <v>7.7720698249472845E-3</v>
      </c>
      <c r="K199" s="3"/>
      <c r="L199" s="8">
        <f t="shared" si="34"/>
        <v>-3407.79</v>
      </c>
      <c r="M199" s="3"/>
      <c r="N199" s="7">
        <f t="shared" si="35"/>
        <v>-1</v>
      </c>
      <c r="O199" s="12"/>
      <c r="P199" s="8">
        <v>3430.32</v>
      </c>
      <c r="Q199" s="3"/>
      <c r="R199" s="7">
        <f t="shared" si="36"/>
        <v>5.1493442533040727E-4</v>
      </c>
      <c r="S199" s="3"/>
      <c r="T199" s="8">
        <v>41069.79</v>
      </c>
      <c r="U199" s="3"/>
      <c r="V199" s="7">
        <f t="shared" si="37"/>
        <v>8.7333487286592772E-3</v>
      </c>
      <c r="W199" s="3"/>
      <c r="X199" s="8">
        <f t="shared" si="38"/>
        <v>-37639.47</v>
      </c>
      <c r="Y199" s="3"/>
      <c r="Z199" s="7">
        <f t="shared" si="39"/>
        <v>-0.91647583296627522</v>
      </c>
    </row>
    <row r="200" spans="1:26" s="69" customFormat="1" ht="15" hidden="1" customHeight="1" outlineLevel="2" x14ac:dyDescent="0.3">
      <c r="A200" s="26"/>
      <c r="B200" s="12" t="str">
        <f>CONCATENATE("          ","6237"," - ","JANITORIAL SUPPLIES")</f>
        <v xml:space="preserve">          6237 - JANITORIAL SUPPLIES</v>
      </c>
      <c r="C200" s="12"/>
      <c r="D200" s="8">
        <v>1406.74</v>
      </c>
      <c r="E200" s="3"/>
      <c r="F200" s="7">
        <f t="shared" si="32"/>
        <v>1.6105920014988259E-3</v>
      </c>
      <c r="G200" s="3"/>
      <c r="H200" s="8">
        <v>588.30999999999995</v>
      </c>
      <c r="I200" s="3"/>
      <c r="J200" s="7">
        <f t="shared" si="33"/>
        <v>1.3417453536499423E-3</v>
      </c>
      <c r="K200" s="3"/>
      <c r="L200" s="8">
        <f t="shared" si="34"/>
        <v>818.43000000000006</v>
      </c>
      <c r="M200" s="3"/>
      <c r="N200" s="7">
        <f t="shared" si="35"/>
        <v>1.3911543234009283</v>
      </c>
      <c r="O200" s="12"/>
      <c r="P200" s="8">
        <v>6195.9</v>
      </c>
      <c r="Q200" s="3"/>
      <c r="R200" s="7">
        <f t="shared" si="36"/>
        <v>9.3008296774198035E-4</v>
      </c>
      <c r="S200" s="3"/>
      <c r="T200" s="8">
        <v>3489.55</v>
      </c>
      <c r="U200" s="3"/>
      <c r="V200" s="7">
        <f t="shared" si="37"/>
        <v>7.420407325212275E-4</v>
      </c>
      <c r="W200" s="3"/>
      <c r="X200" s="8">
        <f t="shared" si="38"/>
        <v>2706.3499999999995</v>
      </c>
      <c r="Y200" s="3"/>
      <c r="Z200" s="7">
        <f t="shared" si="39"/>
        <v>0.77555845309567117</v>
      </c>
    </row>
    <row r="201" spans="1:26" s="69" customFormat="1" ht="15" hidden="1" customHeight="1" outlineLevel="2" x14ac:dyDescent="0.3">
      <c r="A201" s="26"/>
      <c r="B201" s="12" t="str">
        <f>CONCATENATE("          ","6241"," - ","OFFICE EXPENSE")</f>
        <v xml:space="preserve">          6241 - OFFICE EXPENSE</v>
      </c>
      <c r="C201" s="12"/>
      <c r="D201" s="8">
        <v>2289.85</v>
      </c>
      <c r="E201" s="3"/>
      <c r="F201" s="7">
        <f t="shared" si="32"/>
        <v>2.6216742927847978E-3</v>
      </c>
      <c r="G201" s="3"/>
      <c r="H201" s="8">
        <v>514.54999999999995</v>
      </c>
      <c r="I201" s="3"/>
      <c r="J201" s="7">
        <f t="shared" si="33"/>
        <v>1.1735225845567435E-3</v>
      </c>
      <c r="K201" s="3"/>
      <c r="L201" s="8">
        <f t="shared" si="34"/>
        <v>1775.3</v>
      </c>
      <c r="M201" s="3"/>
      <c r="N201" s="7">
        <f t="shared" si="35"/>
        <v>3.450199203187251</v>
      </c>
      <c r="O201" s="12"/>
      <c r="P201" s="8">
        <v>17007.89</v>
      </c>
      <c r="Q201" s="3"/>
      <c r="R201" s="7">
        <f t="shared" si="36"/>
        <v>2.5530994377296521E-3</v>
      </c>
      <c r="S201" s="3"/>
      <c r="T201" s="8">
        <v>10867.71</v>
      </c>
      <c r="U201" s="3"/>
      <c r="V201" s="7">
        <f t="shared" si="37"/>
        <v>2.3109809256861968E-3</v>
      </c>
      <c r="W201" s="3"/>
      <c r="X201" s="8">
        <f t="shared" si="38"/>
        <v>6140.18</v>
      </c>
      <c r="Y201" s="3"/>
      <c r="Z201" s="7">
        <f t="shared" si="39"/>
        <v>0.56499299300404604</v>
      </c>
    </row>
    <row r="202" spans="1:26" s="69" customFormat="1" ht="15" hidden="1" customHeight="1" outlineLevel="2" x14ac:dyDescent="0.3">
      <c r="A202" s="26"/>
      <c r="B202" s="12" t="str">
        <f>CONCATENATE("          ","6243"," - ","PAPER SUPPLIES")</f>
        <v xml:space="preserve">          6243 - PAPER SUPPLIES</v>
      </c>
      <c r="C202" s="12"/>
      <c r="D202" s="8">
        <v>410.22</v>
      </c>
      <c r="E202" s="3"/>
      <c r="F202" s="7">
        <f t="shared" si="32"/>
        <v>4.6966536165520879E-4</v>
      </c>
      <c r="G202" s="3"/>
      <c r="H202" s="8">
        <v>199.93</v>
      </c>
      <c r="I202" s="3"/>
      <c r="J202" s="7">
        <f t="shared" si="33"/>
        <v>4.5597584361175739E-4</v>
      </c>
      <c r="K202" s="3"/>
      <c r="L202" s="8">
        <f t="shared" si="34"/>
        <v>210.29000000000002</v>
      </c>
      <c r="M202" s="3"/>
      <c r="N202" s="7">
        <f t="shared" si="35"/>
        <v>1.0518181363477217</v>
      </c>
      <c r="O202" s="12"/>
      <c r="P202" s="8">
        <v>7245.36</v>
      </c>
      <c r="Q202" s="3"/>
      <c r="R202" s="7">
        <f t="shared" si="36"/>
        <v>1.0876201893444109E-3</v>
      </c>
      <c r="S202" s="3"/>
      <c r="T202" s="8">
        <v>6682.58</v>
      </c>
      <c r="U202" s="3"/>
      <c r="V202" s="7">
        <f t="shared" si="37"/>
        <v>1.4210275130981656E-3</v>
      </c>
      <c r="W202" s="3"/>
      <c r="X202" s="8">
        <f t="shared" si="38"/>
        <v>562.77999999999975</v>
      </c>
      <c r="Y202" s="3"/>
      <c r="Z202" s="7">
        <f t="shared" si="39"/>
        <v>8.421597646417997E-2</v>
      </c>
    </row>
    <row r="203" spans="1:26" s="69" customFormat="1" ht="15" hidden="1" customHeight="1" outlineLevel="2" x14ac:dyDescent="0.3">
      <c r="A203" s="26"/>
      <c r="B203" s="12" t="str">
        <f>CONCATENATE("          ","6245"," - ","PRINTING")</f>
        <v xml:space="preserve">          6245 - PRINTING</v>
      </c>
      <c r="C203" s="12"/>
      <c r="D203" s="8">
        <v>-45.84</v>
      </c>
      <c r="E203" s="3"/>
      <c r="F203" s="7">
        <f t="shared" si="32"/>
        <v>-5.2482717025680783E-5</v>
      </c>
      <c r="G203" s="3"/>
      <c r="H203" s="8">
        <v>1766.38</v>
      </c>
      <c r="I203" s="3"/>
      <c r="J203" s="7">
        <f t="shared" si="33"/>
        <v>4.028543043259821E-3</v>
      </c>
      <c r="K203" s="3"/>
      <c r="L203" s="8">
        <f t="shared" si="34"/>
        <v>-1812.22</v>
      </c>
      <c r="M203" s="3"/>
      <c r="N203" s="7">
        <f t="shared" si="35"/>
        <v>-1.0259513807900904</v>
      </c>
      <c r="O203" s="12"/>
      <c r="P203" s="8">
        <v>6940.68</v>
      </c>
      <c r="Q203" s="3"/>
      <c r="R203" s="7">
        <f t="shared" si="36"/>
        <v>1.0418838671617376E-3</v>
      </c>
      <c r="S203" s="3"/>
      <c r="T203" s="8">
        <v>3120.59</v>
      </c>
      <c r="U203" s="3"/>
      <c r="V203" s="7">
        <f t="shared" si="37"/>
        <v>6.6358266524291589E-4</v>
      </c>
      <c r="W203" s="3"/>
      <c r="X203" s="8">
        <f t="shared" si="38"/>
        <v>3820.09</v>
      </c>
      <c r="Y203" s="3"/>
      <c r="Z203" s="7">
        <f t="shared" si="39"/>
        <v>1.2241563294120663</v>
      </c>
    </row>
    <row r="204" spans="1:26" s="69" customFormat="1" ht="15" hidden="1" customHeight="1" outlineLevel="2" x14ac:dyDescent="0.3">
      <c r="A204" s="26"/>
      <c r="B204" s="12" t="str">
        <f>CONCATENATE("          ","6247"," - ","STORE SUPPLIES")</f>
        <v xml:space="preserve">          6247 - STORE SUPPLIES</v>
      </c>
      <c r="C204" s="12"/>
      <c r="D204" s="8">
        <v>2231.5</v>
      </c>
      <c r="E204" s="3"/>
      <c r="F204" s="7">
        <f t="shared" si="32"/>
        <v>2.5548687400263233E-3</v>
      </c>
      <c r="G204" s="3"/>
      <c r="H204" s="8">
        <v>2162.46</v>
      </c>
      <c r="I204" s="3"/>
      <c r="J204" s="7">
        <f t="shared" si="33"/>
        <v>4.9318737697028004E-3</v>
      </c>
      <c r="K204" s="3"/>
      <c r="L204" s="8">
        <f t="shared" si="34"/>
        <v>69.039999999999964</v>
      </c>
      <c r="M204" s="3"/>
      <c r="N204" s="7">
        <f t="shared" si="35"/>
        <v>3.1926602110559255E-2</v>
      </c>
      <c r="O204" s="12"/>
      <c r="P204" s="8">
        <v>46710.49</v>
      </c>
      <c r="Q204" s="3"/>
      <c r="R204" s="7">
        <f t="shared" si="36"/>
        <v>7.0118354337355511E-3</v>
      </c>
      <c r="S204" s="3"/>
      <c r="T204" s="8">
        <v>46466.31</v>
      </c>
      <c r="U204" s="3"/>
      <c r="V204" s="7">
        <f t="shared" si="37"/>
        <v>9.8809000329436267E-3</v>
      </c>
      <c r="W204" s="3"/>
      <c r="X204" s="8">
        <f t="shared" si="38"/>
        <v>244.18000000000029</v>
      </c>
      <c r="Y204" s="3"/>
      <c r="Z204" s="7">
        <f t="shared" si="39"/>
        <v>5.2549901207993559E-3</v>
      </c>
    </row>
    <row r="205" spans="1:26" s="68" customFormat="1" ht="15" customHeight="1" outlineLevel="1" collapsed="1" x14ac:dyDescent="0.3">
      <c r="A205" s="25"/>
      <c r="B205" s="14" t="str">
        <f>CONCATENATE("     ","Telephone/Data Lines                              ")</f>
        <v xml:space="preserve">     Telephone/Data Lines                              </v>
      </c>
      <c r="C205" s="14"/>
      <c r="D205" s="2">
        <f>SUM(OSRRefD22_21x_0)</f>
        <v>2203.44</v>
      </c>
      <c r="E205" s="2"/>
      <c r="F205" s="6">
        <f t="shared" si="32"/>
        <v>2.5227425393339019E-3</v>
      </c>
      <c r="G205" s="2"/>
      <c r="H205" s="2">
        <f>SUM(OSRRefH22_21x_0)</f>
        <v>1962.76</v>
      </c>
      <c r="I205" s="2"/>
      <c r="J205" s="6">
        <f t="shared" si="33"/>
        <v>4.4764224819057313E-3</v>
      </c>
      <c r="K205" s="2"/>
      <c r="L205" s="2">
        <f t="shared" si="34"/>
        <v>240.68000000000006</v>
      </c>
      <c r="M205" s="2"/>
      <c r="N205" s="6">
        <f t="shared" si="35"/>
        <v>0.1226232448185209</v>
      </c>
      <c r="O205" s="14"/>
      <c r="P205" s="2">
        <f>SUM(OSRRefP22_21x_0)</f>
        <v>18497.86</v>
      </c>
      <c r="Q205" s="2"/>
      <c r="R205" s="6">
        <f t="shared" si="36"/>
        <v>2.7767627827556401E-3</v>
      </c>
      <c r="S205" s="2"/>
      <c r="T205" s="2">
        <f>SUM(OSRRefT22_21x_0)</f>
        <v>21831.43</v>
      </c>
      <c r="U205" s="2"/>
      <c r="V205" s="6">
        <f t="shared" si="37"/>
        <v>4.6423780456465447E-3</v>
      </c>
      <c r="W205" s="2"/>
      <c r="X205" s="2">
        <f t="shared" si="38"/>
        <v>-3333.5699999999997</v>
      </c>
      <c r="Y205" s="2"/>
      <c r="Z205" s="6">
        <f t="shared" si="39"/>
        <v>-0.15269590677294156</v>
      </c>
    </row>
    <row r="206" spans="1:26" s="69" customFormat="1" ht="15" hidden="1" customHeight="1" outlineLevel="2" x14ac:dyDescent="0.3">
      <c r="A206" s="26"/>
      <c r="B206" s="12" t="str">
        <f>CONCATENATE("          ","6303"," - ","DATA PHONE LINES")</f>
        <v xml:space="preserve">          6303 - DATA PHONE LINES</v>
      </c>
      <c r="C206" s="12"/>
      <c r="D206" s="8"/>
      <c r="E206" s="3"/>
      <c r="F206" s="7">
        <f t="shared" si="32"/>
        <v>0</v>
      </c>
      <c r="G206" s="3"/>
      <c r="H206" s="8">
        <v>590</v>
      </c>
      <c r="I206" s="3"/>
      <c r="J206" s="7">
        <f t="shared" si="33"/>
        <v>1.3455996985491765E-3</v>
      </c>
      <c r="K206" s="3"/>
      <c r="L206" s="8">
        <f t="shared" si="34"/>
        <v>-590</v>
      </c>
      <c r="M206" s="3"/>
      <c r="N206" s="7">
        <f t="shared" si="35"/>
        <v>-1</v>
      </c>
      <c r="O206" s="12"/>
      <c r="P206" s="8">
        <v>295</v>
      </c>
      <c r="Q206" s="3"/>
      <c r="R206" s="7">
        <f t="shared" si="36"/>
        <v>4.4283231731287502E-5</v>
      </c>
      <c r="S206" s="3"/>
      <c r="T206" s="8">
        <v>3540</v>
      </c>
      <c r="U206" s="3"/>
      <c r="V206" s="7">
        <f t="shared" si="37"/>
        <v>7.5276875044780699E-4</v>
      </c>
      <c r="W206" s="3"/>
      <c r="X206" s="8">
        <f t="shared" si="38"/>
        <v>-3245</v>
      </c>
      <c r="Y206" s="3"/>
      <c r="Z206" s="7">
        <f t="shared" si="39"/>
        <v>-0.91666666666666663</v>
      </c>
    </row>
    <row r="207" spans="1:26" s="69" customFormat="1" ht="15" hidden="1" customHeight="1" outlineLevel="2" x14ac:dyDescent="0.3">
      <c r="A207" s="26"/>
      <c r="B207" s="12" t="str">
        <f>CONCATENATE("          ","6309"," - ","TELEPHONE")</f>
        <v xml:space="preserve">          6309 - TELEPHONE</v>
      </c>
      <c r="C207" s="12"/>
      <c r="D207" s="8">
        <v>2203.44</v>
      </c>
      <c r="E207" s="3"/>
      <c r="F207" s="7">
        <f t="shared" si="32"/>
        <v>2.5227425393339019E-3</v>
      </c>
      <c r="G207" s="3"/>
      <c r="H207" s="8">
        <v>1372.76</v>
      </c>
      <c r="I207" s="3"/>
      <c r="J207" s="7">
        <f t="shared" si="33"/>
        <v>3.1308227833565551E-3</v>
      </c>
      <c r="K207" s="3"/>
      <c r="L207" s="8">
        <f t="shared" si="34"/>
        <v>830.68000000000006</v>
      </c>
      <c r="M207" s="3"/>
      <c r="N207" s="7">
        <f t="shared" si="35"/>
        <v>0.60511669920452238</v>
      </c>
      <c r="O207" s="12"/>
      <c r="P207" s="8">
        <v>18202.86</v>
      </c>
      <c r="Q207" s="3"/>
      <c r="R207" s="7">
        <f t="shared" si="36"/>
        <v>2.7324795510243528E-3</v>
      </c>
      <c r="S207" s="3"/>
      <c r="T207" s="8">
        <v>18291.43</v>
      </c>
      <c r="U207" s="3"/>
      <c r="V207" s="7">
        <f t="shared" si="37"/>
        <v>3.8896092951987379E-3</v>
      </c>
      <c r="W207" s="3"/>
      <c r="X207" s="8">
        <f t="shared" si="38"/>
        <v>-88.569999999999709</v>
      </c>
      <c r="Y207" s="3"/>
      <c r="Z207" s="7">
        <f t="shared" si="39"/>
        <v>-4.8421583222306684E-3</v>
      </c>
    </row>
    <row r="208" spans="1:26" s="68" customFormat="1" ht="15" customHeight="1" outlineLevel="1" collapsed="1" x14ac:dyDescent="0.3">
      <c r="A208" s="25"/>
      <c r="B208" s="14" t="str">
        <f>CONCATENATE("     ","Training                                          ")</f>
        <v xml:space="preserve">     Training                                          </v>
      </c>
      <c r="C208" s="14"/>
      <c r="D208" s="2">
        <f>SUM(OSRRefD22_22x_0)</f>
        <v>125</v>
      </c>
      <c r="E208" s="2"/>
      <c r="F208" s="6">
        <f t="shared" si="32"/>
        <v>1.4311386623494979E-4</v>
      </c>
      <c r="G208" s="2"/>
      <c r="H208" s="2">
        <f>SUM(OSRRefH22_22x_0)</f>
        <v>0</v>
      </c>
      <c r="I208" s="2"/>
      <c r="J208" s="6">
        <f t="shared" si="33"/>
        <v>0</v>
      </c>
      <c r="K208" s="2"/>
      <c r="L208" s="2">
        <f t="shared" si="34"/>
        <v>125</v>
      </c>
      <c r="M208" s="2"/>
      <c r="N208" s="6">
        <f t="shared" si="35"/>
        <v>0</v>
      </c>
      <c r="O208" s="14"/>
      <c r="P208" s="2">
        <f>SUM(OSRRefP22_22x_0)</f>
        <v>1219</v>
      </c>
      <c r="Q208" s="2"/>
      <c r="R208" s="6">
        <f t="shared" si="36"/>
        <v>1.8298732027267615E-4</v>
      </c>
      <c r="S208" s="2"/>
      <c r="T208" s="2">
        <f>SUM(OSRRefT22_22x_0)</f>
        <v>895.63</v>
      </c>
      <c r="U208" s="2"/>
      <c r="V208" s="6">
        <f t="shared" si="37"/>
        <v>1.9045262032869192E-4</v>
      </c>
      <c r="W208" s="2"/>
      <c r="X208" s="2">
        <f t="shared" si="38"/>
        <v>323.37</v>
      </c>
      <c r="Y208" s="2"/>
      <c r="Z208" s="6">
        <f t="shared" si="39"/>
        <v>0.36105311345086699</v>
      </c>
    </row>
    <row r="209" spans="1:26" s="69" customFormat="1" ht="15" hidden="1" customHeight="1" outlineLevel="2" x14ac:dyDescent="0.3">
      <c r="A209" s="26"/>
      <c r="B209" s="12" t="str">
        <f>CONCATENATE("          ","6376"," - ","TRAINING")</f>
        <v xml:space="preserve">          6376 - TRAINING</v>
      </c>
      <c r="C209" s="12"/>
      <c r="D209" s="8">
        <v>125</v>
      </c>
      <c r="E209" s="3"/>
      <c r="F209" s="7">
        <f t="shared" si="32"/>
        <v>1.4311386623494979E-4</v>
      </c>
      <c r="G209" s="3"/>
      <c r="H209" s="8"/>
      <c r="I209" s="3"/>
      <c r="J209" s="7">
        <f t="shared" si="33"/>
        <v>0</v>
      </c>
      <c r="K209" s="3"/>
      <c r="L209" s="8">
        <f t="shared" si="34"/>
        <v>125</v>
      </c>
      <c r="M209" s="3"/>
      <c r="N209" s="7">
        <f t="shared" si="35"/>
        <v>0</v>
      </c>
      <c r="O209" s="12"/>
      <c r="P209" s="8">
        <v>1219</v>
      </c>
      <c r="Q209" s="3"/>
      <c r="R209" s="7">
        <f t="shared" si="36"/>
        <v>1.8298732027267615E-4</v>
      </c>
      <c r="S209" s="3"/>
      <c r="T209" s="8">
        <v>895.63</v>
      </c>
      <c r="U209" s="3"/>
      <c r="V209" s="7">
        <f t="shared" si="37"/>
        <v>1.9045262032869192E-4</v>
      </c>
      <c r="W209" s="3"/>
      <c r="X209" s="8">
        <f t="shared" si="38"/>
        <v>323.37</v>
      </c>
      <c r="Y209" s="3"/>
      <c r="Z209" s="7">
        <f t="shared" si="39"/>
        <v>0.36105311345086699</v>
      </c>
    </row>
    <row r="210" spans="1:26" s="68" customFormat="1" ht="15" customHeight="1" outlineLevel="1" collapsed="1" x14ac:dyDescent="0.3">
      <c r="A210" s="25"/>
      <c r="B210" s="14" t="str">
        <f>CONCATENATE("     ","Travel                                            ")</f>
        <v xml:space="preserve">     Travel                                            </v>
      </c>
      <c r="C210" s="14"/>
      <c r="D210" s="2">
        <f>SUM(OSRRefD22_23x_0)</f>
        <v>149.41</v>
      </c>
      <c r="E210" s="2"/>
      <c r="F210" s="6">
        <f t="shared" si="32"/>
        <v>1.7106114203331075E-4</v>
      </c>
      <c r="G210" s="2"/>
      <c r="H210" s="2">
        <f>SUM(OSRRefH22_23x_0)</f>
        <v>69.069999999999993</v>
      </c>
      <c r="I210" s="2"/>
      <c r="J210" s="6">
        <f t="shared" si="33"/>
        <v>1.5752639182846034E-4</v>
      </c>
      <c r="K210" s="2"/>
      <c r="L210" s="2">
        <f t="shared" si="34"/>
        <v>80.34</v>
      </c>
      <c r="M210" s="2"/>
      <c r="N210" s="6">
        <f t="shared" si="35"/>
        <v>1.1631678007818158</v>
      </c>
      <c r="O210" s="14"/>
      <c r="P210" s="2">
        <f>SUM(OSRRefP22_23x_0)</f>
        <v>1284.98</v>
      </c>
      <c r="Q210" s="2"/>
      <c r="R210" s="6">
        <f t="shared" si="36"/>
        <v>1.9289175291549091E-4</v>
      </c>
      <c r="S210" s="2"/>
      <c r="T210" s="2">
        <f>SUM(OSRRefT22_23x_0)</f>
        <v>972.4</v>
      </c>
      <c r="U210" s="2"/>
      <c r="V210" s="6">
        <f t="shared" si="37"/>
        <v>2.0677749517950496E-4</v>
      </c>
      <c r="W210" s="2"/>
      <c r="X210" s="2">
        <f t="shared" si="38"/>
        <v>312.58000000000004</v>
      </c>
      <c r="Y210" s="2"/>
      <c r="Z210" s="6">
        <f t="shared" si="39"/>
        <v>0.32145207733443032</v>
      </c>
    </row>
    <row r="211" spans="1:26" s="69" customFormat="1" ht="15" hidden="1" customHeight="1" outlineLevel="2" x14ac:dyDescent="0.3">
      <c r="A211" s="26"/>
      <c r="B211" s="12" t="str">
        <f>CONCATENATE("          ","6292"," - ","TRAVEL/CONFERENCE")</f>
        <v xml:space="preserve">          6292 - TRAVEL/CONFERENCE</v>
      </c>
      <c r="C211" s="12"/>
      <c r="D211" s="8"/>
      <c r="E211" s="3"/>
      <c r="F211" s="7">
        <f t="shared" si="32"/>
        <v>0</v>
      </c>
      <c r="G211" s="3"/>
      <c r="H211" s="8"/>
      <c r="I211" s="3"/>
      <c r="J211" s="7">
        <f t="shared" si="33"/>
        <v>0</v>
      </c>
      <c r="K211" s="3"/>
      <c r="L211" s="8">
        <f t="shared" si="34"/>
        <v>0</v>
      </c>
      <c r="M211" s="3"/>
      <c r="N211" s="7">
        <f t="shared" si="35"/>
        <v>0</v>
      </c>
      <c r="O211" s="12"/>
      <c r="P211" s="8">
        <v>495</v>
      </c>
      <c r="Q211" s="3"/>
      <c r="R211" s="7">
        <f t="shared" si="36"/>
        <v>7.4305761718601064E-5</v>
      </c>
      <c r="S211" s="3"/>
      <c r="T211" s="8">
        <v>299.16000000000003</v>
      </c>
      <c r="U211" s="3"/>
      <c r="V211" s="7">
        <f t="shared" si="37"/>
        <v>6.3615338809029938E-5</v>
      </c>
      <c r="W211" s="3"/>
      <c r="X211" s="8">
        <f t="shared" si="38"/>
        <v>195.83999999999997</v>
      </c>
      <c r="Y211" s="3"/>
      <c r="Z211" s="7">
        <f t="shared" si="39"/>
        <v>0.65463297232250284</v>
      </c>
    </row>
    <row r="212" spans="1:26" s="69" customFormat="1" ht="15" hidden="1" customHeight="1" outlineLevel="2" x14ac:dyDescent="0.3">
      <c r="A212" s="26"/>
      <c r="B212" s="12" t="str">
        <f>CONCATENATE("          ","6294"," - ","TRAVEL OPERATIONAL")</f>
        <v xml:space="preserve">          6294 - TRAVEL OPERATIONAL</v>
      </c>
      <c r="C212" s="12"/>
      <c r="D212" s="8"/>
      <c r="E212" s="3"/>
      <c r="F212" s="7">
        <f t="shared" si="32"/>
        <v>0</v>
      </c>
      <c r="G212" s="3"/>
      <c r="H212" s="8">
        <v>69.069999999999993</v>
      </c>
      <c r="I212" s="3"/>
      <c r="J212" s="7">
        <f t="shared" si="33"/>
        <v>1.5752639182846034E-4</v>
      </c>
      <c r="K212" s="3"/>
      <c r="L212" s="8">
        <f t="shared" si="34"/>
        <v>-69.069999999999993</v>
      </c>
      <c r="M212" s="3"/>
      <c r="N212" s="7">
        <f t="shared" si="35"/>
        <v>-1</v>
      </c>
      <c r="O212" s="12"/>
      <c r="P212" s="8">
        <v>403.48</v>
      </c>
      <c r="Q212" s="3"/>
      <c r="R212" s="7">
        <f t="shared" si="36"/>
        <v>6.0567451996406379E-5</v>
      </c>
      <c r="S212" s="3"/>
      <c r="T212" s="8">
        <v>613.35</v>
      </c>
      <c r="U212" s="3"/>
      <c r="V212" s="7">
        <f t="shared" si="37"/>
        <v>1.3042675510936794E-4</v>
      </c>
      <c r="W212" s="3"/>
      <c r="X212" s="8">
        <f t="shared" si="38"/>
        <v>-209.87</v>
      </c>
      <c r="Y212" s="3"/>
      <c r="Z212" s="7">
        <f t="shared" si="39"/>
        <v>-0.34217004972690956</v>
      </c>
    </row>
    <row r="213" spans="1:26" s="69" customFormat="1" ht="15" hidden="1" customHeight="1" outlineLevel="2" x14ac:dyDescent="0.3">
      <c r="A213" s="26"/>
      <c r="B213" s="12" t="str">
        <f>CONCATENATE("          ","6298"," - ","VEHICLE MILEAGE")</f>
        <v xml:space="preserve">          6298 - VEHICLE MILEAGE</v>
      </c>
      <c r="C213" s="12"/>
      <c r="D213" s="8">
        <v>149.41</v>
      </c>
      <c r="E213" s="3"/>
      <c r="F213" s="7">
        <f t="shared" si="32"/>
        <v>1.7106114203331075E-4</v>
      </c>
      <c r="G213" s="3"/>
      <c r="H213" s="8"/>
      <c r="I213" s="3"/>
      <c r="J213" s="7">
        <f t="shared" si="33"/>
        <v>0</v>
      </c>
      <c r="K213" s="3"/>
      <c r="L213" s="8">
        <f t="shared" si="34"/>
        <v>149.41</v>
      </c>
      <c r="M213" s="3"/>
      <c r="N213" s="7">
        <f t="shared" si="35"/>
        <v>0</v>
      </c>
      <c r="O213" s="12"/>
      <c r="P213" s="8">
        <v>386.5</v>
      </c>
      <c r="Q213" s="3"/>
      <c r="R213" s="7">
        <f t="shared" si="36"/>
        <v>5.8018539200483456E-5</v>
      </c>
      <c r="S213" s="3"/>
      <c r="T213" s="8">
        <v>59.89</v>
      </c>
      <c r="U213" s="3"/>
      <c r="V213" s="7">
        <f t="shared" si="37"/>
        <v>1.2735401261107109E-5</v>
      </c>
      <c r="W213" s="3"/>
      <c r="X213" s="8">
        <f t="shared" si="38"/>
        <v>326.61</v>
      </c>
      <c r="Y213" s="3"/>
      <c r="Z213" s="7">
        <f t="shared" si="39"/>
        <v>5.4534980798129906</v>
      </c>
    </row>
    <row r="214" spans="1:26" s="68" customFormat="1" ht="15" customHeight="1" outlineLevel="1" collapsed="1" x14ac:dyDescent="0.3">
      <c r="A214" s="25"/>
      <c r="B214" s="14" t="str">
        <f>CONCATENATE("     ","Utilities                                         ")</f>
        <v xml:space="preserve">     Utilities                                         </v>
      </c>
      <c r="C214" s="14"/>
      <c r="D214" s="2">
        <f>SUM(OSRRefD22_24x_0)</f>
        <v>6254.32</v>
      </c>
      <c r="E214" s="2"/>
      <c r="F214" s="6">
        <f t="shared" si="32"/>
        <v>7.1606393269645682E-3</v>
      </c>
      <c r="G214" s="2"/>
      <c r="H214" s="2">
        <f>SUM(OSRRefH22_24x_0)</f>
        <v>6161.93</v>
      </c>
      <c r="I214" s="2"/>
      <c r="J214" s="6">
        <f t="shared" si="33"/>
        <v>1.4053374831323944E-2</v>
      </c>
      <c r="K214" s="2"/>
      <c r="L214" s="2">
        <f t="shared" si="34"/>
        <v>92.389999999999418</v>
      </c>
      <c r="M214" s="2"/>
      <c r="N214" s="6">
        <f t="shared" si="35"/>
        <v>1.4993678928517431E-2</v>
      </c>
      <c r="O214" s="14"/>
      <c r="P214" s="2">
        <f>SUM(OSRRefP22_24x_0)</f>
        <v>55287.22</v>
      </c>
      <c r="Q214" s="2"/>
      <c r="R214" s="6">
        <f t="shared" si="36"/>
        <v>8.2993111018260096E-3</v>
      </c>
      <c r="S214" s="2"/>
      <c r="T214" s="2">
        <f>SUM(OSRRefT22_24x_0)</f>
        <v>58679.55</v>
      </c>
      <c r="U214" s="2"/>
      <c r="V214" s="6">
        <f t="shared" si="37"/>
        <v>1.2478003257158084E-2</v>
      </c>
      <c r="W214" s="2"/>
      <c r="X214" s="2">
        <f t="shared" si="38"/>
        <v>-3392.3300000000017</v>
      </c>
      <c r="Y214" s="2"/>
      <c r="Z214" s="6">
        <f t="shared" si="39"/>
        <v>-5.781111136673682E-2</v>
      </c>
    </row>
    <row r="215" spans="1:26" s="69" customFormat="1" ht="15" hidden="1" customHeight="1" outlineLevel="2" x14ac:dyDescent="0.3">
      <c r="A215" s="26"/>
      <c r="B215" s="12" t="str">
        <f>CONCATENATE("          ","6274"," - ","UTILITIES")</f>
        <v xml:space="preserve">          6274 - UTILITIES</v>
      </c>
      <c r="C215" s="12"/>
      <c r="D215" s="8">
        <v>6254.32</v>
      </c>
      <c r="E215" s="3"/>
      <c r="F215" s="7">
        <f t="shared" si="32"/>
        <v>7.1606393269645682E-3</v>
      </c>
      <c r="G215" s="3"/>
      <c r="H215" s="8">
        <v>6161.93</v>
      </c>
      <c r="I215" s="3"/>
      <c r="J215" s="7">
        <f t="shared" si="33"/>
        <v>1.4053374831323944E-2</v>
      </c>
      <c r="K215" s="3"/>
      <c r="L215" s="8">
        <f t="shared" si="34"/>
        <v>92.389999999999418</v>
      </c>
      <c r="M215" s="3"/>
      <c r="N215" s="7">
        <f t="shared" si="35"/>
        <v>1.4993678928517431E-2</v>
      </c>
      <c r="O215" s="12"/>
      <c r="P215" s="8">
        <v>55287.22</v>
      </c>
      <c r="Q215" s="3"/>
      <c r="R215" s="7">
        <f t="shared" si="36"/>
        <v>8.2993111018260096E-3</v>
      </c>
      <c r="S215" s="3"/>
      <c r="T215" s="8">
        <v>58679.55</v>
      </c>
      <c r="U215" s="3"/>
      <c r="V215" s="7">
        <f t="shared" si="37"/>
        <v>1.2478003257158084E-2</v>
      </c>
      <c r="W215" s="3"/>
      <c r="X215" s="8">
        <f t="shared" si="38"/>
        <v>-3392.3300000000017</v>
      </c>
      <c r="Y215" s="3"/>
      <c r="Z215" s="7">
        <f t="shared" si="39"/>
        <v>-5.781111136673682E-2</v>
      </c>
    </row>
    <row r="216" spans="1:26" s="64" customFormat="1" ht="15" customHeight="1" x14ac:dyDescent="0.3">
      <c r="A216" s="36"/>
      <c r="B216" s="36"/>
      <c r="C216" s="36"/>
      <c r="D216" s="2"/>
      <c r="E216" s="2"/>
      <c r="F216" s="6"/>
      <c r="G216" s="2"/>
      <c r="H216" s="2"/>
      <c r="I216" s="2"/>
      <c r="J216" s="6"/>
      <c r="K216" s="2"/>
      <c r="L216" s="2"/>
      <c r="M216" s="2"/>
      <c r="N216" s="6"/>
      <c r="O216" s="36"/>
      <c r="P216" s="2"/>
      <c r="Q216" s="2"/>
      <c r="R216" s="6"/>
      <c r="S216" s="2"/>
      <c r="T216" s="2"/>
      <c r="U216" s="2"/>
      <c r="V216" s="6"/>
      <c r="W216" s="2"/>
      <c r="X216" s="2"/>
      <c r="Y216" s="2"/>
      <c r="Z216" s="6"/>
    </row>
    <row r="217" spans="1:26" s="62" customFormat="1" ht="15" customHeight="1" collapsed="1" x14ac:dyDescent="0.3">
      <c r="A217" s="11"/>
      <c r="B217" s="27" t="s">
        <v>290</v>
      </c>
      <c r="C217" s="11"/>
      <c r="D217" s="5">
        <f>SUM(OSRRefD25x_0)</f>
        <v>55053.770000000004</v>
      </c>
      <c r="E217" s="5"/>
      <c r="F217" s="13">
        <f t="shared" ref="F217:F222" si="40">IF(D$12=0,0,D217/D$12)</f>
        <v>6.3031663004077532E-2</v>
      </c>
      <c r="G217" s="5"/>
      <c r="H217" s="5">
        <f>SUM(OSRRefH25x_0)</f>
        <v>30690.94</v>
      </c>
      <c r="I217" s="5"/>
      <c r="J217" s="13">
        <f t="shared" ref="J217:J222" si="41">IF(H$12=0,0,H217/H$12)</f>
        <v>6.9996134935916707E-2</v>
      </c>
      <c r="K217" s="5"/>
      <c r="L217" s="5">
        <f t="shared" ref="L217:L222" si="42">+D217-H217</f>
        <v>24362.830000000005</v>
      </c>
      <c r="M217" s="5"/>
      <c r="N217" s="13">
        <f t="shared" ref="N217:N222" si="43">IF(H217=0,0,L217/H217)</f>
        <v>0.79381178940755825</v>
      </c>
      <c r="O217" s="11"/>
      <c r="P217" s="5">
        <f>SUM(OSRRefP25x_0)</f>
        <v>965961.1100000001</v>
      </c>
      <c r="Q217" s="5"/>
      <c r="R217" s="13">
        <f t="shared" ref="R217:R222" si="44">IF(P$12=0,0,P217/P$12)</f>
        <v>0.14500298195776848</v>
      </c>
      <c r="S217" s="5"/>
      <c r="T217" s="5">
        <f>SUM(OSRRefT25x_0)</f>
        <v>992993.17000000016</v>
      </c>
      <c r="U217" s="5"/>
      <c r="V217" s="13">
        <f t="shared" ref="V217:V222" si="45">IF(T$12=0,0,T217/T$12)</f>
        <v>0.21115656152093418</v>
      </c>
      <c r="W217" s="5"/>
      <c r="X217" s="5">
        <f t="shared" ref="X217:X222" si="46">+P217-T217</f>
        <v>-27032.060000000056</v>
      </c>
      <c r="Y217" s="5"/>
      <c r="Z217" s="13">
        <f t="shared" ref="Z217:Z222" si="47">IF(T217=0,0,X217/T217)</f>
        <v>-2.7222805570757402E-2</v>
      </c>
    </row>
    <row r="218" spans="1:26" s="69" customFormat="1" ht="15" hidden="1" customHeight="1" outlineLevel="1" x14ac:dyDescent="0.3">
      <c r="A218" s="42"/>
      <c r="B218" s="12" t="str">
        <f>CONCATENATE("          ","4098"," - ","TAXABLE SALES-GRAD RENTALS")</f>
        <v xml:space="preserve">          4098 - TAXABLE SALES-GRAD RENTALS</v>
      </c>
      <c r="C218" s="12"/>
      <c r="D218" s="3">
        <f>0</f>
        <v>0</v>
      </c>
      <c r="E218" s="3"/>
      <c r="F218" s="20">
        <f t="shared" si="40"/>
        <v>0</v>
      </c>
      <c r="G218" s="3"/>
      <c r="H218" s="3">
        <f>--49.95</f>
        <v>49.95</v>
      </c>
      <c r="I218" s="3"/>
      <c r="J218" s="20">
        <f t="shared" si="41"/>
        <v>1.1391983888564639E-4</v>
      </c>
      <c r="K218" s="3"/>
      <c r="L218" s="3">
        <f t="shared" si="42"/>
        <v>-49.95</v>
      </c>
      <c r="M218" s="3"/>
      <c r="N218" s="20">
        <f t="shared" si="43"/>
        <v>-1</v>
      </c>
      <c r="O218" s="12"/>
      <c r="P218" s="3">
        <f>0</f>
        <v>0</v>
      </c>
      <c r="Q218" s="3"/>
      <c r="R218" s="20">
        <f t="shared" si="44"/>
        <v>0</v>
      </c>
      <c r="S218" s="3"/>
      <c r="T218" s="3">
        <f>--49.95</f>
        <v>49.95</v>
      </c>
      <c r="U218" s="3"/>
      <c r="V218" s="20">
        <f t="shared" si="45"/>
        <v>1.0621694656742363E-5</v>
      </c>
      <c r="W218" s="3"/>
      <c r="X218" s="3">
        <f t="shared" si="46"/>
        <v>-49.95</v>
      </c>
      <c r="Y218" s="3"/>
      <c r="Z218" s="20">
        <f t="shared" si="47"/>
        <v>-1</v>
      </c>
    </row>
    <row r="219" spans="1:26" s="69" customFormat="1" ht="15" hidden="1" customHeight="1" outlineLevel="1" x14ac:dyDescent="0.3">
      <c r="A219" s="42"/>
      <c r="B219" s="12" t="str">
        <f>CONCATENATE("          ","9150"," - ","MISC. INCOME")</f>
        <v xml:space="preserve">          9150 - MISC. INCOME</v>
      </c>
      <c r="C219" s="12"/>
      <c r="D219" s="3">
        <f>--53560.86</f>
        <v>53560.86</v>
      </c>
      <c r="E219" s="3"/>
      <c r="F219" s="20">
        <f t="shared" si="40"/>
        <v>6.1322414027750974E-2</v>
      </c>
      <c r="G219" s="3"/>
      <c r="H219" s="3">
        <f>--30090.95</f>
        <v>30090.95</v>
      </c>
      <c r="I219" s="3"/>
      <c r="J219" s="20">
        <f t="shared" si="41"/>
        <v>6.8627751269590406E-2</v>
      </c>
      <c r="K219" s="3"/>
      <c r="L219" s="3">
        <f t="shared" si="42"/>
        <v>23469.91</v>
      </c>
      <c r="M219" s="3"/>
      <c r="N219" s="20">
        <f t="shared" si="43"/>
        <v>0.7799657372067017</v>
      </c>
      <c r="O219" s="12"/>
      <c r="P219" s="3">
        <f>--381491.28</f>
        <v>381491.28</v>
      </c>
      <c r="Q219" s="3"/>
      <c r="R219" s="20">
        <f t="shared" si="44"/>
        <v>5.7266666968493175E-2</v>
      </c>
      <c r="S219" s="3"/>
      <c r="T219" s="3">
        <f>--346619.7</f>
        <v>346619.7</v>
      </c>
      <c r="U219" s="3"/>
      <c r="V219" s="20">
        <f t="shared" si="45"/>
        <v>7.3707479788020835E-2</v>
      </c>
      <c r="W219" s="3"/>
      <c r="X219" s="3">
        <f t="shared" si="46"/>
        <v>34871.580000000016</v>
      </c>
      <c r="Y219" s="3"/>
      <c r="Z219" s="20">
        <f t="shared" si="47"/>
        <v>0.10060472615953454</v>
      </c>
    </row>
    <row r="220" spans="1:26" s="69" customFormat="1" ht="15" hidden="1" customHeight="1" outlineLevel="1" x14ac:dyDescent="0.3">
      <c r="A220" s="42"/>
      <c r="B220" s="12" t="str">
        <f>CONCATENATE("          ","9151"," - ","MISC. INCOME")</f>
        <v xml:space="preserve">          9151 - MISC. INCOME</v>
      </c>
      <c r="C220" s="12"/>
      <c r="D220" s="3">
        <f>0</f>
        <v>0</v>
      </c>
      <c r="E220" s="3"/>
      <c r="F220" s="20">
        <f t="shared" si="40"/>
        <v>0</v>
      </c>
      <c r="G220" s="3"/>
      <c r="H220" s="3">
        <f>0</f>
        <v>0</v>
      </c>
      <c r="I220" s="3"/>
      <c r="J220" s="20">
        <f t="shared" si="41"/>
        <v>0</v>
      </c>
      <c r="K220" s="3"/>
      <c r="L220" s="3">
        <f t="shared" si="42"/>
        <v>0</v>
      </c>
      <c r="M220" s="3"/>
      <c r="N220" s="20">
        <f t="shared" si="43"/>
        <v>0</v>
      </c>
      <c r="O220" s="12"/>
      <c r="P220" s="3">
        <f>--323761.7</f>
        <v>323761.7</v>
      </c>
      <c r="Q220" s="3"/>
      <c r="R220" s="20">
        <f t="shared" si="44"/>
        <v>4.8600726734968083E-2</v>
      </c>
      <c r="S220" s="3"/>
      <c r="T220" s="3">
        <f>--295628.46</f>
        <v>295628.46000000002</v>
      </c>
      <c r="U220" s="3"/>
      <c r="V220" s="20">
        <f t="shared" si="45"/>
        <v>6.2864369048307778E-2</v>
      </c>
      <c r="W220" s="3"/>
      <c r="X220" s="3">
        <f t="shared" si="46"/>
        <v>28133.239999999991</v>
      </c>
      <c r="Y220" s="3"/>
      <c r="Z220" s="20">
        <f t="shared" si="47"/>
        <v>9.5164180065748699E-2</v>
      </c>
    </row>
    <row r="221" spans="1:26" s="69" customFormat="1" ht="15" hidden="1" customHeight="1" outlineLevel="1" x14ac:dyDescent="0.3">
      <c r="A221" s="42"/>
      <c r="B221" s="12" t="str">
        <f>CONCATENATE("          ","9152"," - ","MISC. INCOME")</f>
        <v xml:space="preserve">          9152 - MISC. INCOME</v>
      </c>
      <c r="C221" s="12"/>
      <c r="D221" s="3">
        <f>-496.09</f>
        <v>-496.09</v>
      </c>
      <c r="E221" s="3"/>
      <c r="F221" s="20">
        <f t="shared" si="40"/>
        <v>-5.679788632039698E-4</v>
      </c>
      <c r="G221" s="3"/>
      <c r="H221" s="3">
        <f>--505.94</f>
        <v>505.94</v>
      </c>
      <c r="I221" s="3"/>
      <c r="J221" s="20">
        <f t="shared" si="41"/>
        <v>1.1538859516677462E-3</v>
      </c>
      <c r="K221" s="3"/>
      <c r="L221" s="3">
        <f t="shared" si="42"/>
        <v>-1002.03</v>
      </c>
      <c r="M221" s="3"/>
      <c r="N221" s="20">
        <f t="shared" si="43"/>
        <v>-1.9805312882950548</v>
      </c>
      <c r="O221" s="12"/>
      <c r="P221" s="3">
        <f>--3888.43</f>
        <v>3888.43</v>
      </c>
      <c r="Q221" s="3"/>
      <c r="R221" s="20">
        <f t="shared" si="44"/>
        <v>5.8370253139284831E-4</v>
      </c>
      <c r="S221" s="3"/>
      <c r="T221" s="3">
        <f>--4216.5</f>
        <v>4216.5</v>
      </c>
      <c r="U221" s="3"/>
      <c r="V221" s="20">
        <f t="shared" si="45"/>
        <v>8.9662413453762101E-4</v>
      </c>
      <c r="W221" s="3"/>
      <c r="X221" s="3">
        <f t="shared" si="46"/>
        <v>-328.07000000000016</v>
      </c>
      <c r="Y221" s="3"/>
      <c r="Z221" s="20">
        <f t="shared" si="47"/>
        <v>-7.7806237400687817E-2</v>
      </c>
    </row>
    <row r="222" spans="1:26" s="69" customFormat="1" ht="15" hidden="1" customHeight="1" outlineLevel="1" x14ac:dyDescent="0.3">
      <c r="A222" s="42"/>
      <c r="B222" s="12" t="str">
        <f>CONCATENATE("          ","9163"," - ","MISC. INCOME")</f>
        <v xml:space="preserve">          9163 - MISC. INCOME</v>
      </c>
      <c r="C222" s="12"/>
      <c r="D222" s="3">
        <f>--1989</f>
        <v>1989</v>
      </c>
      <c r="E222" s="3"/>
      <c r="F222" s="20">
        <f t="shared" si="40"/>
        <v>2.2772278395305208E-3</v>
      </c>
      <c r="G222" s="3"/>
      <c r="H222" s="3">
        <f>--44.1</f>
        <v>44.1</v>
      </c>
      <c r="I222" s="3"/>
      <c r="J222" s="20">
        <f t="shared" si="41"/>
        <v>1.0057787577291302E-4</v>
      </c>
      <c r="K222" s="3"/>
      <c r="L222" s="3">
        <f t="shared" si="42"/>
        <v>1944.9</v>
      </c>
      <c r="M222" s="3"/>
      <c r="N222" s="20">
        <f t="shared" si="43"/>
        <v>44.102040816326529</v>
      </c>
      <c r="O222" s="12"/>
      <c r="P222" s="3">
        <f>--256819.7</f>
        <v>256819.7</v>
      </c>
      <c r="Q222" s="3"/>
      <c r="R222" s="20">
        <f t="shared" si="44"/>
        <v>3.8551885722914361E-2</v>
      </c>
      <c r="S222" s="3"/>
      <c r="T222" s="3">
        <f>--346478.56</f>
        <v>346478.56</v>
      </c>
      <c r="U222" s="3"/>
      <c r="V222" s="20">
        <f t="shared" si="45"/>
        <v>7.3677466855411169E-2</v>
      </c>
      <c r="W222" s="3"/>
      <c r="X222" s="3">
        <f t="shared" si="46"/>
        <v>-89658.859999999986</v>
      </c>
      <c r="Y222" s="3"/>
      <c r="Z222" s="20">
        <f t="shared" si="47"/>
        <v>-0.25877174045054907</v>
      </c>
    </row>
    <row r="223" spans="1:26" ht="15" customHeight="1" x14ac:dyDescent="0.3">
      <c r="A223" s="10"/>
      <c r="B223" s="11"/>
      <c r="C223" s="11"/>
      <c r="D223" s="4"/>
      <c r="E223" s="4"/>
      <c r="F223" s="9"/>
      <c r="G223" s="4"/>
      <c r="H223" s="4"/>
      <c r="I223" s="4"/>
      <c r="J223" s="9"/>
      <c r="K223" s="4"/>
      <c r="L223" s="4"/>
      <c r="M223" s="4"/>
      <c r="N223" s="9"/>
      <c r="O223" s="11"/>
      <c r="P223" s="4"/>
      <c r="Q223" s="4"/>
      <c r="R223" s="9"/>
      <c r="S223" s="4"/>
      <c r="T223" s="4"/>
      <c r="U223" s="4"/>
      <c r="V223" s="9"/>
      <c r="W223" s="4"/>
      <c r="X223" s="4"/>
      <c r="Y223" s="4"/>
      <c r="Z223" s="9"/>
    </row>
    <row r="224" spans="1:26" s="62" customFormat="1" ht="15" customHeight="1" x14ac:dyDescent="0.3">
      <c r="A224" s="11"/>
      <c r="B224" s="28" t="s">
        <v>291</v>
      </c>
      <c r="C224" s="28"/>
      <c r="D224" s="21">
        <f>+D125-D127+D217</f>
        <v>189641.1999999999</v>
      </c>
      <c r="E224" s="15"/>
      <c r="F224" s="23">
        <f>IF(D$12=0,0,D224/D$12)</f>
        <v>0.21712228263548275</v>
      </c>
      <c r="G224" s="15"/>
      <c r="H224" s="21">
        <f>+H125-H127+H217</f>
        <v>-9601.4499999998407</v>
      </c>
      <c r="I224" s="15"/>
      <c r="J224" s="23">
        <f>IF(H$12=0,0,H224/H$12)</f>
        <v>-2.1897810551923347E-2</v>
      </c>
      <c r="K224" s="16"/>
      <c r="L224" s="21">
        <f>+D224-H224</f>
        <v>199242.64999999973</v>
      </c>
      <c r="M224" s="16"/>
      <c r="N224" s="23">
        <f>IF(H224=0,0,L224/H224)</f>
        <v>-20.751308396127985</v>
      </c>
      <c r="O224" s="27"/>
      <c r="P224" s="21">
        <f>+P125-P127+P217</f>
        <v>715180.36000000103</v>
      </c>
      <c r="Q224" s="15"/>
      <c r="R224" s="23">
        <f>IF(P$12=0,0,P224/P$12)</f>
        <v>0.1073576190221887</v>
      </c>
      <c r="S224" s="15"/>
      <c r="T224" s="21">
        <f>+T125-T127+T217</f>
        <v>113143.18999999878</v>
      </c>
      <c r="U224" s="15"/>
      <c r="V224" s="23">
        <f>IF(T$12=0,0,T224/T$12)</f>
        <v>2.4059507841236696E-2</v>
      </c>
      <c r="W224" s="16"/>
      <c r="X224" s="21">
        <f>+P224-T224</f>
        <v>602037.17000000225</v>
      </c>
      <c r="Y224" s="16"/>
      <c r="Z224" s="23">
        <f>IF(T224=0,0,X224/T224)</f>
        <v>5.3210199394237403</v>
      </c>
    </row>
    <row r="225" spans="1:26" ht="15" customHeight="1" x14ac:dyDescent="0.3">
      <c r="A225" s="10"/>
      <c r="B225" s="11"/>
      <c r="C225" s="10"/>
      <c r="D225" s="4"/>
      <c r="E225" s="4"/>
      <c r="F225" s="9"/>
      <c r="G225" s="4"/>
      <c r="H225" s="4"/>
      <c r="I225" s="4"/>
      <c r="J225" s="9"/>
      <c r="K225" s="4"/>
      <c r="L225" s="4"/>
      <c r="M225" s="4"/>
      <c r="N225" s="9"/>
      <c r="P225" s="4"/>
      <c r="Q225" s="4"/>
      <c r="R225" s="9"/>
      <c r="S225" s="4"/>
      <c r="T225" s="4"/>
      <c r="U225" s="4"/>
      <c r="V225" s="9"/>
      <c r="W225" s="4"/>
      <c r="X225" s="4"/>
      <c r="Y225" s="4"/>
      <c r="Z225" s="9"/>
    </row>
    <row r="226" spans="1:26" s="62" customFormat="1" ht="15" customHeight="1" x14ac:dyDescent="0.3">
      <c r="A226" s="48"/>
      <c r="B226" s="11" t="s">
        <v>292</v>
      </c>
      <c r="C226" s="11"/>
      <c r="D226" s="5">
        <v>63847.66</v>
      </c>
      <c r="E226" s="5"/>
      <c r="F226" s="13">
        <f>IF(D$12=0,0,D226/D$12)</f>
        <v>7.3099883781236427E-2</v>
      </c>
      <c r="G226" s="5"/>
      <c r="H226" s="5">
        <v>105001.36</v>
      </c>
      <c r="I226" s="5"/>
      <c r="J226" s="13">
        <f>IF(H$12=0,0,H226/H$12)</f>
        <v>0.23947423451398908</v>
      </c>
      <c r="K226" s="5"/>
      <c r="L226" s="5">
        <f>+D226-H226</f>
        <v>-41153.699999999997</v>
      </c>
      <c r="M226" s="5"/>
      <c r="N226" s="13">
        <f>IF(H226=0,0,L226/H226)</f>
        <v>-0.39193492350956211</v>
      </c>
      <c r="O226" s="11"/>
      <c r="P226" s="5">
        <v>754659.11</v>
      </c>
      <c r="Q226" s="5"/>
      <c r="R226" s="13">
        <f>IF(P$12=0,0,P226/P$12)</f>
        <v>0.11328387880087182</v>
      </c>
      <c r="S226" s="5"/>
      <c r="T226" s="5">
        <v>983811.25</v>
      </c>
      <c r="U226" s="5"/>
      <c r="V226" s="13">
        <f>IF(T$12=0,0,T226/T$12)</f>
        <v>0.20920405800536584</v>
      </c>
      <c r="W226" s="5"/>
      <c r="X226" s="5">
        <f>+P226-T226</f>
        <v>-229152.14</v>
      </c>
      <c r="Y226" s="5"/>
      <c r="Z226" s="13">
        <f>IF(T226=0,0,X226/T226)</f>
        <v>-0.23292287011355076</v>
      </c>
    </row>
    <row r="227" spans="1:26" ht="15" customHeight="1" x14ac:dyDescent="0.3">
      <c r="A227" s="10"/>
      <c r="B227" s="11"/>
      <c r="C227" s="11"/>
      <c r="D227" s="4"/>
      <c r="E227" s="4"/>
      <c r="F227" s="9"/>
      <c r="G227" s="4"/>
      <c r="H227" s="4"/>
      <c r="I227" s="4"/>
      <c r="J227" s="9"/>
      <c r="K227" s="4"/>
      <c r="L227" s="4"/>
      <c r="M227" s="4"/>
      <c r="N227" s="9"/>
      <c r="O227" s="11"/>
      <c r="P227" s="4"/>
      <c r="Q227" s="4"/>
      <c r="R227" s="9"/>
      <c r="S227" s="4"/>
      <c r="T227" s="4"/>
      <c r="U227" s="4"/>
      <c r="V227" s="9"/>
      <c r="W227" s="4"/>
      <c r="X227" s="4"/>
      <c r="Y227" s="4"/>
      <c r="Z227" s="9"/>
    </row>
    <row r="228" spans="1:26" s="62" customFormat="1" ht="15" customHeight="1" x14ac:dyDescent="0.3">
      <c r="A228" s="11"/>
      <c r="B228" s="28" t="s">
        <v>293</v>
      </c>
      <c r="C228" s="28"/>
      <c r="D228" s="34">
        <f>+D224-D226</f>
        <v>125793.53999999989</v>
      </c>
      <c r="E228" s="15"/>
      <c r="F228" s="30">
        <f>IF(D$12=0,0,D228/D$12)</f>
        <v>0.14402239885424631</v>
      </c>
      <c r="G228" s="15"/>
      <c r="H228" s="34">
        <f>+H224-H226</f>
        <v>-114602.80999999984</v>
      </c>
      <c r="I228" s="15"/>
      <c r="J228" s="30">
        <f>IF(H$12=0,0,H228/H$12)</f>
        <v>-0.26137204506591244</v>
      </c>
      <c r="K228" s="16"/>
      <c r="L228" s="34">
        <f>D228-H228</f>
        <v>240396.34999999974</v>
      </c>
      <c r="M228" s="16"/>
      <c r="N228" s="30">
        <f>IF(H228=0,0,L228/H228)</f>
        <v>-2.0976479547054745</v>
      </c>
      <c r="O228" s="27"/>
      <c r="P228" s="34">
        <f>+P224-P226</f>
        <v>-39478.749999998952</v>
      </c>
      <c r="Q228" s="15"/>
      <c r="R228" s="30">
        <f>IF(P$12=0,0,P228/P$12)</f>
        <v>-5.9262597786831185E-3</v>
      </c>
      <c r="S228" s="15"/>
      <c r="T228" s="34">
        <f>+T224-T226</f>
        <v>-870668.06000000122</v>
      </c>
      <c r="U228" s="15"/>
      <c r="V228" s="30">
        <f>IF(T$12=0,0,T228/T$12)</f>
        <v>-0.18514455016412915</v>
      </c>
      <c r="W228" s="16"/>
      <c r="X228" s="34">
        <f>P228-T228</f>
        <v>831189.31000000227</v>
      </c>
      <c r="Y228" s="16"/>
      <c r="Z228" s="30">
        <f>IF(T228=0,0,X228/T228)</f>
        <v>-0.95465694469141438</v>
      </c>
    </row>
    <row r="229" spans="1:26" ht="15" customHeight="1" x14ac:dyDescent="0.3">
      <c r="A229" s="10"/>
      <c r="B229" s="10"/>
      <c r="C229" s="10"/>
      <c r="D229" s="4"/>
      <c r="E229" s="4"/>
      <c r="F229" s="9"/>
      <c r="G229" s="4"/>
      <c r="H229" s="4"/>
      <c r="I229" s="4"/>
      <c r="J229" s="9"/>
      <c r="K229" s="4"/>
      <c r="L229" s="4"/>
      <c r="M229" s="4"/>
      <c r="N229" s="9"/>
      <c r="P229" s="4"/>
      <c r="Q229" s="4"/>
      <c r="R229" s="9"/>
      <c r="S229" s="4"/>
      <c r="T229" s="4"/>
      <c r="U229" s="4"/>
      <c r="V229" s="9"/>
      <c r="W229" s="4"/>
      <c r="X229" s="4"/>
      <c r="Y229" s="4"/>
      <c r="Z229" s="9"/>
    </row>
    <row r="230" spans="1:26" ht="15" customHeight="1" x14ac:dyDescent="0.3">
      <c r="A230" s="10"/>
      <c r="B230" s="10"/>
      <c r="C230" s="10"/>
      <c r="D230" s="4"/>
      <c r="E230" s="4"/>
      <c r="F230" s="9"/>
      <c r="G230" s="4"/>
      <c r="H230" s="4"/>
      <c r="I230" s="4"/>
      <c r="J230" s="9"/>
      <c r="K230" s="4"/>
      <c r="L230" s="4"/>
      <c r="M230" s="4"/>
      <c r="N230" s="9"/>
      <c r="P230" s="4"/>
      <c r="Q230" s="4"/>
      <c r="R230" s="9"/>
      <c r="S230" s="4"/>
      <c r="T230" s="4"/>
      <c r="U230" s="4"/>
      <c r="V230" s="9"/>
      <c r="W230" s="4"/>
      <c r="X230" s="4"/>
      <c r="Y230" s="4"/>
      <c r="Z230" s="9"/>
    </row>
    <row r="231" spans="1:26" s="62" customFormat="1" ht="15" customHeight="1" x14ac:dyDescent="0.3">
      <c r="A231" s="11"/>
      <c r="B231" s="28" t="s">
        <v>296</v>
      </c>
      <c r="C231" s="28"/>
      <c r="D231" s="29">
        <f>SUM(D228:D230)</f>
        <v>125793.53999999989</v>
      </c>
      <c r="E231" s="15"/>
      <c r="F231" s="35">
        <f>IF(D$12=0,0,D231/D$12)</f>
        <v>0.14402239885424631</v>
      </c>
      <c r="G231" s="15"/>
      <c r="H231" s="29">
        <f>SUM(H228:H230)</f>
        <v>-114602.80999999984</v>
      </c>
      <c r="I231" s="15"/>
      <c r="J231" s="35">
        <f>IF(H$12=0,0,H231/H$12)</f>
        <v>-0.26137204506591244</v>
      </c>
      <c r="K231" s="16"/>
      <c r="L231" s="29">
        <f>+D231-H231</f>
        <v>240396.34999999974</v>
      </c>
      <c r="M231" s="16"/>
      <c r="N231" s="35">
        <f>IF(H231=0,0,L231/H231)</f>
        <v>-2.0976479547054745</v>
      </c>
      <c r="O231" s="27"/>
      <c r="P231" s="29">
        <f>SUM(P228:P230)</f>
        <v>-39478.749999998952</v>
      </c>
      <c r="Q231" s="15"/>
      <c r="R231" s="35">
        <f>IF(P$12=0,0,P231/P$12)</f>
        <v>-5.9262597786831185E-3</v>
      </c>
      <c r="S231" s="15"/>
      <c r="T231" s="29">
        <f>SUM(T228:T230)</f>
        <v>-870668.06000000122</v>
      </c>
      <c r="U231" s="15"/>
      <c r="V231" s="35">
        <f>IF(T$12=0,0,T231/T$12)</f>
        <v>-0.18514455016412915</v>
      </c>
      <c r="W231" s="16"/>
      <c r="X231" s="29">
        <f>+P231-T231</f>
        <v>831189.31000000227</v>
      </c>
      <c r="Y231" s="16"/>
      <c r="Z231" s="35">
        <f>IF(T231=0,0,X231/T231)</f>
        <v>-0.95465694469141438</v>
      </c>
    </row>
    <row r="232" spans="1:26" ht="15" customHeight="1" x14ac:dyDescent="0.3">
      <c r="A232" s="10"/>
      <c r="C232" s="10"/>
      <c r="D232" s="18"/>
      <c r="E232" s="18"/>
      <c r="G232" s="18"/>
      <c r="H232" s="18"/>
      <c r="I232" s="18"/>
      <c r="J232" s="40"/>
      <c r="K232" s="18"/>
      <c r="L232" s="18"/>
      <c r="M232" s="18"/>
      <c r="P232" s="18"/>
      <c r="Q232" s="18"/>
      <c r="R232" s="40"/>
      <c r="S232" s="18"/>
      <c r="T232" s="18"/>
      <c r="U232" s="18"/>
      <c r="V232" s="40"/>
      <c r="W232" s="18"/>
      <c r="X232" s="18"/>
    </row>
    <row r="233" spans="1:26" ht="15" customHeight="1" x14ac:dyDescent="0.3">
      <c r="A233" s="10"/>
      <c r="B233" s="56">
        <v>44694.890794363426</v>
      </c>
      <c r="D233" s="18"/>
      <c r="E233" s="18"/>
      <c r="G233" s="18"/>
      <c r="H233" s="18"/>
      <c r="I233" s="18"/>
      <c r="J233" s="40"/>
      <c r="K233" s="18"/>
      <c r="L233" s="18"/>
      <c r="M233" s="18"/>
      <c r="P233" s="18"/>
      <c r="Q233" s="18"/>
      <c r="R233" s="40"/>
      <c r="S233" s="18"/>
      <c r="T233" s="18"/>
      <c r="U233" s="18"/>
      <c r="V233" s="40"/>
      <c r="W233" s="18"/>
      <c r="X233" s="18"/>
    </row>
    <row r="234" spans="1:26" ht="15" customHeight="1" x14ac:dyDescent="0.3">
      <c r="A234" s="10"/>
      <c r="B234" s="52" t="s">
        <v>297</v>
      </c>
      <c r="D234" s="18"/>
      <c r="E234" s="18"/>
      <c r="G234" s="18"/>
      <c r="H234" s="18"/>
      <c r="I234" s="18"/>
      <c r="J234" s="40"/>
      <c r="K234" s="18"/>
      <c r="L234" s="18"/>
      <c r="M234" s="18"/>
      <c r="P234" s="18"/>
      <c r="Q234" s="18"/>
      <c r="R234" s="40"/>
      <c r="S234" s="18"/>
      <c r="T234" s="18"/>
      <c r="U234" s="18"/>
      <c r="V234" s="40"/>
      <c r="W234" s="18"/>
      <c r="X234" s="18"/>
    </row>
    <row r="235" spans="1:26" ht="15" customHeight="1" x14ac:dyDescent="0.3">
      <c r="A235" s="10"/>
      <c r="B235" s="58"/>
      <c r="D235" s="18"/>
      <c r="E235" s="18"/>
      <c r="G235" s="18"/>
      <c r="H235" s="18"/>
      <c r="I235" s="18"/>
      <c r="J235" s="40"/>
      <c r="K235" s="18"/>
      <c r="L235" s="18"/>
      <c r="M235" s="18"/>
      <c r="P235" s="18"/>
      <c r="Q235" s="18"/>
      <c r="R235" s="40"/>
      <c r="S235" s="18"/>
      <c r="T235" s="18"/>
      <c r="U235" s="18"/>
      <c r="V235" s="40"/>
      <c r="W235" s="18"/>
      <c r="X235" s="18"/>
    </row>
    <row r="236" spans="1:26" ht="15" customHeight="1" x14ac:dyDescent="0.3">
      <c r="D236" s="18"/>
      <c r="E236" s="18"/>
      <c r="G236" s="18"/>
      <c r="H236" s="18"/>
      <c r="I236" s="18"/>
      <c r="J236" s="40"/>
      <c r="K236" s="18"/>
      <c r="L236" s="18"/>
      <c r="M236" s="18"/>
      <c r="P236" s="18"/>
      <c r="Q236" s="18"/>
      <c r="R236" s="40"/>
      <c r="S236" s="18"/>
      <c r="T236" s="18"/>
      <c r="U236" s="18"/>
      <c r="V236" s="40"/>
      <c r="W236" s="18"/>
      <c r="X2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CAC1-214A-A648-97A9-3A5724B7AF81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278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7F795-3B97-B8A7-0826-7F221949C947}">
  <sheetPr>
    <tabColor theme="5" tint="0.39997558519241921"/>
    <outlinePr summaryBelow="0" summaryRight="0"/>
  </sheetPr>
  <dimension ref="A2:Z26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1193476.0199999998</v>
      </c>
      <c r="E12" s="5"/>
      <c r="F12" s="13"/>
      <c r="G12" s="5"/>
      <c r="H12" s="5">
        <f>SUM(OSRRefH13x_0)</f>
        <v>841693.65</v>
      </c>
      <c r="I12" s="5"/>
      <c r="J12" s="13"/>
      <c r="K12" s="5"/>
      <c r="L12" s="5">
        <f t="shared" ref="L12:L43" si="0">+D12-H12</f>
        <v>351782.36999999976</v>
      </c>
      <c r="M12" s="5"/>
      <c r="N12" s="13">
        <f t="shared" ref="N12:N43" si="1">IF(H12=0,0,L12/H12)</f>
        <v>0.41794585238940529</v>
      </c>
      <c r="O12" s="11"/>
      <c r="P12" s="5">
        <f>SUM(OSRRefP13x_0)</f>
        <v>8732181.2400000021</v>
      </c>
      <c r="Q12" s="5"/>
      <c r="R12" s="13"/>
      <c r="S12" s="5"/>
      <c r="T12" s="5">
        <f>SUM(OSRRefT13x_0)</f>
        <v>7125423.3199999975</v>
      </c>
      <c r="U12" s="5"/>
      <c r="V12" s="13"/>
      <c r="W12" s="5"/>
      <c r="X12" s="5">
        <f t="shared" ref="X12:X43" si="2">+P12-T12</f>
        <v>1606757.9200000046</v>
      </c>
      <c r="Y12" s="5"/>
      <c r="Z12" s="13">
        <f t="shared" ref="Z12:Z43" si="3">IF(T12=0,0,X12/T12)</f>
        <v>0.22549648601088379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--1249345.73</f>
        <v>1249345.73</v>
      </c>
      <c r="E13" s="3"/>
      <c r="F13" s="20"/>
      <c r="G13" s="3"/>
      <c r="H13" s="3">
        <f>-13346.89</f>
        <v>-13346.89</v>
      </c>
      <c r="I13" s="3"/>
      <c r="J13" s="20"/>
      <c r="K13" s="3"/>
      <c r="L13" s="3">
        <f t="shared" si="0"/>
        <v>1262692.6199999999</v>
      </c>
      <c r="M13" s="3"/>
      <c r="N13" s="20">
        <f t="shared" si="1"/>
        <v>-94.60575609748787</v>
      </c>
      <c r="O13" s="12"/>
      <c r="P13" s="3">
        <f>--7669437</f>
        <v>7669437</v>
      </c>
      <c r="Q13" s="3"/>
      <c r="R13" s="20"/>
      <c r="S13" s="3"/>
      <c r="T13" s="3">
        <f>-136003.3</f>
        <v>-136003.29999999999</v>
      </c>
      <c r="U13" s="3"/>
      <c r="V13" s="20"/>
      <c r="W13" s="3"/>
      <c r="X13" s="3">
        <f t="shared" si="2"/>
        <v>7805440.2999999998</v>
      </c>
      <c r="Y13" s="3"/>
      <c r="Z13" s="20">
        <f t="shared" si="3"/>
        <v>-57.391550793252812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--31347.12</f>
        <v>31347.119999999999</v>
      </c>
      <c r="I14" s="3"/>
      <c r="J14" s="20"/>
      <c r="K14" s="3"/>
      <c r="L14" s="3">
        <f t="shared" si="0"/>
        <v>-31347.119999999999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--1263810.36</f>
        <v>1263810.3600000001</v>
      </c>
      <c r="U14" s="3"/>
      <c r="V14" s="20"/>
      <c r="W14" s="3"/>
      <c r="X14" s="3">
        <f t="shared" si="2"/>
        <v>-1263810.3600000001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--1971.3</f>
        <v>1971.3</v>
      </c>
      <c r="I15" s="3"/>
      <c r="J15" s="20"/>
      <c r="K15" s="3"/>
      <c r="L15" s="3">
        <f t="shared" si="0"/>
        <v>-1971.3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--578768.63</f>
        <v>578768.63</v>
      </c>
      <c r="U15" s="3"/>
      <c r="V15" s="20"/>
      <c r="W15" s="3"/>
      <c r="X15" s="3">
        <f t="shared" si="2"/>
        <v>-578768.63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","4026"," - ","TAXABLE SALES-WRITING INSTRUME")</f>
        <v xml:space="preserve">          4026 - TAXABLE SALES-WRITING INSTRUME</v>
      </c>
      <c r="C21" s="12"/>
      <c r="D21" s="3">
        <f>0</f>
        <v>0</v>
      </c>
      <c r="E21" s="3"/>
      <c r="F21" s="20"/>
      <c r="G21" s="3"/>
      <c r="H21" s="3">
        <f>--21.42</f>
        <v>21.42</v>
      </c>
      <c r="I21" s="3"/>
      <c r="J21" s="20"/>
      <c r="K21" s="3"/>
      <c r="L21" s="3">
        <f t="shared" si="0"/>
        <v>-21.42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--486.17</f>
        <v>486.17</v>
      </c>
      <c r="U21" s="3"/>
      <c r="V21" s="20"/>
      <c r="W21" s="3"/>
      <c r="X21" s="3">
        <f t="shared" si="2"/>
        <v>-486.17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","4027"," - ","TAXABLE SALES-SCHOOL SUPPLIES")</f>
        <v xml:space="preserve">          4027 - TAXABLE SALES-SCHOOL SUPPLIES</v>
      </c>
      <c r="C22" s="12"/>
      <c r="D22" s="3">
        <f>0</f>
        <v>0</v>
      </c>
      <c r="E22" s="3"/>
      <c r="F22" s="20"/>
      <c r="G22" s="3"/>
      <c r="H22" s="3">
        <f>--6558.65</f>
        <v>6558.65</v>
      </c>
      <c r="I22" s="3"/>
      <c r="J22" s="20"/>
      <c r="K22" s="3"/>
      <c r="L22" s="3">
        <f t="shared" si="0"/>
        <v>-6558.65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--64070.97</f>
        <v>64070.97</v>
      </c>
      <c r="U22" s="3"/>
      <c r="V22" s="20"/>
      <c r="W22" s="3"/>
      <c r="X22" s="3">
        <f t="shared" si="2"/>
        <v>-64070.97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","4028"," - ","TAXABLE SALES-ART/TECH")</f>
        <v xml:space="preserve">          4028 - TAXABLE SALES-ART/TECH</v>
      </c>
      <c r="C23" s="12"/>
      <c r="D23" s="3">
        <f>0</f>
        <v>0</v>
      </c>
      <c r="E23" s="3"/>
      <c r="F23" s="20"/>
      <c r="G23" s="3"/>
      <c r="H23" s="3">
        <f>--2650.79</f>
        <v>2650.79</v>
      </c>
      <c r="I23" s="3"/>
      <c r="J23" s="20"/>
      <c r="K23" s="3"/>
      <c r="L23" s="3">
        <f t="shared" si="0"/>
        <v>-2650.79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--46900.17</f>
        <v>46900.17</v>
      </c>
      <c r="U23" s="3"/>
      <c r="V23" s="20"/>
      <c r="W23" s="3"/>
      <c r="X23" s="3">
        <f t="shared" si="2"/>
        <v>-46900.17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","4031"," - ","TAXABLE SALES-FOOD")</f>
        <v xml:space="preserve">          4031 - TAXABLE SALES-FOOD</v>
      </c>
      <c r="C24" s="12"/>
      <c r="D24" s="3">
        <f>0</f>
        <v>0</v>
      </c>
      <c r="E24" s="3"/>
      <c r="F24" s="20"/>
      <c r="G24" s="3"/>
      <c r="H24" s="3">
        <f>--595.72</f>
        <v>595.72</v>
      </c>
      <c r="I24" s="3"/>
      <c r="J24" s="20"/>
      <c r="K24" s="3"/>
      <c r="L24" s="3">
        <f t="shared" si="0"/>
        <v>-595.72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--4210.59</f>
        <v>4210.59</v>
      </c>
      <c r="U24" s="3"/>
      <c r="V24" s="20"/>
      <c r="W24" s="3"/>
      <c r="X24" s="3">
        <f t="shared" si="2"/>
        <v>-4210.59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","4034"," - ","TAXABLE SALES-SODA")</f>
        <v xml:space="preserve">          4034 - TAXABLE SALES-SODA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--6.78</f>
        <v>6.78</v>
      </c>
      <c r="U25" s="3"/>
      <c r="V25" s="20"/>
      <c r="W25" s="3"/>
      <c r="X25" s="3">
        <f t="shared" si="2"/>
        <v>-6.78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","4040"," - ","TAXABLE SALES-LOGO CLOTHING")</f>
        <v xml:space="preserve">          4040 - TAXABLE SALES-LOGO CLOTHING</v>
      </c>
      <c r="C26" s="12"/>
      <c r="D26" s="3">
        <f>0</f>
        <v>0</v>
      </c>
      <c r="E26" s="3"/>
      <c r="F26" s="20"/>
      <c r="G26" s="3"/>
      <c r="H26" s="3">
        <f>--159179.58</f>
        <v>159179.57999999999</v>
      </c>
      <c r="I26" s="3"/>
      <c r="J26" s="20"/>
      <c r="K26" s="3"/>
      <c r="L26" s="3">
        <f t="shared" si="0"/>
        <v>-159179.57999999999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--913180.73</f>
        <v>913180.73</v>
      </c>
      <c r="U26" s="3"/>
      <c r="V26" s="20"/>
      <c r="W26" s="3"/>
      <c r="X26" s="3">
        <f t="shared" si="2"/>
        <v>-913180.73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","4041"," - ","TAXABLE SALES-LOGO GIFTS")</f>
        <v xml:space="preserve">          4041 - TAXABLE SALES-LOGO GIFTS</v>
      </c>
      <c r="C27" s="12"/>
      <c r="D27" s="3">
        <f>0</f>
        <v>0</v>
      </c>
      <c r="E27" s="3"/>
      <c r="F27" s="20"/>
      <c r="G27" s="3"/>
      <c r="H27" s="3">
        <f>--116440.2</f>
        <v>116440.2</v>
      </c>
      <c r="I27" s="3"/>
      <c r="J27" s="20"/>
      <c r="K27" s="3"/>
      <c r="L27" s="3">
        <f t="shared" si="0"/>
        <v>-116440.2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--440456.98</f>
        <v>440456.98</v>
      </c>
      <c r="U27" s="3"/>
      <c r="V27" s="20"/>
      <c r="W27" s="3"/>
      <c r="X27" s="3">
        <f t="shared" si="2"/>
        <v>-440456.98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","4042"," - ","TAXABLE SALES-EVERYDAY GIFTS")</f>
        <v xml:space="preserve">          4042 - TAXABLE SALES-EVERYDAY GIFTS</v>
      </c>
      <c r="C28" s="12"/>
      <c r="D28" s="3">
        <f>0</f>
        <v>0</v>
      </c>
      <c r="E28" s="3"/>
      <c r="F28" s="20"/>
      <c r="G28" s="3"/>
      <c r="H28" s="3">
        <f>--10630.32</f>
        <v>10630.32</v>
      </c>
      <c r="I28" s="3"/>
      <c r="J28" s="20"/>
      <c r="K28" s="3"/>
      <c r="L28" s="3">
        <f t="shared" si="0"/>
        <v>-10630.32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--100678.52</f>
        <v>100678.52</v>
      </c>
      <c r="U28" s="3"/>
      <c r="V28" s="20"/>
      <c r="W28" s="3"/>
      <c r="X28" s="3">
        <f t="shared" si="2"/>
        <v>-100678.52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","4043"," - ","TAXABLE SALES-CARDS")</f>
        <v xml:space="preserve">          4043 - TAXABLE SALES-CARDS</v>
      </c>
      <c r="C29" s="12"/>
      <c r="D29" s="3">
        <f>0</f>
        <v>0</v>
      </c>
      <c r="E29" s="3"/>
      <c r="F29" s="20"/>
      <c r="G29" s="3"/>
      <c r="H29" s="3">
        <f>--4423.21</f>
        <v>4423.21</v>
      </c>
      <c r="I29" s="3"/>
      <c r="J29" s="20"/>
      <c r="K29" s="3"/>
      <c r="L29" s="3">
        <f t="shared" si="0"/>
        <v>-4423.21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--136859.38</f>
        <v>136859.38</v>
      </c>
      <c r="U29" s="3"/>
      <c r="V29" s="20"/>
      <c r="W29" s="3"/>
      <c r="X29" s="3">
        <f t="shared" si="2"/>
        <v>-136859.38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","4044"," - ","TAXABLE SALES-ACCESSORIES")</f>
        <v xml:space="preserve">          4044 - TAXABLE SALES-ACCESSORIES</v>
      </c>
      <c r="C30" s="12"/>
      <c r="D30" s="3">
        <f>0</f>
        <v>0</v>
      </c>
      <c r="E30" s="3"/>
      <c r="F30" s="20"/>
      <c r="G30" s="3"/>
      <c r="H30" s="3">
        <f>--4745.38</f>
        <v>4745.38</v>
      </c>
      <c r="I30" s="3"/>
      <c r="J30" s="20"/>
      <c r="K30" s="3"/>
      <c r="L30" s="3">
        <f t="shared" si="0"/>
        <v>-4745.38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--36092.23</f>
        <v>36092.230000000003</v>
      </c>
      <c r="U30" s="3"/>
      <c r="V30" s="20"/>
      <c r="W30" s="3"/>
      <c r="X30" s="3">
        <f t="shared" si="2"/>
        <v>-36092.230000000003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","4045"," - ","TAXABLE SALES-SPECIAL ORDERS")</f>
        <v xml:space="preserve">          4045 - TAXABLE SALES-SPECIAL ORDERS</v>
      </c>
      <c r="C31" s="12"/>
      <c r="D31" s="3">
        <f>0</f>
        <v>0</v>
      </c>
      <c r="E31" s="3"/>
      <c r="F31" s="20"/>
      <c r="G31" s="3"/>
      <c r="H31" s="3">
        <f>--63044.9</f>
        <v>63044.9</v>
      </c>
      <c r="I31" s="3"/>
      <c r="J31" s="20"/>
      <c r="K31" s="3"/>
      <c r="L31" s="3">
        <f t="shared" si="0"/>
        <v>-63044.9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--207242.34</f>
        <v>207242.34</v>
      </c>
      <c r="U31" s="3"/>
      <c r="V31" s="20"/>
      <c r="W31" s="3"/>
      <c r="X31" s="3">
        <f t="shared" si="2"/>
        <v>-207242.34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","4081"," - ","TAXABLE SALES-ELECTRONICS")</f>
        <v xml:space="preserve">          4081 - TAXABLE SALES-ELECTRONICS</v>
      </c>
      <c r="C32" s="12"/>
      <c r="D32" s="3">
        <f>0</f>
        <v>0</v>
      </c>
      <c r="E32" s="3"/>
      <c r="F32" s="20"/>
      <c r="G32" s="3"/>
      <c r="H32" s="3">
        <f>--1628.82</f>
        <v>1628.82</v>
      </c>
      <c r="I32" s="3"/>
      <c r="J32" s="20"/>
      <c r="K32" s="3"/>
      <c r="L32" s="3">
        <f t="shared" si="0"/>
        <v>-1628.82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--62168.02</f>
        <v>62168.02</v>
      </c>
      <c r="U32" s="3"/>
      <c r="V32" s="20"/>
      <c r="W32" s="3"/>
      <c r="X32" s="3">
        <f t="shared" si="2"/>
        <v>-62168.02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","4082"," - ","TAXABLE SALES-COMPUTER HARDWAR")</f>
        <v xml:space="preserve">          4082 - TAXABLE SALES-COMPUTER HARDWAR</v>
      </c>
      <c r="C33" s="12"/>
      <c r="D33" s="3">
        <f>0</f>
        <v>0</v>
      </c>
      <c r="E33" s="3"/>
      <c r="F33" s="20"/>
      <c r="G33" s="3"/>
      <c r="H33" s="3">
        <f>--354181.27</f>
        <v>354181.27</v>
      </c>
      <c r="I33" s="3"/>
      <c r="J33" s="20"/>
      <c r="K33" s="3"/>
      <c r="L33" s="3">
        <f t="shared" si="0"/>
        <v>-354181.27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--2012047.63</f>
        <v>2012047.63</v>
      </c>
      <c r="U33" s="3"/>
      <c r="V33" s="20"/>
      <c r="W33" s="3"/>
      <c r="X33" s="3">
        <f t="shared" si="2"/>
        <v>-2012047.63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","4083"," - ","TAXABLE SALES-COMPUTER EQUIPME")</f>
        <v xml:space="preserve">          4083 - TAXABLE SALES-COMPUTER EQUIPME</v>
      </c>
      <c r="C34" s="12"/>
      <c r="D34" s="3">
        <f>0</f>
        <v>0</v>
      </c>
      <c r="E34" s="3"/>
      <c r="F34" s="20"/>
      <c r="G34" s="3"/>
      <c r="H34" s="3">
        <f>--7273.67</f>
        <v>7273.67</v>
      </c>
      <c r="I34" s="3"/>
      <c r="J34" s="20"/>
      <c r="K34" s="3"/>
      <c r="L34" s="3">
        <f t="shared" si="0"/>
        <v>-7273.67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--126942.93</f>
        <v>126942.93</v>
      </c>
      <c r="U34" s="3"/>
      <c r="V34" s="20"/>
      <c r="W34" s="3"/>
      <c r="X34" s="3">
        <f t="shared" si="2"/>
        <v>-126942.93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","4085"," - ","TAXABLE SALES-SOFTWARE")</f>
        <v xml:space="preserve">          4085 - TAXABLE SALES-SOFTWARE</v>
      </c>
      <c r="C35" s="12"/>
      <c r="D35" s="3">
        <f>0</f>
        <v>0</v>
      </c>
      <c r="E35" s="3"/>
      <c r="F35" s="20"/>
      <c r="G35" s="3"/>
      <c r="H35" s="3">
        <f>--1771.88</f>
        <v>1771.88</v>
      </c>
      <c r="I35" s="3"/>
      <c r="J35" s="20"/>
      <c r="K35" s="3"/>
      <c r="L35" s="3">
        <f t="shared" si="0"/>
        <v>-1771.88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--4870.79</f>
        <v>4870.79</v>
      </c>
      <c r="U35" s="3"/>
      <c r="V35" s="20"/>
      <c r="W35" s="3"/>
      <c r="X35" s="3">
        <f t="shared" si="2"/>
        <v>-4870.79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","4086"," - ","TAXABLE SALES-COMPUTER SUPPLIE")</f>
        <v xml:space="preserve">          4086 - TAXABLE SALES-COMPUTER SUPPLIE</v>
      </c>
      <c r="C36" s="12"/>
      <c r="D36" s="3">
        <f>0</f>
        <v>0</v>
      </c>
      <c r="E36" s="3"/>
      <c r="F36" s="20"/>
      <c r="G36" s="3"/>
      <c r="H36" s="3">
        <f>--5818.73</f>
        <v>5818.73</v>
      </c>
      <c r="I36" s="3"/>
      <c r="J36" s="20"/>
      <c r="K36" s="3"/>
      <c r="L36" s="3">
        <f t="shared" si="0"/>
        <v>-5818.73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--65269.63</f>
        <v>65269.63</v>
      </c>
      <c r="U36" s="3"/>
      <c r="V36" s="20"/>
      <c r="W36" s="3"/>
      <c r="X36" s="3">
        <f t="shared" si="2"/>
        <v>-65269.63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","4095"," - ","TAXABLE SALES-CUSTOMER SERVICE")</f>
        <v xml:space="preserve">          4095 - TAXABLE SALES-CUSTOMER SERVICE</v>
      </c>
      <c r="C37" s="12"/>
      <c r="D37" s="3">
        <f>0</f>
        <v>0</v>
      </c>
      <c r="E37" s="3"/>
      <c r="F37" s="20"/>
      <c r="G37" s="3"/>
      <c r="H37" s="3">
        <f>--2119.46</f>
        <v>2119.46</v>
      </c>
      <c r="I37" s="3"/>
      <c r="J37" s="20"/>
      <c r="K37" s="3"/>
      <c r="L37" s="3">
        <f t="shared" si="0"/>
        <v>-2119.46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--3034.59</f>
        <v>3034.59</v>
      </c>
      <c r="U37" s="3"/>
      <c r="V37" s="20"/>
      <c r="W37" s="3"/>
      <c r="X37" s="3">
        <f t="shared" si="2"/>
        <v>-3034.59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","4100"," - ","NON-TAXABLE SALES")</f>
        <v xml:space="preserve">          4100 - NON-TAXABLE SALES</v>
      </c>
      <c r="C38" s="12"/>
      <c r="D38" s="3">
        <f>--210890.92</f>
        <v>210890.92</v>
      </c>
      <c r="E38" s="3"/>
      <c r="F38" s="20"/>
      <c r="G38" s="3"/>
      <c r="H38" s="3">
        <f>-12385.33</f>
        <v>-12385.33</v>
      </c>
      <c r="I38" s="3"/>
      <c r="J38" s="20"/>
      <c r="K38" s="3"/>
      <c r="L38" s="3">
        <f t="shared" si="0"/>
        <v>223276.25</v>
      </c>
      <c r="M38" s="3"/>
      <c r="N38" s="20">
        <f t="shared" si="1"/>
        <v>-18.027476861738847</v>
      </c>
      <c r="O38" s="12"/>
      <c r="P38" s="3">
        <f>--1885850.37</f>
        <v>1885850.37</v>
      </c>
      <c r="Q38" s="3"/>
      <c r="R38" s="20"/>
      <c r="S38" s="3"/>
      <c r="T38" s="3">
        <f>--273838.77</f>
        <v>273838.77</v>
      </c>
      <c r="U38" s="3"/>
      <c r="V38" s="20"/>
      <c r="W38" s="3"/>
      <c r="X38" s="3">
        <f t="shared" si="2"/>
        <v>1612011.6</v>
      </c>
      <c r="Y38" s="3"/>
      <c r="Z38" s="20">
        <f t="shared" si="3"/>
        <v>5.8867179399031047</v>
      </c>
    </row>
    <row r="39" spans="1:26" s="69" customFormat="1" ht="15" hidden="1" customHeight="1" outlineLevel="1" x14ac:dyDescent="0.3">
      <c r="A39" s="42"/>
      <c r="B39" s="12" t="str">
        <f>CONCATENATE("          ","4101"," - ","NON-TAXABLE SALES-NEW TEXT")</f>
        <v xml:space="preserve">          4101 - NON-TAXABLE SALES-NEW TEXT</v>
      </c>
      <c r="C39" s="12"/>
      <c r="D39" s="3">
        <f>0</f>
        <v>0</v>
      </c>
      <c r="E39" s="3"/>
      <c r="F39" s="20"/>
      <c r="G39" s="3"/>
      <c r="H39" s="3">
        <f>--741.03</f>
        <v>741.03</v>
      </c>
      <c r="I39" s="3"/>
      <c r="J39" s="20"/>
      <c r="K39" s="3"/>
      <c r="L39" s="3">
        <f t="shared" si="0"/>
        <v>-741.03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--112796.74</f>
        <v>112796.74</v>
      </c>
      <c r="U39" s="3"/>
      <c r="V39" s="20"/>
      <c r="W39" s="3"/>
      <c r="X39" s="3">
        <f t="shared" si="2"/>
        <v>-112796.74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","4102"," - ","NON-TAXABLE SALES-USED TEXT")</f>
        <v xml:space="preserve">          4102 - NON-TAXABLE SALES-USED TEXT</v>
      </c>
      <c r="C40" s="12"/>
      <c r="D40" s="3">
        <f>0</f>
        <v>0</v>
      </c>
      <c r="E40" s="3"/>
      <c r="F40" s="20"/>
      <c r="G40" s="3"/>
      <c r="H40" s="3">
        <f>--743.99</f>
        <v>743.99</v>
      </c>
      <c r="I40" s="3"/>
      <c r="J40" s="20"/>
      <c r="K40" s="3"/>
      <c r="L40" s="3">
        <f t="shared" si="0"/>
        <v>-743.99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--48703.42</f>
        <v>48703.42</v>
      </c>
      <c r="U40" s="3"/>
      <c r="V40" s="20"/>
      <c r="W40" s="3"/>
      <c r="X40" s="3">
        <f t="shared" si="2"/>
        <v>-48703.42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","4103"," - ","NON-TAXABLE SALES-RENTAL TEXT")</f>
        <v xml:space="preserve">          4103 - NON-TAXABLE SALES-RENTAL TEXT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--1138.95</f>
        <v>1138.95</v>
      </c>
      <c r="U41" s="3"/>
      <c r="V41" s="20"/>
      <c r="W41" s="3"/>
      <c r="X41" s="3">
        <f t="shared" si="2"/>
        <v>-1138.95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","4104"," - ","NON-TAXABLE SALES-DIGITAL TEXT")</f>
        <v xml:space="preserve">          4104 - NON-TAXABLE SALES-DIGITAL TEXT</v>
      </c>
      <c r="C42" s="12"/>
      <c r="D42" s="3">
        <f>0</f>
        <v>0</v>
      </c>
      <c r="E42" s="3"/>
      <c r="F42" s="20"/>
      <c r="G42" s="3"/>
      <c r="H42" s="3">
        <f>--3431.99</f>
        <v>3431.99</v>
      </c>
      <c r="I42" s="3"/>
      <c r="J42" s="20"/>
      <c r="K42" s="3"/>
      <c r="L42" s="3">
        <f t="shared" si="0"/>
        <v>-3431.99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--480403.17</f>
        <v>480403.17</v>
      </c>
      <c r="U42" s="3"/>
      <c r="V42" s="20"/>
      <c r="W42" s="3"/>
      <c r="X42" s="3">
        <f t="shared" si="2"/>
        <v>-480403.17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","4113"," - ","NON-TAXABLE SALES-TRADE BOOKS")</f>
        <v xml:space="preserve">          4113 - NON-TAXABLE SALES-TRADE BOOKS</v>
      </c>
      <c r="C43" s="12"/>
      <c r="D43" s="3">
        <f>0</f>
        <v>0</v>
      </c>
      <c r="E43" s="3"/>
      <c r="F43" s="20"/>
      <c r="G43" s="3"/>
      <c r="H43" s="3">
        <f>--738</f>
        <v>738</v>
      </c>
      <c r="I43" s="3"/>
      <c r="J43" s="20"/>
      <c r="K43" s="3"/>
      <c r="L43" s="3">
        <f t="shared" si="0"/>
        <v>-738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--12127.25</f>
        <v>12127.25</v>
      </c>
      <c r="U43" s="3"/>
      <c r="V43" s="20"/>
      <c r="W43" s="3"/>
      <c r="X43" s="3">
        <f t="shared" si="2"/>
        <v>-12127.25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","4118"," - ","NON-TAXABLE SALES-STUDY GUIDES")</f>
        <v xml:space="preserve">          4118 - NON-TAXABLE SALES-STUDY GUIDES</v>
      </c>
      <c r="C44" s="12"/>
      <c r="D44" s="3">
        <f>0</f>
        <v>0</v>
      </c>
      <c r="E44" s="3"/>
      <c r="F44" s="20"/>
      <c r="G44" s="3"/>
      <c r="H44" s="3">
        <f>0</f>
        <v>0</v>
      </c>
      <c r="I44" s="3"/>
      <c r="J44" s="20"/>
      <c r="K44" s="3"/>
      <c r="L44" s="3">
        <f t="shared" ref="L44:L75" si="4">+D44-H44</f>
        <v>0</v>
      </c>
      <c r="M44" s="3"/>
      <c r="N44" s="20">
        <f t="shared" ref="N44:N75" si="5">IF(H44=0,0,L44/H44)</f>
        <v>0</v>
      </c>
      <c r="O44" s="12"/>
      <c r="P44" s="3">
        <f>0</f>
        <v>0</v>
      </c>
      <c r="Q44" s="3"/>
      <c r="R44" s="20"/>
      <c r="S44" s="3"/>
      <c r="T44" s="3">
        <f>--771.73</f>
        <v>771.73</v>
      </c>
      <c r="U44" s="3"/>
      <c r="V44" s="20"/>
      <c r="W44" s="3"/>
      <c r="X44" s="3">
        <f t="shared" ref="X44:X75" si="6">+P44-T44</f>
        <v>-771.73</v>
      </c>
      <c r="Y44" s="3"/>
      <c r="Z44" s="20">
        <f t="shared" ref="Z44:Z75" si="7">IF(T44=0,0,X44/T44)</f>
        <v>-1</v>
      </c>
    </row>
    <row r="45" spans="1:26" s="69" customFormat="1" ht="15" hidden="1" customHeight="1" outlineLevel="1" x14ac:dyDescent="0.3">
      <c r="A45" s="42"/>
      <c r="B45" s="12" t="str">
        <f>CONCATENATE("          ","4126"," - ","NON-TAXABLE SALES-WRITING INST")</f>
        <v xml:space="preserve">          4126 - NON-TAXABLE SALES-WRITING INST</v>
      </c>
      <c r="C45" s="12"/>
      <c r="D45" s="3">
        <f>0</f>
        <v>0</v>
      </c>
      <c r="E45" s="3"/>
      <c r="F45" s="20"/>
      <c r="G45" s="3"/>
      <c r="H45" s="3">
        <f>0</f>
        <v>0</v>
      </c>
      <c r="I45" s="3"/>
      <c r="J45" s="20"/>
      <c r="K45" s="3"/>
      <c r="L45" s="3">
        <f t="shared" si="4"/>
        <v>0</v>
      </c>
      <c r="M45" s="3"/>
      <c r="N45" s="20">
        <f t="shared" si="5"/>
        <v>0</v>
      </c>
      <c r="O45" s="12"/>
      <c r="P45" s="3">
        <f>0</f>
        <v>0</v>
      </c>
      <c r="Q45" s="3"/>
      <c r="R45" s="20"/>
      <c r="S45" s="3"/>
      <c r="T45" s="3">
        <f>--52.68</f>
        <v>52.68</v>
      </c>
      <c r="U45" s="3"/>
      <c r="V45" s="20"/>
      <c r="W45" s="3"/>
      <c r="X45" s="3">
        <f t="shared" si="6"/>
        <v>-52.68</v>
      </c>
      <c r="Y45" s="3"/>
      <c r="Z45" s="20">
        <f t="shared" si="7"/>
        <v>-1</v>
      </c>
    </row>
    <row r="46" spans="1:26" s="69" customFormat="1" ht="15" hidden="1" customHeight="1" outlineLevel="1" x14ac:dyDescent="0.3">
      <c r="A46" s="42"/>
      <c r="B46" s="12" t="str">
        <f>CONCATENATE("          ","4127"," - ","NON-TAXABLE SALES-SCHOOL SUPPL")</f>
        <v xml:space="preserve">          4127 - NON-TAXABLE SALES-SCHOOL SUPPL</v>
      </c>
      <c r="C46" s="12"/>
      <c r="D46" s="3">
        <f>0</f>
        <v>0</v>
      </c>
      <c r="E46" s="3"/>
      <c r="F46" s="20"/>
      <c r="G46" s="3"/>
      <c r="H46" s="3">
        <f>--493.37</f>
        <v>493.37</v>
      </c>
      <c r="I46" s="3"/>
      <c r="J46" s="20"/>
      <c r="K46" s="3"/>
      <c r="L46" s="3">
        <f t="shared" si="4"/>
        <v>-493.37</v>
      </c>
      <c r="M46" s="3"/>
      <c r="N46" s="20">
        <f t="shared" si="5"/>
        <v>-1</v>
      </c>
      <c r="O46" s="12"/>
      <c r="P46" s="3">
        <f>0</f>
        <v>0</v>
      </c>
      <c r="Q46" s="3"/>
      <c r="R46" s="20"/>
      <c r="S46" s="3"/>
      <c r="T46" s="3">
        <f>--7100.68</f>
        <v>7100.68</v>
      </c>
      <c r="U46" s="3"/>
      <c r="V46" s="20"/>
      <c r="W46" s="3"/>
      <c r="X46" s="3">
        <f t="shared" si="6"/>
        <v>-7100.68</v>
      </c>
      <c r="Y46" s="3"/>
      <c r="Z46" s="20">
        <f t="shared" si="7"/>
        <v>-1</v>
      </c>
    </row>
    <row r="47" spans="1:26" s="69" customFormat="1" ht="15" hidden="1" customHeight="1" outlineLevel="1" x14ac:dyDescent="0.3">
      <c r="A47" s="42"/>
      <c r="B47" s="12" t="str">
        <f>CONCATENATE("          ","4128"," - ","NON-TAXABLE SALES-ART/TECH")</f>
        <v xml:space="preserve">          4128 - NON-TAXABLE SALES-ART/TECH</v>
      </c>
      <c r="C47" s="12"/>
      <c r="D47" s="3">
        <f>0</f>
        <v>0</v>
      </c>
      <c r="E47" s="3"/>
      <c r="F47" s="20"/>
      <c r="G47" s="3"/>
      <c r="H47" s="3">
        <f>--31.37</f>
        <v>31.37</v>
      </c>
      <c r="I47" s="3"/>
      <c r="J47" s="20"/>
      <c r="K47" s="3"/>
      <c r="L47" s="3">
        <f t="shared" si="4"/>
        <v>-31.37</v>
      </c>
      <c r="M47" s="3"/>
      <c r="N47" s="20">
        <f t="shared" si="5"/>
        <v>-1</v>
      </c>
      <c r="O47" s="12"/>
      <c r="P47" s="3">
        <f>0</f>
        <v>0</v>
      </c>
      <c r="Q47" s="3"/>
      <c r="R47" s="20"/>
      <c r="S47" s="3"/>
      <c r="T47" s="3">
        <f>--69.95</f>
        <v>69.95</v>
      </c>
      <c r="U47" s="3"/>
      <c r="V47" s="20"/>
      <c r="W47" s="3"/>
      <c r="X47" s="3">
        <f t="shared" si="6"/>
        <v>-69.95</v>
      </c>
      <c r="Y47" s="3"/>
      <c r="Z47" s="20">
        <f t="shared" si="7"/>
        <v>-1</v>
      </c>
    </row>
    <row r="48" spans="1:26" s="69" customFormat="1" ht="15" hidden="1" customHeight="1" outlineLevel="1" x14ac:dyDescent="0.3">
      <c r="A48" s="42"/>
      <c r="B48" s="12" t="str">
        <f>CONCATENATE("          ","4131"," - ","NON-TAXABLE SALES-FOOD")</f>
        <v xml:space="preserve">          4131 - NON-TAXABLE SALES-FOOD</v>
      </c>
      <c r="C48" s="12"/>
      <c r="D48" s="3">
        <f>0</f>
        <v>0</v>
      </c>
      <c r="E48" s="3"/>
      <c r="F48" s="20"/>
      <c r="G48" s="3"/>
      <c r="H48" s="3">
        <f>--975.93</f>
        <v>975.93</v>
      </c>
      <c r="I48" s="3"/>
      <c r="J48" s="20"/>
      <c r="K48" s="3"/>
      <c r="L48" s="3">
        <f t="shared" si="4"/>
        <v>-975.93</v>
      </c>
      <c r="M48" s="3"/>
      <c r="N48" s="20">
        <f t="shared" si="5"/>
        <v>-1</v>
      </c>
      <c r="O48" s="12"/>
      <c r="P48" s="3">
        <f>0</f>
        <v>0</v>
      </c>
      <c r="Q48" s="3"/>
      <c r="R48" s="20"/>
      <c r="S48" s="3"/>
      <c r="T48" s="3">
        <f>--11380.36</f>
        <v>11380.36</v>
      </c>
      <c r="U48" s="3"/>
      <c r="V48" s="20"/>
      <c r="W48" s="3"/>
      <c r="X48" s="3">
        <f t="shared" si="6"/>
        <v>-11380.36</v>
      </c>
      <c r="Y48" s="3"/>
      <c r="Z48" s="20">
        <f t="shared" si="7"/>
        <v>-1</v>
      </c>
    </row>
    <row r="49" spans="1:26" s="69" customFormat="1" ht="15" hidden="1" customHeight="1" outlineLevel="1" x14ac:dyDescent="0.3">
      <c r="A49" s="42"/>
      <c r="B49" s="12" t="str">
        <f>CONCATENATE("          ","4132"," - ","NON-TAXABLE SALES-JUICE")</f>
        <v xml:space="preserve">          4132 - NON-TAXABLE SALES-JUICE</v>
      </c>
      <c r="C49" s="12"/>
      <c r="D49" s="3">
        <f>0</f>
        <v>0</v>
      </c>
      <c r="E49" s="3"/>
      <c r="F49" s="20"/>
      <c r="G49" s="3"/>
      <c r="H49" s="3">
        <f>0</f>
        <v>0</v>
      </c>
      <c r="I49" s="3"/>
      <c r="J49" s="20"/>
      <c r="K49" s="3"/>
      <c r="L49" s="3">
        <f t="shared" si="4"/>
        <v>0</v>
      </c>
      <c r="M49" s="3"/>
      <c r="N49" s="20">
        <f t="shared" si="5"/>
        <v>0</v>
      </c>
      <c r="O49" s="12"/>
      <c r="P49" s="3">
        <f>0</f>
        <v>0</v>
      </c>
      <c r="Q49" s="3"/>
      <c r="R49" s="20"/>
      <c r="S49" s="3"/>
      <c r="T49" s="3">
        <f>--22.49</f>
        <v>22.49</v>
      </c>
      <c r="U49" s="3"/>
      <c r="V49" s="20"/>
      <c r="W49" s="3"/>
      <c r="X49" s="3">
        <f t="shared" si="6"/>
        <v>-22.49</v>
      </c>
      <c r="Y49" s="3"/>
      <c r="Z49" s="20">
        <f t="shared" si="7"/>
        <v>-1</v>
      </c>
    </row>
    <row r="50" spans="1:26" s="69" customFormat="1" ht="15" hidden="1" customHeight="1" outlineLevel="1" x14ac:dyDescent="0.3">
      <c r="A50" s="42"/>
      <c r="B50" s="12" t="str">
        <f>CONCATENATE("          ","4133"," - ","NON-TAXABLE SALES-CANDY")</f>
        <v xml:space="preserve">          4133 - NON-TAXABLE SALES-CANDY</v>
      </c>
      <c r="C50" s="12"/>
      <c r="D50" s="3">
        <f>0</f>
        <v>0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4"/>
        <v>0</v>
      </c>
      <c r="M50" s="3"/>
      <c r="N50" s="20">
        <f t="shared" si="5"/>
        <v>0</v>
      </c>
      <c r="O50" s="12"/>
      <c r="P50" s="3">
        <f>0</f>
        <v>0</v>
      </c>
      <c r="Q50" s="3"/>
      <c r="R50" s="20"/>
      <c r="S50" s="3"/>
      <c r="T50" s="3">
        <f>--80.71</f>
        <v>80.709999999999994</v>
      </c>
      <c r="U50" s="3"/>
      <c r="V50" s="20"/>
      <c r="W50" s="3"/>
      <c r="X50" s="3">
        <f t="shared" si="6"/>
        <v>-80.709999999999994</v>
      </c>
      <c r="Y50" s="3"/>
      <c r="Z50" s="20">
        <f t="shared" si="7"/>
        <v>-1</v>
      </c>
    </row>
    <row r="51" spans="1:26" s="69" customFormat="1" ht="15" hidden="1" customHeight="1" outlineLevel="1" x14ac:dyDescent="0.3">
      <c r="A51" s="42"/>
      <c r="B51" s="12" t="str">
        <f>CONCATENATE("          ","4134"," - ","NON-TAXABLE SALES-SODA")</f>
        <v xml:space="preserve">          4134 - NON-TAXABLE SALES-SODA</v>
      </c>
      <c r="C51" s="12"/>
      <c r="D51" s="3">
        <f>0</f>
        <v>0</v>
      </c>
      <c r="E51" s="3"/>
      <c r="F51" s="20"/>
      <c r="G51" s="3"/>
      <c r="H51" s="3">
        <f>0</f>
        <v>0</v>
      </c>
      <c r="I51" s="3"/>
      <c r="J51" s="20"/>
      <c r="K51" s="3"/>
      <c r="L51" s="3">
        <f t="shared" si="4"/>
        <v>0</v>
      </c>
      <c r="M51" s="3"/>
      <c r="N51" s="20">
        <f t="shared" si="5"/>
        <v>0</v>
      </c>
      <c r="O51" s="12"/>
      <c r="P51" s="3">
        <f>0</f>
        <v>0</v>
      </c>
      <c r="Q51" s="3"/>
      <c r="R51" s="20"/>
      <c r="S51" s="3"/>
      <c r="T51" s="3">
        <f>--45.53</f>
        <v>45.53</v>
      </c>
      <c r="U51" s="3"/>
      <c r="V51" s="20"/>
      <c r="W51" s="3"/>
      <c r="X51" s="3">
        <f t="shared" si="6"/>
        <v>-45.53</v>
      </c>
      <c r="Y51" s="3"/>
      <c r="Z51" s="20">
        <f t="shared" si="7"/>
        <v>-1</v>
      </c>
    </row>
    <row r="52" spans="1:26" s="69" customFormat="1" ht="15" hidden="1" customHeight="1" outlineLevel="1" x14ac:dyDescent="0.3">
      <c r="A52" s="42"/>
      <c r="B52" s="12" t="str">
        <f>CONCATENATE("          ","4137"," - ","NON-TAXABLE SALES-WATER")</f>
        <v xml:space="preserve">          4137 - NON-TAXABLE SALES-WATER</v>
      </c>
      <c r="C52" s="12"/>
      <c r="D52" s="3">
        <f>0</f>
        <v>0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4"/>
        <v>0</v>
      </c>
      <c r="M52" s="3"/>
      <c r="N52" s="20">
        <f t="shared" si="5"/>
        <v>0</v>
      </c>
      <c r="O52" s="12"/>
      <c r="P52" s="3">
        <f>0</f>
        <v>0</v>
      </c>
      <c r="Q52" s="3"/>
      <c r="R52" s="20"/>
      <c r="S52" s="3"/>
      <c r="T52" s="3">
        <f>--68.25</f>
        <v>68.25</v>
      </c>
      <c r="U52" s="3"/>
      <c r="V52" s="20"/>
      <c r="W52" s="3"/>
      <c r="X52" s="3">
        <f t="shared" si="6"/>
        <v>-68.25</v>
      </c>
      <c r="Y52" s="3"/>
      <c r="Z52" s="20">
        <f t="shared" si="7"/>
        <v>-1</v>
      </c>
    </row>
    <row r="53" spans="1:26" s="69" customFormat="1" ht="15" hidden="1" customHeight="1" outlineLevel="1" x14ac:dyDescent="0.3">
      <c r="A53" s="42"/>
      <c r="B53" s="12" t="str">
        <f>CONCATENATE("          ","4140"," - ","NON-TAXABLE SALES-LOGO CLOTHIN")</f>
        <v xml:space="preserve">          4140 - NON-TAXABLE SALES-LOGO CLOTHIN</v>
      </c>
      <c r="C53" s="12"/>
      <c r="D53" s="3">
        <f>0</f>
        <v>0</v>
      </c>
      <c r="E53" s="3"/>
      <c r="F53" s="20"/>
      <c r="G53" s="3"/>
      <c r="H53" s="3">
        <f>--23040.7</f>
        <v>23040.7</v>
      </c>
      <c r="I53" s="3"/>
      <c r="J53" s="20"/>
      <c r="K53" s="3"/>
      <c r="L53" s="3">
        <f t="shared" si="4"/>
        <v>-23040.7</v>
      </c>
      <c r="M53" s="3"/>
      <c r="N53" s="20">
        <f t="shared" si="5"/>
        <v>-1</v>
      </c>
      <c r="O53" s="12"/>
      <c r="P53" s="3">
        <f>0</f>
        <v>0</v>
      </c>
      <c r="Q53" s="3"/>
      <c r="R53" s="20"/>
      <c r="S53" s="3"/>
      <c r="T53" s="3">
        <f>--154792.39</f>
        <v>154792.39000000001</v>
      </c>
      <c r="U53" s="3"/>
      <c r="V53" s="20"/>
      <c r="W53" s="3"/>
      <c r="X53" s="3">
        <f t="shared" si="6"/>
        <v>-154792.39000000001</v>
      </c>
      <c r="Y53" s="3"/>
      <c r="Z53" s="20">
        <f t="shared" si="7"/>
        <v>-1</v>
      </c>
    </row>
    <row r="54" spans="1:26" s="69" customFormat="1" ht="15" hidden="1" customHeight="1" outlineLevel="1" x14ac:dyDescent="0.3">
      <c r="A54" s="42"/>
      <c r="B54" s="12" t="str">
        <f>CONCATENATE("          ","4141"," - ","NON-TAXABLE SALES-LOGO GIFTS")</f>
        <v xml:space="preserve">          4141 - NON-TAXABLE SALES-LOGO GIFTS</v>
      </c>
      <c r="C54" s="12"/>
      <c r="D54" s="3">
        <f>0</f>
        <v>0</v>
      </c>
      <c r="E54" s="3"/>
      <c r="F54" s="20"/>
      <c r="G54" s="3"/>
      <c r="H54" s="3">
        <f>--27228.57</f>
        <v>27228.57</v>
      </c>
      <c r="I54" s="3"/>
      <c r="J54" s="20"/>
      <c r="K54" s="3"/>
      <c r="L54" s="3">
        <f t="shared" si="4"/>
        <v>-27228.57</v>
      </c>
      <c r="M54" s="3"/>
      <c r="N54" s="20">
        <f t="shared" si="5"/>
        <v>-1</v>
      </c>
      <c r="O54" s="12"/>
      <c r="P54" s="3">
        <f>0</f>
        <v>0</v>
      </c>
      <c r="Q54" s="3"/>
      <c r="R54" s="20"/>
      <c r="S54" s="3"/>
      <c r="T54" s="3">
        <f>--36796.81</f>
        <v>36796.81</v>
      </c>
      <c r="U54" s="3"/>
      <c r="V54" s="20"/>
      <c r="W54" s="3"/>
      <c r="X54" s="3">
        <f t="shared" si="6"/>
        <v>-36796.81</v>
      </c>
      <c r="Y54" s="3"/>
      <c r="Z54" s="20">
        <f t="shared" si="7"/>
        <v>-1</v>
      </c>
    </row>
    <row r="55" spans="1:26" s="69" customFormat="1" ht="15" hidden="1" customHeight="1" outlineLevel="1" x14ac:dyDescent="0.3">
      <c r="A55" s="42"/>
      <c r="B55" s="12" t="str">
        <f>CONCATENATE("          ","4142"," - ","NON-TAXABLE SALES-EVERYDAY GIF")</f>
        <v xml:space="preserve">          4142 - NON-TAXABLE SALES-EVERYDAY GIF</v>
      </c>
      <c r="C55" s="12"/>
      <c r="D55" s="3">
        <f>0</f>
        <v>0</v>
      </c>
      <c r="E55" s="3"/>
      <c r="F55" s="20"/>
      <c r="G55" s="3"/>
      <c r="H55" s="3">
        <f>--306.73</f>
        <v>306.73</v>
      </c>
      <c r="I55" s="3"/>
      <c r="J55" s="20"/>
      <c r="K55" s="3"/>
      <c r="L55" s="3">
        <f t="shared" si="4"/>
        <v>-306.73</v>
      </c>
      <c r="M55" s="3"/>
      <c r="N55" s="20">
        <f t="shared" si="5"/>
        <v>-1</v>
      </c>
      <c r="O55" s="12"/>
      <c r="P55" s="3">
        <f>0</f>
        <v>0</v>
      </c>
      <c r="Q55" s="3"/>
      <c r="R55" s="20"/>
      <c r="S55" s="3"/>
      <c r="T55" s="3">
        <f>--2588.1</f>
        <v>2588.1</v>
      </c>
      <c r="U55" s="3"/>
      <c r="V55" s="20"/>
      <c r="W55" s="3"/>
      <c r="X55" s="3">
        <f t="shared" si="6"/>
        <v>-2588.1</v>
      </c>
      <c r="Y55" s="3"/>
      <c r="Z55" s="20">
        <f t="shared" si="7"/>
        <v>-1</v>
      </c>
    </row>
    <row r="56" spans="1:26" s="69" customFormat="1" ht="15" hidden="1" customHeight="1" outlineLevel="1" x14ac:dyDescent="0.3">
      <c r="A56" s="42"/>
      <c r="B56" s="12" t="str">
        <f>CONCATENATE("          ","4143"," - ","NON-TAXABLE SALES-CARDS")</f>
        <v xml:space="preserve">          4143 - NON-TAXABLE SALES-CARDS</v>
      </c>
      <c r="C56" s="12"/>
      <c r="D56" s="3">
        <f>0</f>
        <v>0</v>
      </c>
      <c r="E56" s="3"/>
      <c r="F56" s="20"/>
      <c r="G56" s="3"/>
      <c r="H56" s="3">
        <f>--49.97</f>
        <v>49.97</v>
      </c>
      <c r="I56" s="3"/>
      <c r="J56" s="20"/>
      <c r="K56" s="3"/>
      <c r="L56" s="3">
        <f t="shared" si="4"/>
        <v>-49.97</v>
      </c>
      <c r="M56" s="3"/>
      <c r="N56" s="20">
        <f t="shared" si="5"/>
        <v>-1</v>
      </c>
      <c r="O56" s="12"/>
      <c r="P56" s="3">
        <f>0</f>
        <v>0</v>
      </c>
      <c r="Q56" s="3"/>
      <c r="R56" s="20"/>
      <c r="S56" s="3"/>
      <c r="T56" s="3">
        <f>--2431.45</f>
        <v>2431.4499999999998</v>
      </c>
      <c r="U56" s="3"/>
      <c r="V56" s="20"/>
      <c r="W56" s="3"/>
      <c r="X56" s="3">
        <f t="shared" si="6"/>
        <v>-2431.4499999999998</v>
      </c>
      <c r="Y56" s="3"/>
      <c r="Z56" s="20">
        <f t="shared" si="7"/>
        <v>-1</v>
      </c>
    </row>
    <row r="57" spans="1:26" s="69" customFormat="1" ht="15" hidden="1" customHeight="1" outlineLevel="1" x14ac:dyDescent="0.3">
      <c r="A57" s="42"/>
      <c r="B57" s="12" t="str">
        <f>CONCATENATE("          ","4144"," - ","NON-TAXABLE SALES-ACCESSORIES")</f>
        <v xml:space="preserve">          4144 - NON-TAXABLE SALES-ACCESSORIES</v>
      </c>
      <c r="C57" s="12"/>
      <c r="D57" s="3">
        <f>0</f>
        <v>0</v>
      </c>
      <c r="E57" s="3"/>
      <c r="F57" s="20"/>
      <c r="G57" s="3"/>
      <c r="H57" s="3">
        <f>--29.85</f>
        <v>29.85</v>
      </c>
      <c r="I57" s="3"/>
      <c r="J57" s="20"/>
      <c r="K57" s="3"/>
      <c r="L57" s="3">
        <f t="shared" si="4"/>
        <v>-29.85</v>
      </c>
      <c r="M57" s="3"/>
      <c r="N57" s="20">
        <f t="shared" si="5"/>
        <v>-1</v>
      </c>
      <c r="O57" s="12"/>
      <c r="P57" s="3">
        <f>0</f>
        <v>0</v>
      </c>
      <c r="Q57" s="3"/>
      <c r="R57" s="20"/>
      <c r="S57" s="3"/>
      <c r="T57" s="3">
        <f>--709.1</f>
        <v>709.1</v>
      </c>
      <c r="U57" s="3"/>
      <c r="V57" s="20"/>
      <c r="W57" s="3"/>
      <c r="X57" s="3">
        <f t="shared" si="6"/>
        <v>-709.1</v>
      </c>
      <c r="Y57" s="3"/>
      <c r="Z57" s="20">
        <f t="shared" si="7"/>
        <v>-1</v>
      </c>
    </row>
    <row r="58" spans="1:26" s="69" customFormat="1" ht="15" hidden="1" customHeight="1" outlineLevel="1" x14ac:dyDescent="0.3">
      <c r="A58" s="42"/>
      <c r="B58" s="12" t="str">
        <f>CONCATENATE("          ","4145"," - ","NON-TAXABLE SALES-SPECIAL ORDE")</f>
        <v xml:space="preserve">          4145 - NON-TAXABLE SALES-SPECIAL ORDE</v>
      </c>
      <c r="C58" s="12"/>
      <c r="D58" s="3">
        <f>0</f>
        <v>0</v>
      </c>
      <c r="E58" s="3"/>
      <c r="F58" s="20"/>
      <c r="G58" s="3"/>
      <c r="H58" s="3">
        <f>--20350.8</f>
        <v>20350.8</v>
      </c>
      <c r="I58" s="3"/>
      <c r="J58" s="20"/>
      <c r="K58" s="3"/>
      <c r="L58" s="3">
        <f t="shared" si="4"/>
        <v>-20350.8</v>
      </c>
      <c r="M58" s="3"/>
      <c r="N58" s="20">
        <f t="shared" si="5"/>
        <v>-1</v>
      </c>
      <c r="O58" s="12"/>
      <c r="P58" s="3">
        <f>0</f>
        <v>0</v>
      </c>
      <c r="Q58" s="3"/>
      <c r="R58" s="20"/>
      <c r="S58" s="3"/>
      <c r="T58" s="3">
        <f>--74066.89</f>
        <v>74066.89</v>
      </c>
      <c r="U58" s="3"/>
      <c r="V58" s="20"/>
      <c r="W58" s="3"/>
      <c r="X58" s="3">
        <f t="shared" si="6"/>
        <v>-74066.89</v>
      </c>
      <c r="Y58" s="3"/>
      <c r="Z58" s="20">
        <f t="shared" si="7"/>
        <v>-1</v>
      </c>
    </row>
    <row r="59" spans="1:26" s="69" customFormat="1" ht="15" hidden="1" customHeight="1" outlineLevel="1" x14ac:dyDescent="0.3">
      <c r="A59" s="42"/>
      <c r="B59" s="12" t="str">
        <f>CONCATENATE("          ","4146"," - ","NON-TAXABLE SALES-COIN OP MACH")</f>
        <v xml:space="preserve">          4146 - NON-TAXABLE SALES-COIN OP MACH</v>
      </c>
      <c r="C59" s="12"/>
      <c r="D59" s="3">
        <f>0</f>
        <v>0</v>
      </c>
      <c r="E59" s="3"/>
      <c r="F59" s="20"/>
      <c r="G59" s="3"/>
      <c r="H59" s="3">
        <f>--30.2</f>
        <v>30.2</v>
      </c>
      <c r="I59" s="3"/>
      <c r="J59" s="20"/>
      <c r="K59" s="3"/>
      <c r="L59" s="3">
        <f t="shared" si="4"/>
        <v>-30.2</v>
      </c>
      <c r="M59" s="3"/>
      <c r="N59" s="20">
        <f t="shared" si="5"/>
        <v>-1</v>
      </c>
      <c r="O59" s="12"/>
      <c r="P59" s="3">
        <f>0</f>
        <v>0</v>
      </c>
      <c r="Q59" s="3"/>
      <c r="R59" s="20"/>
      <c r="S59" s="3"/>
      <c r="T59" s="3">
        <f>--329.3</f>
        <v>329.3</v>
      </c>
      <c r="U59" s="3"/>
      <c r="V59" s="20"/>
      <c r="W59" s="3"/>
      <c r="X59" s="3">
        <f t="shared" si="6"/>
        <v>-329.3</v>
      </c>
      <c r="Y59" s="3"/>
      <c r="Z59" s="20">
        <f t="shared" si="7"/>
        <v>-1</v>
      </c>
    </row>
    <row r="60" spans="1:26" s="69" customFormat="1" ht="15" hidden="1" customHeight="1" outlineLevel="1" x14ac:dyDescent="0.3">
      <c r="A60" s="42"/>
      <c r="B60" s="12" t="str">
        <f>CONCATENATE("          ","4147"," - ","NON-TAXABLE SALES-MISC")</f>
        <v xml:space="preserve">          4147 - NON-TAXABLE SALES-MISC</v>
      </c>
      <c r="C60" s="12"/>
      <c r="D60" s="3">
        <f>0</f>
        <v>0</v>
      </c>
      <c r="E60" s="3"/>
      <c r="F60" s="20"/>
      <c r="G60" s="3"/>
      <c r="H60" s="3">
        <f>--11</f>
        <v>11</v>
      </c>
      <c r="I60" s="3"/>
      <c r="J60" s="20"/>
      <c r="K60" s="3"/>
      <c r="L60" s="3">
        <f t="shared" si="4"/>
        <v>-11</v>
      </c>
      <c r="M60" s="3"/>
      <c r="N60" s="20">
        <f t="shared" si="5"/>
        <v>-1</v>
      </c>
      <c r="O60" s="12"/>
      <c r="P60" s="3">
        <f>0</f>
        <v>0</v>
      </c>
      <c r="Q60" s="3"/>
      <c r="R60" s="20"/>
      <c r="S60" s="3"/>
      <c r="T60" s="3">
        <f>--154.5</f>
        <v>154.5</v>
      </c>
      <c r="U60" s="3"/>
      <c r="V60" s="20"/>
      <c r="W60" s="3"/>
      <c r="X60" s="3">
        <f t="shared" si="6"/>
        <v>-154.5</v>
      </c>
      <c r="Y60" s="3"/>
      <c r="Z60" s="20">
        <f t="shared" si="7"/>
        <v>-1</v>
      </c>
    </row>
    <row r="61" spans="1:26" s="69" customFormat="1" ht="15" hidden="1" customHeight="1" outlineLevel="1" x14ac:dyDescent="0.3">
      <c r="A61" s="42"/>
      <c r="B61" s="12" t="str">
        <f>CONCATENATE("          ","4181"," - ","NON-TAXABLE SALES-ELECTRONICS")</f>
        <v xml:space="preserve">          4181 - NON-TAXABLE SALES-ELECTRONICS</v>
      </c>
      <c r="C61" s="12"/>
      <c r="D61" s="3">
        <f>0</f>
        <v>0</v>
      </c>
      <c r="E61" s="3"/>
      <c r="F61" s="20"/>
      <c r="G61" s="3"/>
      <c r="H61" s="3">
        <f>--29.99</f>
        <v>29.99</v>
      </c>
      <c r="I61" s="3"/>
      <c r="J61" s="20"/>
      <c r="K61" s="3"/>
      <c r="L61" s="3">
        <f t="shared" si="4"/>
        <v>-29.99</v>
      </c>
      <c r="M61" s="3"/>
      <c r="N61" s="20">
        <f t="shared" si="5"/>
        <v>-1</v>
      </c>
      <c r="O61" s="12"/>
      <c r="P61" s="3">
        <f>0</f>
        <v>0</v>
      </c>
      <c r="Q61" s="3"/>
      <c r="R61" s="20"/>
      <c r="S61" s="3"/>
      <c r="T61" s="3">
        <f>--12508.62</f>
        <v>12508.62</v>
      </c>
      <c r="U61" s="3"/>
      <c r="V61" s="20"/>
      <c r="W61" s="3"/>
      <c r="X61" s="3">
        <f t="shared" si="6"/>
        <v>-12508.62</v>
      </c>
      <c r="Y61" s="3"/>
      <c r="Z61" s="20">
        <f t="shared" si="7"/>
        <v>-1</v>
      </c>
    </row>
    <row r="62" spans="1:26" s="69" customFormat="1" ht="15" hidden="1" customHeight="1" outlineLevel="1" x14ac:dyDescent="0.3">
      <c r="A62" s="42"/>
      <c r="B62" s="12" t="str">
        <f>CONCATENATE("          ","4182"," - ","NON-TAXABLE SALES-COMPUTER HAR")</f>
        <v xml:space="preserve">          4182 - NON-TAXABLE SALES-COMPUTER HAR</v>
      </c>
      <c r="C62" s="12"/>
      <c r="D62" s="3">
        <f>0</f>
        <v>0</v>
      </c>
      <c r="E62" s="3"/>
      <c r="F62" s="20"/>
      <c r="G62" s="3"/>
      <c r="H62" s="3">
        <f>--61075.64</f>
        <v>61075.64</v>
      </c>
      <c r="I62" s="3"/>
      <c r="J62" s="20"/>
      <c r="K62" s="3"/>
      <c r="L62" s="3">
        <f t="shared" si="4"/>
        <v>-61075.64</v>
      </c>
      <c r="M62" s="3"/>
      <c r="N62" s="20">
        <f t="shared" si="5"/>
        <v>-1</v>
      </c>
      <c r="O62" s="12"/>
      <c r="P62" s="3">
        <f>0</f>
        <v>0</v>
      </c>
      <c r="Q62" s="3"/>
      <c r="R62" s="20"/>
      <c r="S62" s="3"/>
      <c r="T62" s="3">
        <f>--314490.47</f>
        <v>314490.46999999997</v>
      </c>
      <c r="U62" s="3"/>
      <c r="V62" s="20"/>
      <c r="W62" s="3"/>
      <c r="X62" s="3">
        <f t="shared" si="6"/>
        <v>-314490.46999999997</v>
      </c>
      <c r="Y62" s="3"/>
      <c r="Z62" s="20">
        <f t="shared" si="7"/>
        <v>-1</v>
      </c>
    </row>
    <row r="63" spans="1:26" s="69" customFormat="1" ht="15" hidden="1" customHeight="1" outlineLevel="1" x14ac:dyDescent="0.3">
      <c r="A63" s="42"/>
      <c r="B63" s="12" t="str">
        <f>CONCATENATE("          ","4183"," - ","NON-TAXABLE SALES-COMPUTER EQU")</f>
        <v xml:space="preserve">          4183 - NON-TAXABLE SALES-COMPUTER EQU</v>
      </c>
      <c r="C63" s="12"/>
      <c r="D63" s="3">
        <f>0</f>
        <v>0</v>
      </c>
      <c r="E63" s="3"/>
      <c r="F63" s="20"/>
      <c r="G63" s="3"/>
      <c r="H63" s="3">
        <f>--2879.59</f>
        <v>2879.59</v>
      </c>
      <c r="I63" s="3"/>
      <c r="J63" s="20"/>
      <c r="K63" s="3"/>
      <c r="L63" s="3">
        <f t="shared" si="4"/>
        <v>-2879.59</v>
      </c>
      <c r="M63" s="3"/>
      <c r="N63" s="20">
        <f t="shared" si="5"/>
        <v>-1</v>
      </c>
      <c r="O63" s="12"/>
      <c r="P63" s="3">
        <f>0</f>
        <v>0</v>
      </c>
      <c r="Q63" s="3"/>
      <c r="R63" s="20"/>
      <c r="S63" s="3"/>
      <c r="T63" s="3">
        <f>--19486.02</f>
        <v>19486.02</v>
      </c>
      <c r="U63" s="3"/>
      <c r="V63" s="20"/>
      <c r="W63" s="3"/>
      <c r="X63" s="3">
        <f t="shared" si="6"/>
        <v>-19486.02</v>
      </c>
      <c r="Y63" s="3"/>
      <c r="Z63" s="20">
        <f t="shared" si="7"/>
        <v>-1</v>
      </c>
    </row>
    <row r="64" spans="1:26" s="69" customFormat="1" ht="15" hidden="1" customHeight="1" outlineLevel="1" x14ac:dyDescent="0.3">
      <c r="A64" s="42"/>
      <c r="B64" s="12" t="str">
        <f>CONCATENATE("          ","4185"," - ","NON-TAXABLE SALES-SOFTWARE")</f>
        <v xml:space="preserve">          4185 - NON-TAXABLE SALES-SOFTWARE</v>
      </c>
      <c r="C64" s="12"/>
      <c r="D64" s="3">
        <f>0</f>
        <v>0</v>
      </c>
      <c r="E64" s="3"/>
      <c r="F64" s="20"/>
      <c r="G64" s="3"/>
      <c r="H64" s="3">
        <f>--11345.61</f>
        <v>11345.61</v>
      </c>
      <c r="I64" s="3"/>
      <c r="J64" s="20"/>
      <c r="K64" s="3"/>
      <c r="L64" s="3">
        <f t="shared" si="4"/>
        <v>-11345.61</v>
      </c>
      <c r="M64" s="3"/>
      <c r="N64" s="20">
        <f t="shared" si="5"/>
        <v>-1</v>
      </c>
      <c r="O64" s="12"/>
      <c r="P64" s="3">
        <f>0</f>
        <v>0</v>
      </c>
      <c r="Q64" s="3"/>
      <c r="R64" s="20"/>
      <c r="S64" s="3"/>
      <c r="T64" s="3">
        <f>--50032.39</f>
        <v>50032.39</v>
      </c>
      <c r="U64" s="3"/>
      <c r="V64" s="20"/>
      <c r="W64" s="3"/>
      <c r="X64" s="3">
        <f t="shared" si="6"/>
        <v>-50032.39</v>
      </c>
      <c r="Y64" s="3"/>
      <c r="Z64" s="20">
        <f t="shared" si="7"/>
        <v>-1</v>
      </c>
    </row>
    <row r="65" spans="1:26" s="69" customFormat="1" ht="15" hidden="1" customHeight="1" outlineLevel="1" x14ac:dyDescent="0.3">
      <c r="A65" s="42"/>
      <c r="B65" s="12" t="str">
        <f>CONCATENATE("          ","4186"," - ","NON-TAXABLE SALES-COMPUTER SUP")</f>
        <v xml:space="preserve">          4186 - NON-TAXABLE SALES-COMPUTER SUP</v>
      </c>
      <c r="C65" s="12"/>
      <c r="D65" s="3">
        <f>0</f>
        <v>0</v>
      </c>
      <c r="E65" s="3"/>
      <c r="F65" s="20"/>
      <c r="G65" s="3"/>
      <c r="H65" s="3">
        <f>--89.97</f>
        <v>89.97</v>
      </c>
      <c r="I65" s="3"/>
      <c r="J65" s="20"/>
      <c r="K65" s="3"/>
      <c r="L65" s="3">
        <f t="shared" si="4"/>
        <v>-89.97</v>
      </c>
      <c r="M65" s="3"/>
      <c r="N65" s="20">
        <f t="shared" si="5"/>
        <v>-1</v>
      </c>
      <c r="O65" s="12"/>
      <c r="P65" s="3">
        <f>0</f>
        <v>0</v>
      </c>
      <c r="Q65" s="3"/>
      <c r="R65" s="20"/>
      <c r="S65" s="3"/>
      <c r="T65" s="3">
        <f>--3345.17</f>
        <v>3345.17</v>
      </c>
      <c r="U65" s="3"/>
      <c r="V65" s="20"/>
      <c r="W65" s="3"/>
      <c r="X65" s="3">
        <f t="shared" si="6"/>
        <v>-3345.17</v>
      </c>
      <c r="Y65" s="3"/>
      <c r="Z65" s="20">
        <f t="shared" si="7"/>
        <v>-1</v>
      </c>
    </row>
    <row r="66" spans="1:26" s="69" customFormat="1" ht="15" hidden="1" customHeight="1" outlineLevel="1" x14ac:dyDescent="0.3">
      <c r="A66" s="42"/>
      <c r="B66" s="12" t="str">
        <f>CONCATENATE("          ","4200"," - ","TAXABLE RETURNS")</f>
        <v xml:space="preserve">          4200 - TAXABLE RETURNS</v>
      </c>
      <c r="C66" s="12"/>
      <c r="D66" s="3">
        <f>-241952.39</f>
        <v>-241952.39</v>
      </c>
      <c r="E66" s="3"/>
      <c r="F66" s="20"/>
      <c r="G66" s="3"/>
      <c r="H66" s="3">
        <f>0</f>
        <v>0</v>
      </c>
      <c r="I66" s="3"/>
      <c r="J66" s="20"/>
      <c r="K66" s="3"/>
      <c r="L66" s="3">
        <f t="shared" si="4"/>
        <v>-241952.39</v>
      </c>
      <c r="M66" s="3"/>
      <c r="N66" s="20">
        <f t="shared" si="5"/>
        <v>0</v>
      </c>
      <c r="O66" s="12"/>
      <c r="P66" s="3">
        <f>-672870.61</f>
        <v>-672870.61</v>
      </c>
      <c r="Q66" s="3"/>
      <c r="R66" s="20"/>
      <c r="S66" s="3"/>
      <c r="T66" s="3">
        <f>0</f>
        <v>0</v>
      </c>
      <c r="U66" s="3"/>
      <c r="V66" s="20"/>
      <c r="W66" s="3"/>
      <c r="X66" s="3">
        <f t="shared" si="6"/>
        <v>-672870.61</v>
      </c>
      <c r="Y66" s="3"/>
      <c r="Z66" s="20">
        <f t="shared" si="7"/>
        <v>0</v>
      </c>
    </row>
    <row r="67" spans="1:26" s="69" customFormat="1" ht="15" hidden="1" customHeight="1" outlineLevel="1" x14ac:dyDescent="0.3">
      <c r="A67" s="42"/>
      <c r="B67" s="12" t="str">
        <f>CONCATENATE("          ","4201"," - ","SALES RETURN TAXABLE-NEW TEXT")</f>
        <v xml:space="preserve">          4201 - SALES RETURN TAXABLE-NEW TEXT</v>
      </c>
      <c r="C67" s="12"/>
      <c r="D67" s="3">
        <f>0</f>
        <v>0</v>
      </c>
      <c r="E67" s="3"/>
      <c r="F67" s="20"/>
      <c r="G67" s="3"/>
      <c r="H67" s="3">
        <f>-376.85</f>
        <v>-376.85</v>
      </c>
      <c r="I67" s="3"/>
      <c r="J67" s="20"/>
      <c r="K67" s="3"/>
      <c r="L67" s="3">
        <f t="shared" si="4"/>
        <v>376.85</v>
      </c>
      <c r="M67" s="3"/>
      <c r="N67" s="20">
        <f t="shared" si="5"/>
        <v>-1</v>
      </c>
      <c r="O67" s="12"/>
      <c r="P67" s="3">
        <f>0</f>
        <v>0</v>
      </c>
      <c r="Q67" s="3"/>
      <c r="R67" s="20"/>
      <c r="S67" s="3"/>
      <c r="T67" s="3">
        <f>-51638.02</f>
        <v>-51638.02</v>
      </c>
      <c r="U67" s="3"/>
      <c r="V67" s="20"/>
      <c r="W67" s="3"/>
      <c r="X67" s="3">
        <f t="shared" si="6"/>
        <v>51638.02</v>
      </c>
      <c r="Y67" s="3"/>
      <c r="Z67" s="20">
        <f t="shared" si="7"/>
        <v>-1</v>
      </c>
    </row>
    <row r="68" spans="1:26" s="69" customFormat="1" ht="15" hidden="1" customHeight="1" outlineLevel="1" x14ac:dyDescent="0.3">
      <c r="A68" s="42"/>
      <c r="B68" s="12" t="str">
        <f>CONCATENATE("          ","4202"," - ","SALES RETURN TAXABLE-USED TEXT")</f>
        <v xml:space="preserve">          4202 - SALES RETURN TAXABLE-USED TEXT</v>
      </c>
      <c r="C68" s="12"/>
      <c r="D68" s="3">
        <f>0</f>
        <v>0</v>
      </c>
      <c r="E68" s="3"/>
      <c r="F68" s="20"/>
      <c r="G68" s="3"/>
      <c r="H68" s="3">
        <f>-206.95</f>
        <v>-206.95</v>
      </c>
      <c r="I68" s="3"/>
      <c r="J68" s="20"/>
      <c r="K68" s="3"/>
      <c r="L68" s="3">
        <f t="shared" si="4"/>
        <v>206.95</v>
      </c>
      <c r="M68" s="3"/>
      <c r="N68" s="20">
        <f t="shared" si="5"/>
        <v>-1</v>
      </c>
      <c r="O68" s="12"/>
      <c r="P68" s="3">
        <f>0</f>
        <v>0</v>
      </c>
      <c r="Q68" s="3"/>
      <c r="R68" s="20"/>
      <c r="S68" s="3"/>
      <c r="T68" s="3">
        <f>-20096.26</f>
        <v>-20096.259999999998</v>
      </c>
      <c r="U68" s="3"/>
      <c r="V68" s="20"/>
      <c r="W68" s="3"/>
      <c r="X68" s="3">
        <f t="shared" si="6"/>
        <v>20096.259999999998</v>
      </c>
      <c r="Y68" s="3"/>
      <c r="Z68" s="20">
        <f t="shared" si="7"/>
        <v>-1</v>
      </c>
    </row>
    <row r="69" spans="1:26" s="69" customFormat="1" ht="15" hidden="1" customHeight="1" outlineLevel="1" x14ac:dyDescent="0.3">
      <c r="A69" s="42"/>
      <c r="B69" s="12" t="str">
        <f>CONCATENATE("          ","4204"," - ","SALES RETURN TAXABLE-DIGITAL T")</f>
        <v xml:space="preserve">          4204 - SALES RETURN TAXABLE-DIGITAL T</v>
      </c>
      <c r="C69" s="12"/>
      <c r="D69" s="3">
        <f>0</f>
        <v>0</v>
      </c>
      <c r="E69" s="3"/>
      <c r="F69" s="20"/>
      <c r="G69" s="3"/>
      <c r="H69" s="3">
        <f>0</f>
        <v>0</v>
      </c>
      <c r="I69" s="3"/>
      <c r="J69" s="20"/>
      <c r="K69" s="3"/>
      <c r="L69" s="3">
        <f t="shared" si="4"/>
        <v>0</v>
      </c>
      <c r="M69" s="3"/>
      <c r="N69" s="20">
        <f t="shared" si="5"/>
        <v>0</v>
      </c>
      <c r="O69" s="12"/>
      <c r="P69" s="3">
        <f>0</f>
        <v>0</v>
      </c>
      <c r="Q69" s="3"/>
      <c r="R69" s="20"/>
      <c r="S69" s="3"/>
      <c r="T69" s="3">
        <f>-1763.1</f>
        <v>-1763.1</v>
      </c>
      <c r="U69" s="3"/>
      <c r="V69" s="20"/>
      <c r="W69" s="3"/>
      <c r="X69" s="3">
        <f t="shared" si="6"/>
        <v>1763.1</v>
      </c>
      <c r="Y69" s="3"/>
      <c r="Z69" s="20">
        <f t="shared" si="7"/>
        <v>-1</v>
      </c>
    </row>
    <row r="70" spans="1:26" s="69" customFormat="1" ht="15" hidden="1" customHeight="1" outlineLevel="1" x14ac:dyDescent="0.3">
      <c r="A70" s="42"/>
      <c r="B70" s="12" t="str">
        <f>CONCATENATE("          ","4213"," - ","NON-TAXABLE SALES-TRADE BOOKS")</f>
        <v xml:space="preserve">          4213 - NON-TAXABLE SALES-TRADE BOOKS</v>
      </c>
      <c r="C70" s="12"/>
      <c r="D70" s="3">
        <f>0</f>
        <v>0</v>
      </c>
      <c r="E70" s="3"/>
      <c r="F70" s="20"/>
      <c r="G70" s="3"/>
      <c r="H70" s="3">
        <f>0</f>
        <v>0</v>
      </c>
      <c r="I70" s="3"/>
      <c r="J70" s="20"/>
      <c r="K70" s="3"/>
      <c r="L70" s="3">
        <f t="shared" si="4"/>
        <v>0</v>
      </c>
      <c r="M70" s="3"/>
      <c r="N70" s="20">
        <f t="shared" si="5"/>
        <v>0</v>
      </c>
      <c r="O70" s="12"/>
      <c r="P70" s="3">
        <f>0</f>
        <v>0</v>
      </c>
      <c r="Q70" s="3"/>
      <c r="R70" s="20"/>
      <c r="S70" s="3"/>
      <c r="T70" s="3">
        <f>-69.93</f>
        <v>-69.930000000000007</v>
      </c>
      <c r="U70" s="3"/>
      <c r="V70" s="20"/>
      <c r="W70" s="3"/>
      <c r="X70" s="3">
        <f t="shared" si="6"/>
        <v>69.930000000000007</v>
      </c>
      <c r="Y70" s="3"/>
      <c r="Z70" s="20">
        <f t="shared" si="7"/>
        <v>-1</v>
      </c>
    </row>
    <row r="71" spans="1:26" s="69" customFormat="1" ht="15" hidden="1" customHeight="1" outlineLevel="1" x14ac:dyDescent="0.3">
      <c r="A71" s="42"/>
      <c r="B71" s="12" t="str">
        <f>CONCATENATE("          ","4218"," - ","SALES RETURN TAXABLE-STUDY GUI")</f>
        <v xml:space="preserve">          4218 - SALES RETURN TAXABLE-STUDY GUI</v>
      </c>
      <c r="C71" s="12"/>
      <c r="D71" s="3">
        <f>0</f>
        <v>0</v>
      </c>
      <c r="E71" s="3"/>
      <c r="F71" s="20"/>
      <c r="G71" s="3"/>
      <c r="H71" s="3">
        <f>0</f>
        <v>0</v>
      </c>
      <c r="I71" s="3"/>
      <c r="J71" s="20"/>
      <c r="K71" s="3"/>
      <c r="L71" s="3">
        <f t="shared" si="4"/>
        <v>0</v>
      </c>
      <c r="M71" s="3"/>
      <c r="N71" s="20">
        <f t="shared" si="5"/>
        <v>0</v>
      </c>
      <c r="O71" s="12"/>
      <c r="P71" s="3">
        <f>0</f>
        <v>0</v>
      </c>
      <c r="Q71" s="3"/>
      <c r="R71" s="20"/>
      <c r="S71" s="3"/>
      <c r="T71" s="3">
        <f>-5.21</f>
        <v>-5.21</v>
      </c>
      <c r="U71" s="3"/>
      <c r="V71" s="20"/>
      <c r="W71" s="3"/>
      <c r="X71" s="3">
        <f t="shared" si="6"/>
        <v>5.21</v>
      </c>
      <c r="Y71" s="3"/>
      <c r="Z71" s="20">
        <f t="shared" si="7"/>
        <v>-1</v>
      </c>
    </row>
    <row r="72" spans="1:26" s="69" customFormat="1" ht="15" hidden="1" customHeight="1" outlineLevel="1" x14ac:dyDescent="0.3">
      <c r="A72" s="42"/>
      <c r="B72" s="12" t="str">
        <f>CONCATENATE("          ","4226"," - ","SALES RETURN TAXABLE-WRITING I")</f>
        <v xml:space="preserve">          4226 - SALES RETURN TAXABLE-WRITING I</v>
      </c>
      <c r="C72" s="12"/>
      <c r="D72" s="3">
        <f>0</f>
        <v>0</v>
      </c>
      <c r="E72" s="3"/>
      <c r="F72" s="20"/>
      <c r="G72" s="3"/>
      <c r="H72" s="3">
        <f>0</f>
        <v>0</v>
      </c>
      <c r="I72" s="3"/>
      <c r="J72" s="20"/>
      <c r="K72" s="3"/>
      <c r="L72" s="3">
        <f t="shared" si="4"/>
        <v>0</v>
      </c>
      <c r="M72" s="3"/>
      <c r="N72" s="20">
        <f t="shared" si="5"/>
        <v>0</v>
      </c>
      <c r="O72" s="12"/>
      <c r="P72" s="3">
        <f>0</f>
        <v>0</v>
      </c>
      <c r="Q72" s="3"/>
      <c r="R72" s="20"/>
      <c r="S72" s="3"/>
      <c r="T72" s="3">
        <f>-34.23</f>
        <v>-34.229999999999997</v>
      </c>
      <c r="U72" s="3"/>
      <c r="V72" s="20"/>
      <c r="W72" s="3"/>
      <c r="X72" s="3">
        <f t="shared" si="6"/>
        <v>34.229999999999997</v>
      </c>
      <c r="Y72" s="3"/>
      <c r="Z72" s="20">
        <f t="shared" si="7"/>
        <v>-1</v>
      </c>
    </row>
    <row r="73" spans="1:26" s="69" customFormat="1" ht="15" hidden="1" customHeight="1" outlineLevel="1" x14ac:dyDescent="0.3">
      <c r="A73" s="42"/>
      <c r="B73" s="12" t="str">
        <f>CONCATENATE("          ","4227"," - ","SALES RETURN TAXABLE-SCHOOL SU")</f>
        <v xml:space="preserve">          4227 - SALES RETURN TAXABLE-SCHOOL SU</v>
      </c>
      <c r="C73" s="12"/>
      <c r="D73" s="3">
        <f>0</f>
        <v>0</v>
      </c>
      <c r="E73" s="3"/>
      <c r="F73" s="20"/>
      <c r="G73" s="3"/>
      <c r="H73" s="3">
        <f>-500.54</f>
        <v>-500.54</v>
      </c>
      <c r="I73" s="3"/>
      <c r="J73" s="20"/>
      <c r="K73" s="3"/>
      <c r="L73" s="3">
        <f t="shared" si="4"/>
        <v>500.54</v>
      </c>
      <c r="M73" s="3"/>
      <c r="N73" s="20">
        <f t="shared" si="5"/>
        <v>-1</v>
      </c>
      <c r="O73" s="12"/>
      <c r="P73" s="3">
        <f>0</f>
        <v>0</v>
      </c>
      <c r="Q73" s="3"/>
      <c r="R73" s="20"/>
      <c r="S73" s="3"/>
      <c r="T73" s="3">
        <f>-1346.66</f>
        <v>-1346.66</v>
      </c>
      <c r="U73" s="3"/>
      <c r="V73" s="20"/>
      <c r="W73" s="3"/>
      <c r="X73" s="3">
        <f t="shared" si="6"/>
        <v>1346.66</v>
      </c>
      <c r="Y73" s="3"/>
      <c r="Z73" s="20">
        <f t="shared" si="7"/>
        <v>-1</v>
      </c>
    </row>
    <row r="74" spans="1:26" s="69" customFormat="1" ht="15" hidden="1" customHeight="1" outlineLevel="1" x14ac:dyDescent="0.3">
      <c r="A74" s="42"/>
      <c r="B74" s="12" t="str">
        <f>CONCATENATE("          ","4228"," - ","SALES RETURN TAXABLE-ART/TECH")</f>
        <v xml:space="preserve">          4228 - SALES RETURN TAXABLE-ART/TECH</v>
      </c>
      <c r="C74" s="12"/>
      <c r="D74" s="3">
        <f>0</f>
        <v>0</v>
      </c>
      <c r="E74" s="3"/>
      <c r="F74" s="20"/>
      <c r="G74" s="3"/>
      <c r="H74" s="3">
        <f>-136.11</f>
        <v>-136.11000000000001</v>
      </c>
      <c r="I74" s="3"/>
      <c r="J74" s="20"/>
      <c r="K74" s="3"/>
      <c r="L74" s="3">
        <f t="shared" si="4"/>
        <v>136.11000000000001</v>
      </c>
      <c r="M74" s="3"/>
      <c r="N74" s="20">
        <f t="shared" si="5"/>
        <v>-1</v>
      </c>
      <c r="O74" s="12"/>
      <c r="P74" s="3">
        <f>0</f>
        <v>0</v>
      </c>
      <c r="Q74" s="3"/>
      <c r="R74" s="20"/>
      <c r="S74" s="3"/>
      <c r="T74" s="3">
        <f>-12973.73</f>
        <v>-12973.73</v>
      </c>
      <c r="U74" s="3"/>
      <c r="V74" s="20"/>
      <c r="W74" s="3"/>
      <c r="X74" s="3">
        <f t="shared" si="6"/>
        <v>12973.73</v>
      </c>
      <c r="Y74" s="3"/>
      <c r="Z74" s="20">
        <f t="shared" si="7"/>
        <v>-1</v>
      </c>
    </row>
    <row r="75" spans="1:26" s="69" customFormat="1" ht="15" hidden="1" customHeight="1" outlineLevel="1" x14ac:dyDescent="0.3">
      <c r="A75" s="42"/>
      <c r="B75" s="12" t="str">
        <f>CONCATENATE("          ","4240"," - ","SALES RETURN TAXABLE-LOGO CLOT")</f>
        <v xml:space="preserve">          4240 - SALES RETURN TAXABLE-LOGO CLOT</v>
      </c>
      <c r="C75" s="12"/>
      <c r="D75" s="3">
        <f>0</f>
        <v>0</v>
      </c>
      <c r="E75" s="3"/>
      <c r="F75" s="20"/>
      <c r="G75" s="3"/>
      <c r="H75" s="3">
        <f>-5611.92</f>
        <v>-5611.92</v>
      </c>
      <c r="I75" s="3"/>
      <c r="J75" s="20"/>
      <c r="K75" s="3"/>
      <c r="L75" s="3">
        <f t="shared" si="4"/>
        <v>5611.92</v>
      </c>
      <c r="M75" s="3"/>
      <c r="N75" s="20">
        <f t="shared" si="5"/>
        <v>-1</v>
      </c>
      <c r="O75" s="12"/>
      <c r="P75" s="3">
        <f>0</f>
        <v>0</v>
      </c>
      <c r="Q75" s="3"/>
      <c r="R75" s="20"/>
      <c r="S75" s="3"/>
      <c r="T75" s="3">
        <f>-40666.27</f>
        <v>-40666.269999999997</v>
      </c>
      <c r="U75" s="3"/>
      <c r="V75" s="20"/>
      <c r="W75" s="3"/>
      <c r="X75" s="3">
        <f t="shared" si="6"/>
        <v>40666.269999999997</v>
      </c>
      <c r="Y75" s="3"/>
      <c r="Z75" s="20">
        <f t="shared" si="7"/>
        <v>-1</v>
      </c>
    </row>
    <row r="76" spans="1:26" s="69" customFormat="1" ht="15" hidden="1" customHeight="1" outlineLevel="1" x14ac:dyDescent="0.3">
      <c r="A76" s="42"/>
      <c r="B76" s="12" t="str">
        <f>CONCATENATE("          ","4241"," - ","SALES RETURN TAXABLE-LOGO GIFT")</f>
        <v xml:space="preserve">          4241 - SALES RETURN TAXABLE-LOGO GIFT</v>
      </c>
      <c r="C76" s="12"/>
      <c r="D76" s="3">
        <f>0</f>
        <v>0</v>
      </c>
      <c r="E76" s="3"/>
      <c r="F76" s="20"/>
      <c r="G76" s="3"/>
      <c r="H76" s="3">
        <f>-5656.91</f>
        <v>-5656.91</v>
      </c>
      <c r="I76" s="3"/>
      <c r="J76" s="20"/>
      <c r="K76" s="3"/>
      <c r="L76" s="3">
        <f t="shared" ref="L76:L95" si="8">+D76-H76</f>
        <v>5656.91</v>
      </c>
      <c r="M76" s="3"/>
      <c r="N76" s="20">
        <f t="shared" ref="N76:N95" si="9">IF(H76=0,0,L76/H76)</f>
        <v>-1</v>
      </c>
      <c r="O76" s="12"/>
      <c r="P76" s="3">
        <f>0</f>
        <v>0</v>
      </c>
      <c r="Q76" s="3"/>
      <c r="R76" s="20"/>
      <c r="S76" s="3"/>
      <c r="T76" s="3">
        <f>-12175.25</f>
        <v>-12175.25</v>
      </c>
      <c r="U76" s="3"/>
      <c r="V76" s="20"/>
      <c r="W76" s="3"/>
      <c r="X76" s="3">
        <f t="shared" ref="X76:X95" si="10">+P76-T76</f>
        <v>12175.25</v>
      </c>
      <c r="Y76" s="3"/>
      <c r="Z76" s="20">
        <f t="shared" ref="Z76:Z95" si="11">IF(T76=0,0,X76/T76)</f>
        <v>-1</v>
      </c>
    </row>
    <row r="77" spans="1:26" s="69" customFormat="1" ht="15" hidden="1" customHeight="1" outlineLevel="1" x14ac:dyDescent="0.3">
      <c r="A77" s="42"/>
      <c r="B77" s="12" t="str">
        <f>CONCATENATE("          ","4242"," - ","SALES RETURN TAXABLE-EVERYDAY")</f>
        <v xml:space="preserve">          4242 - SALES RETURN TAXABLE-EVERYDAY</v>
      </c>
      <c r="C77" s="12"/>
      <c r="D77" s="3">
        <f>0</f>
        <v>0</v>
      </c>
      <c r="E77" s="3"/>
      <c r="F77" s="20"/>
      <c r="G77" s="3"/>
      <c r="H77" s="3">
        <f>-332.27</f>
        <v>-332.27</v>
      </c>
      <c r="I77" s="3"/>
      <c r="J77" s="20"/>
      <c r="K77" s="3"/>
      <c r="L77" s="3">
        <f t="shared" si="8"/>
        <v>332.27</v>
      </c>
      <c r="M77" s="3"/>
      <c r="N77" s="20">
        <f t="shared" si="9"/>
        <v>-1</v>
      </c>
      <c r="O77" s="12"/>
      <c r="P77" s="3">
        <f>0</f>
        <v>0</v>
      </c>
      <c r="Q77" s="3"/>
      <c r="R77" s="20"/>
      <c r="S77" s="3"/>
      <c r="T77" s="3">
        <f>-2636.09</f>
        <v>-2636.09</v>
      </c>
      <c r="U77" s="3"/>
      <c r="V77" s="20"/>
      <c r="W77" s="3"/>
      <c r="X77" s="3">
        <f t="shared" si="10"/>
        <v>2636.09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","4243"," - ","SALES RETURN TAXABLE-CARDS")</f>
        <v xml:space="preserve">          4243 - SALES RETURN TAXABLE-CARDS</v>
      </c>
      <c r="C78" s="12"/>
      <c r="D78" s="3">
        <f>0</f>
        <v>0</v>
      </c>
      <c r="E78" s="3"/>
      <c r="F78" s="20"/>
      <c r="G78" s="3"/>
      <c r="H78" s="3">
        <f>-199.86</f>
        <v>-199.86</v>
      </c>
      <c r="I78" s="3"/>
      <c r="J78" s="20"/>
      <c r="K78" s="3"/>
      <c r="L78" s="3">
        <f t="shared" si="8"/>
        <v>199.86</v>
      </c>
      <c r="M78" s="3"/>
      <c r="N78" s="20">
        <f t="shared" si="9"/>
        <v>-1</v>
      </c>
      <c r="O78" s="12"/>
      <c r="P78" s="3">
        <f>0</f>
        <v>0</v>
      </c>
      <c r="Q78" s="3"/>
      <c r="R78" s="20"/>
      <c r="S78" s="3"/>
      <c r="T78" s="3">
        <f>-6142.09</f>
        <v>-6142.09</v>
      </c>
      <c r="U78" s="3"/>
      <c r="V78" s="20"/>
      <c r="W78" s="3"/>
      <c r="X78" s="3">
        <f t="shared" si="10"/>
        <v>6142.09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","4244"," - ","SALES RETURN TAXABLE-ACCESSORI")</f>
        <v xml:space="preserve">          4244 - SALES RETURN TAXABLE-ACCESSORI</v>
      </c>
      <c r="C79" s="12"/>
      <c r="D79" s="3">
        <f>0</f>
        <v>0</v>
      </c>
      <c r="E79" s="3"/>
      <c r="F79" s="20"/>
      <c r="G79" s="3"/>
      <c r="H79" s="3">
        <f>-8.24</f>
        <v>-8.24</v>
      </c>
      <c r="I79" s="3"/>
      <c r="J79" s="20"/>
      <c r="K79" s="3"/>
      <c r="L79" s="3">
        <f t="shared" si="8"/>
        <v>8.24</v>
      </c>
      <c r="M79" s="3"/>
      <c r="N79" s="20">
        <f t="shared" si="9"/>
        <v>-1</v>
      </c>
      <c r="O79" s="12"/>
      <c r="P79" s="3">
        <f>0</f>
        <v>0</v>
      </c>
      <c r="Q79" s="3"/>
      <c r="R79" s="20"/>
      <c r="S79" s="3"/>
      <c r="T79" s="3">
        <f>-1243.5</f>
        <v>-1243.5</v>
      </c>
      <c r="U79" s="3"/>
      <c r="V79" s="20"/>
      <c r="W79" s="3"/>
      <c r="X79" s="3">
        <f t="shared" si="10"/>
        <v>1243.5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","4245"," - ","SALES RETURN TAXABLE-SPECIAL O")</f>
        <v xml:space="preserve">          4245 - SALES RETURN TAXABLE-SPECIAL O</v>
      </c>
      <c r="C80" s="12"/>
      <c r="D80" s="3">
        <f>0</f>
        <v>0</v>
      </c>
      <c r="E80" s="3"/>
      <c r="F80" s="20"/>
      <c r="G80" s="3"/>
      <c r="H80" s="3">
        <f>-4071.14</f>
        <v>-4071.14</v>
      </c>
      <c r="I80" s="3"/>
      <c r="J80" s="20"/>
      <c r="K80" s="3"/>
      <c r="L80" s="3">
        <f t="shared" si="8"/>
        <v>4071.14</v>
      </c>
      <c r="M80" s="3"/>
      <c r="N80" s="20">
        <f t="shared" si="9"/>
        <v>-1</v>
      </c>
      <c r="O80" s="12"/>
      <c r="P80" s="3">
        <f>0</f>
        <v>0</v>
      </c>
      <c r="Q80" s="3"/>
      <c r="R80" s="20"/>
      <c r="S80" s="3"/>
      <c r="T80" s="3">
        <f>-15424.73</f>
        <v>-15424.73</v>
      </c>
      <c r="U80" s="3"/>
      <c r="V80" s="20"/>
      <c r="W80" s="3"/>
      <c r="X80" s="3">
        <f t="shared" si="10"/>
        <v>15424.73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","4281"," - ","SALES RETURN TAXABLE-ELECTRONI")</f>
        <v xml:space="preserve">          4281 - SALES RETURN TAXABLE-ELECTRONI</v>
      </c>
      <c r="C81" s="12"/>
      <c r="D81" s="3">
        <f>0</f>
        <v>0</v>
      </c>
      <c r="E81" s="3"/>
      <c r="F81" s="20"/>
      <c r="G81" s="3"/>
      <c r="H81" s="3">
        <f>0</f>
        <v>0</v>
      </c>
      <c r="I81" s="3"/>
      <c r="J81" s="20"/>
      <c r="K81" s="3"/>
      <c r="L81" s="3">
        <f t="shared" si="8"/>
        <v>0</v>
      </c>
      <c r="M81" s="3"/>
      <c r="N81" s="20">
        <f t="shared" si="9"/>
        <v>0</v>
      </c>
      <c r="O81" s="12"/>
      <c r="P81" s="3">
        <f>0</f>
        <v>0</v>
      </c>
      <c r="Q81" s="3"/>
      <c r="R81" s="20"/>
      <c r="S81" s="3"/>
      <c r="T81" s="3">
        <f>-14762.14</f>
        <v>-14762.14</v>
      </c>
      <c r="U81" s="3"/>
      <c r="V81" s="20"/>
      <c r="W81" s="3"/>
      <c r="X81" s="3">
        <f t="shared" si="10"/>
        <v>14762.14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","4282"," - ","SALES RETURN TAXABLE-COMPUTER")</f>
        <v xml:space="preserve">          4282 - SALES RETURN TAXABLE-COMPUTER</v>
      </c>
      <c r="C82" s="12"/>
      <c r="D82" s="3">
        <f>0</f>
        <v>0</v>
      </c>
      <c r="E82" s="3"/>
      <c r="F82" s="20"/>
      <c r="G82" s="3"/>
      <c r="H82" s="3">
        <f>-42380</f>
        <v>-42380</v>
      </c>
      <c r="I82" s="3"/>
      <c r="J82" s="20"/>
      <c r="K82" s="3"/>
      <c r="L82" s="3">
        <f t="shared" si="8"/>
        <v>42380</v>
      </c>
      <c r="M82" s="3"/>
      <c r="N82" s="20">
        <f t="shared" si="9"/>
        <v>-1</v>
      </c>
      <c r="O82" s="12"/>
      <c r="P82" s="3">
        <f>0</f>
        <v>0</v>
      </c>
      <c r="Q82" s="3"/>
      <c r="R82" s="20"/>
      <c r="S82" s="3"/>
      <c r="T82" s="3">
        <f>-215145.16</f>
        <v>-215145.16</v>
      </c>
      <c r="U82" s="3"/>
      <c r="V82" s="20"/>
      <c r="W82" s="3"/>
      <c r="X82" s="3">
        <f t="shared" si="10"/>
        <v>215145.16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","4283"," - ","SALES RETURN TAXABLE-COMPUTER")</f>
        <v xml:space="preserve">          4283 - SALES RETURN TAXABLE-COMPUTER</v>
      </c>
      <c r="C83" s="12"/>
      <c r="D83" s="3">
        <f>0</f>
        <v>0</v>
      </c>
      <c r="E83" s="3"/>
      <c r="F83" s="20"/>
      <c r="G83" s="3"/>
      <c r="H83" s="3">
        <f>-197.95</f>
        <v>-197.95</v>
      </c>
      <c r="I83" s="3"/>
      <c r="J83" s="20"/>
      <c r="K83" s="3"/>
      <c r="L83" s="3">
        <f t="shared" si="8"/>
        <v>197.95</v>
      </c>
      <c r="M83" s="3"/>
      <c r="N83" s="20">
        <f t="shared" si="9"/>
        <v>-1</v>
      </c>
      <c r="O83" s="12"/>
      <c r="P83" s="3">
        <f>0</f>
        <v>0</v>
      </c>
      <c r="Q83" s="3"/>
      <c r="R83" s="20"/>
      <c r="S83" s="3"/>
      <c r="T83" s="3">
        <f>-3947.2</f>
        <v>-3947.2</v>
      </c>
      <c r="U83" s="3"/>
      <c r="V83" s="20"/>
      <c r="W83" s="3"/>
      <c r="X83" s="3">
        <f t="shared" si="10"/>
        <v>3947.2</v>
      </c>
      <c r="Y83" s="3"/>
      <c r="Z83" s="20">
        <f t="shared" si="11"/>
        <v>-1</v>
      </c>
    </row>
    <row r="84" spans="1:26" s="69" customFormat="1" ht="15" hidden="1" customHeight="1" outlineLevel="1" x14ac:dyDescent="0.3">
      <c r="A84" s="42"/>
      <c r="B84" s="12" t="str">
        <f>CONCATENATE("          ","4285"," - ","SALES RETURN TAXABLE-SOFTWARE")</f>
        <v xml:space="preserve">          4285 - SALES RETURN TAXABLE-SOFTWARE</v>
      </c>
      <c r="C84" s="12"/>
      <c r="D84" s="3">
        <f>0</f>
        <v>0</v>
      </c>
      <c r="E84" s="3"/>
      <c r="F84" s="20"/>
      <c r="G84" s="3"/>
      <c r="H84" s="3">
        <f>-99.83</f>
        <v>-99.83</v>
      </c>
      <c r="I84" s="3"/>
      <c r="J84" s="20"/>
      <c r="K84" s="3"/>
      <c r="L84" s="3">
        <f t="shared" si="8"/>
        <v>99.83</v>
      </c>
      <c r="M84" s="3"/>
      <c r="N84" s="20">
        <f t="shared" si="9"/>
        <v>-1</v>
      </c>
      <c r="O84" s="12"/>
      <c r="P84" s="3">
        <f>0</f>
        <v>0</v>
      </c>
      <c r="Q84" s="3"/>
      <c r="R84" s="20"/>
      <c r="S84" s="3"/>
      <c r="T84" s="3">
        <f>-1091.79</f>
        <v>-1091.79</v>
      </c>
      <c r="U84" s="3"/>
      <c r="V84" s="20"/>
      <c r="W84" s="3"/>
      <c r="X84" s="3">
        <f t="shared" si="10"/>
        <v>1091.79</v>
      </c>
      <c r="Y84" s="3"/>
      <c r="Z84" s="20">
        <f t="shared" si="11"/>
        <v>-1</v>
      </c>
    </row>
    <row r="85" spans="1:26" s="69" customFormat="1" ht="15" hidden="1" customHeight="1" outlineLevel="1" x14ac:dyDescent="0.3">
      <c r="A85" s="42"/>
      <c r="B85" s="12" t="str">
        <f>CONCATENATE("          ","4286"," - ","SALES RETURN TAXABLE-COMPUTER")</f>
        <v xml:space="preserve">          4286 - SALES RETURN TAXABLE-COMPUTER</v>
      </c>
      <c r="C85" s="12"/>
      <c r="D85" s="3">
        <f>0</f>
        <v>0</v>
      </c>
      <c r="E85" s="3"/>
      <c r="F85" s="20"/>
      <c r="G85" s="3"/>
      <c r="H85" s="3">
        <f>0</f>
        <v>0</v>
      </c>
      <c r="I85" s="3"/>
      <c r="J85" s="20"/>
      <c r="K85" s="3"/>
      <c r="L85" s="3">
        <f t="shared" si="8"/>
        <v>0</v>
      </c>
      <c r="M85" s="3"/>
      <c r="N85" s="20">
        <f t="shared" si="9"/>
        <v>0</v>
      </c>
      <c r="O85" s="12"/>
      <c r="P85" s="3">
        <f>0</f>
        <v>0</v>
      </c>
      <c r="Q85" s="3"/>
      <c r="R85" s="20"/>
      <c r="S85" s="3"/>
      <c r="T85" s="3">
        <f>-4802.29</f>
        <v>-4802.29</v>
      </c>
      <c r="U85" s="3"/>
      <c r="V85" s="20"/>
      <c r="W85" s="3"/>
      <c r="X85" s="3">
        <f t="shared" si="10"/>
        <v>4802.29</v>
      </c>
      <c r="Y85" s="3"/>
      <c r="Z85" s="20">
        <f t="shared" si="11"/>
        <v>-1</v>
      </c>
    </row>
    <row r="86" spans="1:26" s="69" customFormat="1" ht="15" hidden="1" customHeight="1" outlineLevel="1" x14ac:dyDescent="0.3">
      <c r="A86" s="42"/>
      <c r="B86" s="12" t="str">
        <f>CONCATENATE("          ","4300"," - ","NON-TAX RETURNS")</f>
        <v xml:space="preserve">          4300 - NON-TAX RETURNS</v>
      </c>
      <c r="C86" s="12"/>
      <c r="D86" s="3">
        <f>-9969.65</f>
        <v>-9969.65</v>
      </c>
      <c r="E86" s="3"/>
      <c r="F86" s="20"/>
      <c r="G86" s="3"/>
      <c r="H86" s="3">
        <f>0</f>
        <v>0</v>
      </c>
      <c r="I86" s="3"/>
      <c r="J86" s="20"/>
      <c r="K86" s="3"/>
      <c r="L86" s="3">
        <f t="shared" si="8"/>
        <v>-9969.65</v>
      </c>
      <c r="M86" s="3"/>
      <c r="N86" s="20">
        <f t="shared" si="9"/>
        <v>0</v>
      </c>
      <c r="O86" s="12"/>
      <c r="P86" s="3">
        <f>-42331.37</f>
        <v>-42331.37</v>
      </c>
      <c r="Q86" s="3"/>
      <c r="R86" s="20"/>
      <c r="S86" s="3"/>
      <c r="T86" s="3">
        <f>0</f>
        <v>0</v>
      </c>
      <c r="U86" s="3"/>
      <c r="V86" s="20"/>
      <c r="W86" s="3"/>
      <c r="X86" s="3">
        <f t="shared" si="10"/>
        <v>-42331.37</v>
      </c>
      <c r="Y86" s="3"/>
      <c r="Z86" s="20">
        <f t="shared" si="11"/>
        <v>0</v>
      </c>
    </row>
    <row r="87" spans="1:26" s="69" customFormat="1" ht="15" hidden="1" customHeight="1" outlineLevel="1" x14ac:dyDescent="0.3">
      <c r="A87" s="42"/>
      <c r="B87" s="12" t="str">
        <f>CONCATENATE("          ","4301"," - ","SALES RETURN NON TAXABLE-NEW T")</f>
        <v xml:space="preserve">          4301 - SALES RETURN NON TAXABLE-NEW T</v>
      </c>
      <c r="C87" s="12"/>
      <c r="D87" s="3">
        <f>0</f>
        <v>0</v>
      </c>
      <c r="E87" s="3"/>
      <c r="F87" s="20"/>
      <c r="G87" s="3"/>
      <c r="H87" s="3">
        <f>-225.91</f>
        <v>-225.91</v>
      </c>
      <c r="I87" s="3"/>
      <c r="J87" s="20"/>
      <c r="K87" s="3"/>
      <c r="L87" s="3">
        <f t="shared" si="8"/>
        <v>225.91</v>
      </c>
      <c r="M87" s="3"/>
      <c r="N87" s="20">
        <f t="shared" si="9"/>
        <v>-1</v>
      </c>
      <c r="O87" s="12"/>
      <c r="P87" s="3">
        <f>0</f>
        <v>0</v>
      </c>
      <c r="Q87" s="3"/>
      <c r="R87" s="20"/>
      <c r="S87" s="3"/>
      <c r="T87" s="3">
        <f>-3463.2</f>
        <v>-3463.2</v>
      </c>
      <c r="U87" s="3"/>
      <c r="V87" s="20"/>
      <c r="W87" s="3"/>
      <c r="X87" s="3">
        <f t="shared" si="10"/>
        <v>3463.2</v>
      </c>
      <c r="Y87" s="3"/>
      <c r="Z87" s="20">
        <f t="shared" si="11"/>
        <v>-1</v>
      </c>
    </row>
    <row r="88" spans="1:26" s="69" customFormat="1" ht="15" hidden="1" customHeight="1" outlineLevel="1" x14ac:dyDescent="0.3">
      <c r="A88" s="42"/>
      <c r="B88" s="12" t="str">
        <f>CONCATENATE("          ","4302"," - ","SALES RETURN NON TAXABLE-TEXT")</f>
        <v xml:space="preserve">          4302 - SALES RETURN NON TAXABLE-TEXT</v>
      </c>
      <c r="C88" s="12"/>
      <c r="D88" s="3">
        <f>0</f>
        <v>0</v>
      </c>
      <c r="E88" s="3"/>
      <c r="F88" s="20"/>
      <c r="G88" s="3"/>
      <c r="H88" s="3">
        <f>-98.97</f>
        <v>-98.97</v>
      </c>
      <c r="I88" s="3"/>
      <c r="J88" s="20"/>
      <c r="K88" s="3"/>
      <c r="L88" s="3">
        <f t="shared" si="8"/>
        <v>98.97</v>
      </c>
      <c r="M88" s="3"/>
      <c r="N88" s="20">
        <f t="shared" si="9"/>
        <v>-1</v>
      </c>
      <c r="O88" s="12"/>
      <c r="P88" s="3">
        <f>0</f>
        <v>0</v>
      </c>
      <c r="Q88" s="3"/>
      <c r="R88" s="20"/>
      <c r="S88" s="3"/>
      <c r="T88" s="3">
        <f>-2443.32</f>
        <v>-2443.3200000000002</v>
      </c>
      <c r="U88" s="3"/>
      <c r="V88" s="20"/>
      <c r="W88" s="3"/>
      <c r="X88" s="3">
        <f t="shared" si="10"/>
        <v>2443.3200000000002</v>
      </c>
      <c r="Y88" s="3"/>
      <c r="Z88" s="20">
        <f t="shared" si="11"/>
        <v>-1</v>
      </c>
    </row>
    <row r="89" spans="1:26" s="69" customFormat="1" ht="15" hidden="1" customHeight="1" outlineLevel="1" x14ac:dyDescent="0.3">
      <c r="A89" s="42"/>
      <c r="B89" s="12" t="str">
        <f>CONCATENATE("          ","4304"," - ","SALES RETURN NON TAXABLE-DIGIT")</f>
        <v xml:space="preserve">          4304 - SALES RETURN NON TAXABLE-DIGIT</v>
      </c>
      <c r="C89" s="12"/>
      <c r="D89" s="3">
        <f>0</f>
        <v>0</v>
      </c>
      <c r="E89" s="3"/>
      <c r="F89" s="20"/>
      <c r="G89" s="3"/>
      <c r="H89" s="3">
        <f>0</f>
        <v>0</v>
      </c>
      <c r="I89" s="3"/>
      <c r="J89" s="20"/>
      <c r="K89" s="3"/>
      <c r="L89" s="3">
        <f t="shared" si="8"/>
        <v>0</v>
      </c>
      <c r="M89" s="3"/>
      <c r="N89" s="20">
        <f t="shared" si="9"/>
        <v>0</v>
      </c>
      <c r="O89" s="12"/>
      <c r="P89" s="3">
        <f>0</f>
        <v>0</v>
      </c>
      <c r="Q89" s="3"/>
      <c r="R89" s="20"/>
      <c r="S89" s="3"/>
      <c r="T89" s="3">
        <f>-27543.76</f>
        <v>-27543.759999999998</v>
      </c>
      <c r="U89" s="3"/>
      <c r="V89" s="20"/>
      <c r="W89" s="3"/>
      <c r="X89" s="3">
        <f t="shared" si="10"/>
        <v>27543.759999999998</v>
      </c>
      <c r="Y89" s="3"/>
      <c r="Z89" s="20">
        <f t="shared" si="11"/>
        <v>-1</v>
      </c>
    </row>
    <row r="90" spans="1:26" s="69" customFormat="1" ht="15" hidden="1" customHeight="1" outlineLevel="1" x14ac:dyDescent="0.3">
      <c r="A90" s="42"/>
      <c r="B90" s="12" t="str">
        <f>CONCATENATE("          ","4340"," - ","SALES RETURN NON TAXABLE-LOGO")</f>
        <v xml:space="preserve">          4340 - SALES RETURN NON TAXABLE-LOGO</v>
      </c>
      <c r="C90" s="12"/>
      <c r="D90" s="3">
        <f>0</f>
        <v>0</v>
      </c>
      <c r="E90" s="3"/>
      <c r="F90" s="20"/>
      <c r="G90" s="3"/>
      <c r="H90" s="3">
        <f>-664.13</f>
        <v>-664.13</v>
      </c>
      <c r="I90" s="3"/>
      <c r="J90" s="20"/>
      <c r="K90" s="3"/>
      <c r="L90" s="3">
        <f t="shared" si="8"/>
        <v>664.13</v>
      </c>
      <c r="M90" s="3"/>
      <c r="N90" s="20">
        <f t="shared" si="9"/>
        <v>-1</v>
      </c>
      <c r="O90" s="12"/>
      <c r="P90" s="3">
        <f>0</f>
        <v>0</v>
      </c>
      <c r="Q90" s="3"/>
      <c r="R90" s="20"/>
      <c r="S90" s="3"/>
      <c r="T90" s="3">
        <f>-3307.52</f>
        <v>-3307.52</v>
      </c>
      <c r="U90" s="3"/>
      <c r="V90" s="20"/>
      <c r="W90" s="3"/>
      <c r="X90" s="3">
        <f t="shared" si="10"/>
        <v>3307.52</v>
      </c>
      <c r="Y90" s="3"/>
      <c r="Z90" s="20">
        <f t="shared" si="11"/>
        <v>-1</v>
      </c>
    </row>
    <row r="91" spans="1:26" s="69" customFormat="1" ht="15" hidden="1" customHeight="1" outlineLevel="1" x14ac:dyDescent="0.3">
      <c r="A91" s="42"/>
      <c r="B91" s="12" t="str">
        <f>CONCATENATE("          ","4341"," - ","SALES RETURN NON TAXABLE-LOGO")</f>
        <v xml:space="preserve">          4341 - SALES RETURN NON TAXABLE-LOGO</v>
      </c>
      <c r="C91" s="12"/>
      <c r="D91" s="3">
        <f>0</f>
        <v>0</v>
      </c>
      <c r="E91" s="3"/>
      <c r="F91" s="20"/>
      <c r="G91" s="3"/>
      <c r="H91" s="3">
        <f>-9.9</f>
        <v>-9.9</v>
      </c>
      <c r="I91" s="3"/>
      <c r="J91" s="20"/>
      <c r="K91" s="3"/>
      <c r="L91" s="3">
        <f t="shared" si="8"/>
        <v>9.9</v>
      </c>
      <c r="M91" s="3"/>
      <c r="N91" s="20">
        <f t="shared" si="9"/>
        <v>-1</v>
      </c>
      <c r="O91" s="12"/>
      <c r="P91" s="3">
        <f>0</f>
        <v>0</v>
      </c>
      <c r="Q91" s="3"/>
      <c r="R91" s="20"/>
      <c r="S91" s="3"/>
      <c r="T91" s="3">
        <f>-402.44</f>
        <v>-402.44</v>
      </c>
      <c r="U91" s="3"/>
      <c r="V91" s="20"/>
      <c r="W91" s="3"/>
      <c r="X91" s="3">
        <f t="shared" si="10"/>
        <v>402.44</v>
      </c>
      <c r="Y91" s="3"/>
      <c r="Z91" s="20">
        <f t="shared" si="11"/>
        <v>-1</v>
      </c>
    </row>
    <row r="92" spans="1:26" s="69" customFormat="1" ht="15" hidden="1" customHeight="1" outlineLevel="1" x14ac:dyDescent="0.3">
      <c r="A92" s="42"/>
      <c r="B92" s="12" t="str">
        <f>CONCATENATE("          ","4342"," - ","SALES RETURN NON TAXABLE-EVERY")</f>
        <v xml:space="preserve">          4342 - SALES RETURN NON TAXABLE-EVERY</v>
      </c>
      <c r="C92" s="12"/>
      <c r="D92" s="3">
        <f>0</f>
        <v>0</v>
      </c>
      <c r="E92" s="3"/>
      <c r="F92" s="20"/>
      <c r="G92" s="3"/>
      <c r="H92" s="3">
        <f>0</f>
        <v>0</v>
      </c>
      <c r="I92" s="3"/>
      <c r="J92" s="20"/>
      <c r="K92" s="3"/>
      <c r="L92" s="3">
        <f t="shared" si="8"/>
        <v>0</v>
      </c>
      <c r="M92" s="3"/>
      <c r="N92" s="20">
        <f t="shared" si="9"/>
        <v>0</v>
      </c>
      <c r="O92" s="12"/>
      <c r="P92" s="3">
        <f>0</f>
        <v>0</v>
      </c>
      <c r="Q92" s="3"/>
      <c r="R92" s="20"/>
      <c r="S92" s="3"/>
      <c r="T92" s="3">
        <f>-118.7</f>
        <v>-118.7</v>
      </c>
      <c r="U92" s="3"/>
      <c r="V92" s="20"/>
      <c r="W92" s="3"/>
      <c r="X92" s="3">
        <f t="shared" si="10"/>
        <v>118.7</v>
      </c>
      <c r="Y92" s="3"/>
      <c r="Z92" s="20">
        <f t="shared" si="11"/>
        <v>-1</v>
      </c>
    </row>
    <row r="93" spans="1:26" s="69" customFormat="1" ht="15" hidden="1" customHeight="1" outlineLevel="1" x14ac:dyDescent="0.3">
      <c r="A93" s="42"/>
      <c r="B93" s="12" t="str">
        <f>CONCATENATE("          ","4381"," - ","SALES RETURN NON TAXABLE-ELECT")</f>
        <v xml:space="preserve">          4381 - SALES RETURN NON TAXABLE-ELECT</v>
      </c>
      <c r="C93" s="12"/>
      <c r="D93" s="3">
        <f>0</f>
        <v>0</v>
      </c>
      <c r="E93" s="3"/>
      <c r="F93" s="20"/>
      <c r="G93" s="3"/>
      <c r="H93" s="3">
        <f>0</f>
        <v>0</v>
      </c>
      <c r="I93" s="3"/>
      <c r="J93" s="20"/>
      <c r="K93" s="3"/>
      <c r="L93" s="3">
        <f t="shared" si="8"/>
        <v>0</v>
      </c>
      <c r="M93" s="3"/>
      <c r="N93" s="20">
        <f t="shared" si="9"/>
        <v>0</v>
      </c>
      <c r="O93" s="12"/>
      <c r="P93" s="3">
        <f>0</f>
        <v>0</v>
      </c>
      <c r="Q93" s="3"/>
      <c r="R93" s="20"/>
      <c r="S93" s="3"/>
      <c r="T93" s="3">
        <f>-5624.15</f>
        <v>-5624.15</v>
      </c>
      <c r="U93" s="3"/>
      <c r="V93" s="20"/>
      <c r="W93" s="3"/>
      <c r="X93" s="3">
        <f t="shared" si="10"/>
        <v>5624.15</v>
      </c>
      <c r="Y93" s="3"/>
      <c r="Z93" s="20">
        <f t="shared" si="11"/>
        <v>-1</v>
      </c>
    </row>
    <row r="94" spans="1:26" s="69" customFormat="1" ht="15" hidden="1" customHeight="1" outlineLevel="1" x14ac:dyDescent="0.3">
      <c r="A94" s="42"/>
      <c r="B94" s="12" t="str">
        <f>CONCATENATE("          ","4383"," - ","SALES RETURN NON TAXABLE-COMPU")</f>
        <v xml:space="preserve">          4383 - SALES RETURN NON TAXABLE-COMPU</v>
      </c>
      <c r="C94" s="12"/>
      <c r="D94" s="3">
        <f>0</f>
        <v>0</v>
      </c>
      <c r="E94" s="3"/>
      <c r="F94" s="20"/>
      <c r="G94" s="3"/>
      <c r="H94" s="3">
        <f>-14.99</f>
        <v>-14.99</v>
      </c>
      <c r="I94" s="3"/>
      <c r="J94" s="20"/>
      <c r="K94" s="3"/>
      <c r="L94" s="3">
        <f t="shared" si="8"/>
        <v>14.99</v>
      </c>
      <c r="M94" s="3"/>
      <c r="N94" s="20">
        <f t="shared" si="9"/>
        <v>-1</v>
      </c>
      <c r="O94" s="12"/>
      <c r="P94" s="3">
        <f>0</f>
        <v>0</v>
      </c>
      <c r="Q94" s="3"/>
      <c r="R94" s="20"/>
      <c r="S94" s="3"/>
      <c r="T94" s="3">
        <f>-14.99</f>
        <v>-14.99</v>
      </c>
      <c r="U94" s="3"/>
      <c r="V94" s="20"/>
      <c r="W94" s="3"/>
      <c r="X94" s="3">
        <f t="shared" si="10"/>
        <v>14.99</v>
      </c>
      <c r="Y94" s="3"/>
      <c r="Z94" s="20">
        <f t="shared" si="11"/>
        <v>-1</v>
      </c>
    </row>
    <row r="95" spans="1:26" s="69" customFormat="1" ht="15" hidden="1" customHeight="1" outlineLevel="1" x14ac:dyDescent="0.3">
      <c r="A95" s="42"/>
      <c r="B95" s="12" t="str">
        <f>CONCATENATE("          ","4500"," - ","SALES DISCOUNT")</f>
        <v xml:space="preserve">          4500 - SALES DISCOUNT</v>
      </c>
      <c r="C95" s="12"/>
      <c r="D95" s="3">
        <f>-14838.59</f>
        <v>-14838.59</v>
      </c>
      <c r="E95" s="3"/>
      <c r="F95" s="20"/>
      <c r="G95" s="3"/>
      <c r="H95" s="3">
        <f>0</f>
        <v>0</v>
      </c>
      <c r="I95" s="3"/>
      <c r="J95" s="20"/>
      <c r="K95" s="3"/>
      <c r="L95" s="3">
        <f t="shared" si="8"/>
        <v>-14838.59</v>
      </c>
      <c r="M95" s="3"/>
      <c r="N95" s="20">
        <f t="shared" si="9"/>
        <v>0</v>
      </c>
      <c r="O95" s="12"/>
      <c r="P95" s="3">
        <f>-107904.15</f>
        <v>-107904.15</v>
      </c>
      <c r="Q95" s="3"/>
      <c r="R95" s="20"/>
      <c r="S95" s="3"/>
      <c r="T95" s="3">
        <f>0</f>
        <v>0</v>
      </c>
      <c r="U95" s="3"/>
      <c r="V95" s="20"/>
      <c r="W95" s="3"/>
      <c r="X95" s="3">
        <f t="shared" si="10"/>
        <v>-107904.15</v>
      </c>
      <c r="Y95" s="3"/>
      <c r="Z95" s="20">
        <f t="shared" si="11"/>
        <v>0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collapsed="1" x14ac:dyDescent="0.3">
      <c r="A97" s="11"/>
      <c r="B97" s="27" t="s">
        <v>287</v>
      </c>
      <c r="C97" s="11"/>
      <c r="D97" s="5">
        <f>SUM(OSRRefD16x_0)</f>
        <v>671605.71000000008</v>
      </c>
      <c r="E97" s="5"/>
      <c r="F97" s="13">
        <f t="shared" ref="F97:F128" si="12">IF(D$12=0,0,D97/D$12)</f>
        <v>0.56273079537869575</v>
      </c>
      <c r="G97" s="5"/>
      <c r="H97" s="5">
        <f>SUM(OSRRefH16x_0)</f>
        <v>592594.99</v>
      </c>
      <c r="I97" s="5"/>
      <c r="J97" s="13">
        <f t="shared" ref="J97:J128" si="13">IF(H$12=0,0,H97/H$12)</f>
        <v>0.7040506839988635</v>
      </c>
      <c r="K97" s="5"/>
      <c r="L97" s="5">
        <f t="shared" ref="L97:L128" si="14">+D97-H97</f>
        <v>79010.720000000088</v>
      </c>
      <c r="M97" s="5"/>
      <c r="N97" s="13">
        <f t="shared" ref="N97:N128" si="15">IF(H97=0,0,L97/H97)</f>
        <v>0.13333005059661421</v>
      </c>
      <c r="O97" s="11"/>
      <c r="P97" s="5">
        <f>SUM(OSRRefP16x_0)</f>
        <v>5467913.3799999999</v>
      </c>
      <c r="Q97" s="5"/>
      <c r="R97" s="13">
        <f t="shared" ref="R97:R128" si="16">IF(P$12=0,0,P97/P$12)</f>
        <v>0.62617955694194893</v>
      </c>
      <c r="S97" s="5"/>
      <c r="T97" s="5">
        <f>SUM(OSRRefT16x_0)</f>
        <v>5178092.5900000008</v>
      </c>
      <c r="U97" s="5"/>
      <c r="V97" s="13">
        <f t="shared" ref="V97:V128" si="17">IF(T$12=0,0,T97/T$12)</f>
        <v>0.72670666112788973</v>
      </c>
      <c r="W97" s="5"/>
      <c r="X97" s="5">
        <f t="shared" ref="X97:X128" si="18">+P97-T97</f>
        <v>289820.78999999911</v>
      </c>
      <c r="Y97" s="5"/>
      <c r="Z97" s="13">
        <f t="shared" ref="Z97:Z128" si="19">IF(T97=0,0,X97/T97)</f>
        <v>5.5970569270952154E-2</v>
      </c>
    </row>
    <row r="98" spans="1:26" s="69" customFormat="1" ht="15" hidden="1" customHeight="1" outlineLevel="1" x14ac:dyDescent="0.3">
      <c r="A98" s="42"/>
      <c r="B98" s="12" t="str">
        <f>CONCATENATE("          ","5000"," - ","PURCHASES @ COST")</f>
        <v xml:space="preserve">          5000 - PURCHASES @ COST</v>
      </c>
      <c r="C98" s="12"/>
      <c r="D98" s="3">
        <v>364978.26</v>
      </c>
      <c r="E98" s="3"/>
      <c r="F98" s="20">
        <f t="shared" si="12"/>
        <v>0.30581113812408234</v>
      </c>
      <c r="G98" s="3"/>
      <c r="H98" s="3"/>
      <c r="I98" s="3"/>
      <c r="J98" s="20">
        <f t="shared" si="13"/>
        <v>0</v>
      </c>
      <c r="K98" s="3"/>
      <c r="L98" s="3">
        <f t="shared" si="14"/>
        <v>364978.26</v>
      </c>
      <c r="M98" s="3"/>
      <c r="N98" s="20">
        <f t="shared" si="15"/>
        <v>0</v>
      </c>
      <c r="O98" s="12"/>
      <c r="P98" s="3">
        <v>5442147.29</v>
      </c>
      <c r="Q98" s="3"/>
      <c r="R98" s="20">
        <f t="shared" si="16"/>
        <v>0.62322885203880618</v>
      </c>
      <c r="S98" s="3"/>
      <c r="T98" s="3">
        <v>0</v>
      </c>
      <c r="U98" s="3"/>
      <c r="V98" s="20">
        <f t="shared" si="17"/>
        <v>0</v>
      </c>
      <c r="W98" s="3"/>
      <c r="X98" s="3">
        <f t="shared" si="18"/>
        <v>5442147.29</v>
      </c>
      <c r="Y98" s="3"/>
      <c r="Z98" s="20">
        <f t="shared" si="19"/>
        <v>0</v>
      </c>
    </row>
    <row r="99" spans="1:26" s="69" customFormat="1" ht="15" hidden="1" customHeight="1" outlineLevel="1" x14ac:dyDescent="0.3">
      <c r="A99" s="42"/>
      <c r="B99" s="12" t="str">
        <f>CONCATENATE("          ","5001"," - ","PURCHASES @ COST-NEW TEXT")</f>
        <v xml:space="preserve">          5001 - PURCHASES @ COST-NEW TEXT</v>
      </c>
      <c r="C99" s="12"/>
      <c r="D99" s="3"/>
      <c r="E99" s="3"/>
      <c r="F99" s="20">
        <f t="shared" si="12"/>
        <v>0</v>
      </c>
      <c r="G99" s="3"/>
      <c r="H99" s="3">
        <v>-28969.93</v>
      </c>
      <c r="I99" s="3"/>
      <c r="J99" s="20">
        <f t="shared" si="13"/>
        <v>-3.4418615371519079E-2</v>
      </c>
      <c r="K99" s="3"/>
      <c r="L99" s="3">
        <f t="shared" si="14"/>
        <v>28969.93</v>
      </c>
      <c r="M99" s="3"/>
      <c r="N99" s="20">
        <f t="shared" si="15"/>
        <v>-1</v>
      </c>
      <c r="O99" s="12"/>
      <c r="P99" s="3">
        <v>0</v>
      </c>
      <c r="Q99" s="3"/>
      <c r="R99" s="20">
        <f t="shared" si="16"/>
        <v>0</v>
      </c>
      <c r="S99" s="3"/>
      <c r="T99" s="3">
        <v>1006546.47</v>
      </c>
      <c r="U99" s="3"/>
      <c r="V99" s="20">
        <f t="shared" si="17"/>
        <v>0.14126128719605677</v>
      </c>
      <c r="W99" s="3"/>
      <c r="X99" s="3">
        <f t="shared" si="18"/>
        <v>-1006546.47</v>
      </c>
      <c r="Y99" s="3"/>
      <c r="Z99" s="20">
        <f t="shared" si="19"/>
        <v>-1</v>
      </c>
    </row>
    <row r="100" spans="1:26" s="69" customFormat="1" ht="15" hidden="1" customHeight="1" outlineLevel="1" x14ac:dyDescent="0.3">
      <c r="A100" s="42"/>
      <c r="B100" s="12" t="str">
        <f>CONCATENATE("          ","5002"," - ","PURCHASES @ COST-USED TEXT")</f>
        <v xml:space="preserve">          5002 - PURCHASES @ COST-USED TEXT</v>
      </c>
      <c r="C100" s="12"/>
      <c r="D100" s="3"/>
      <c r="E100" s="3"/>
      <c r="F100" s="20">
        <f t="shared" si="12"/>
        <v>0</v>
      </c>
      <c r="G100" s="3"/>
      <c r="H100" s="3">
        <v>-122091.65</v>
      </c>
      <c r="I100" s="3"/>
      <c r="J100" s="20">
        <f t="shared" si="13"/>
        <v>-0.1450547357699562</v>
      </c>
      <c r="K100" s="3"/>
      <c r="L100" s="3">
        <f t="shared" si="14"/>
        <v>122091.65</v>
      </c>
      <c r="M100" s="3"/>
      <c r="N100" s="20">
        <f t="shared" si="15"/>
        <v>-1</v>
      </c>
      <c r="O100" s="12"/>
      <c r="P100" s="3">
        <v>0</v>
      </c>
      <c r="Q100" s="3"/>
      <c r="R100" s="20">
        <f t="shared" si="16"/>
        <v>0</v>
      </c>
      <c r="S100" s="3"/>
      <c r="T100" s="3">
        <v>274961.02</v>
      </c>
      <c r="U100" s="3"/>
      <c r="V100" s="20">
        <f t="shared" si="17"/>
        <v>3.8588727665937482E-2</v>
      </c>
      <c r="W100" s="3"/>
      <c r="X100" s="3">
        <f t="shared" si="18"/>
        <v>-274961.02</v>
      </c>
      <c r="Y100" s="3"/>
      <c r="Z100" s="20">
        <f t="shared" si="19"/>
        <v>-1</v>
      </c>
    </row>
    <row r="101" spans="1:26" s="69" customFormat="1" ht="15" hidden="1" customHeight="1" outlineLevel="1" x14ac:dyDescent="0.3">
      <c r="A101" s="42"/>
      <c r="B101" s="12" t="str">
        <f>CONCATENATE("          ","5003"," - ","PURCHASES @ COST-RENTAL TEXT")</f>
        <v xml:space="preserve">          5003 - PURCHASES @ COST-RENTAL TEXT</v>
      </c>
      <c r="C101" s="12"/>
      <c r="D101" s="3"/>
      <c r="E101" s="3"/>
      <c r="F101" s="20">
        <f t="shared" si="12"/>
        <v>0</v>
      </c>
      <c r="G101" s="3"/>
      <c r="H101" s="3"/>
      <c r="I101" s="3"/>
      <c r="J101" s="20">
        <f t="shared" si="13"/>
        <v>0</v>
      </c>
      <c r="K101" s="3"/>
      <c r="L101" s="3">
        <f t="shared" si="14"/>
        <v>0</v>
      </c>
      <c r="M101" s="3"/>
      <c r="N101" s="20">
        <f t="shared" si="15"/>
        <v>0</v>
      </c>
      <c r="O101" s="12"/>
      <c r="P101" s="3"/>
      <c r="Q101" s="3"/>
      <c r="R101" s="20">
        <f t="shared" si="16"/>
        <v>0</v>
      </c>
      <c r="S101" s="3"/>
      <c r="T101" s="3">
        <v>32.520000000000003</v>
      </c>
      <c r="U101" s="3"/>
      <c r="V101" s="20">
        <f t="shared" si="17"/>
        <v>4.5639393674648388E-6</v>
      </c>
      <c r="W101" s="3"/>
      <c r="X101" s="3">
        <f t="shared" si="18"/>
        <v>-32.520000000000003</v>
      </c>
      <c r="Y101" s="3"/>
      <c r="Z101" s="20">
        <f t="shared" si="19"/>
        <v>-1</v>
      </c>
    </row>
    <row r="102" spans="1:26" s="69" customFormat="1" ht="15" hidden="1" customHeight="1" outlineLevel="1" x14ac:dyDescent="0.3">
      <c r="A102" s="42"/>
      <c r="B102" s="12" t="str">
        <f>CONCATENATE("          ","5004"," - ","PURCHASES @ COST-DIGITAL TEXT")</f>
        <v xml:space="preserve">          5004 - PURCHASES @ COST-DIGITAL TEXT</v>
      </c>
      <c r="C102" s="12"/>
      <c r="D102" s="3"/>
      <c r="E102" s="3"/>
      <c r="F102" s="20">
        <f t="shared" si="12"/>
        <v>0</v>
      </c>
      <c r="G102" s="3"/>
      <c r="H102" s="3">
        <v>887.88</v>
      </c>
      <c r="I102" s="3"/>
      <c r="J102" s="20">
        <f t="shared" si="13"/>
        <v>1.0548731120877529E-3</v>
      </c>
      <c r="K102" s="3"/>
      <c r="L102" s="3">
        <f t="shared" si="14"/>
        <v>-887.88</v>
      </c>
      <c r="M102" s="3"/>
      <c r="N102" s="20">
        <f t="shared" si="15"/>
        <v>-1</v>
      </c>
      <c r="O102" s="12"/>
      <c r="P102" s="3">
        <v>0</v>
      </c>
      <c r="Q102" s="3"/>
      <c r="R102" s="20">
        <f t="shared" si="16"/>
        <v>0</v>
      </c>
      <c r="S102" s="3"/>
      <c r="T102" s="3">
        <v>207450.38</v>
      </c>
      <c r="U102" s="3"/>
      <c r="V102" s="20">
        <f t="shared" si="17"/>
        <v>2.9114113040514773E-2</v>
      </c>
      <c r="W102" s="3"/>
      <c r="X102" s="3">
        <f t="shared" si="18"/>
        <v>-207450.38</v>
      </c>
      <c r="Y102" s="3"/>
      <c r="Z102" s="20">
        <f t="shared" si="19"/>
        <v>-1</v>
      </c>
    </row>
    <row r="103" spans="1:26" s="69" customFormat="1" ht="15" hidden="1" customHeight="1" outlineLevel="1" x14ac:dyDescent="0.3">
      <c r="A103" s="42"/>
      <c r="B103" s="12" t="str">
        <f>CONCATENATE("          ","5011"," - ","PURCHASES @ COST-NO VALUE TEXT")</f>
        <v xml:space="preserve">          5011 - PURCHASES @ COST-NO VALUE TEXT</v>
      </c>
      <c r="C103" s="12"/>
      <c r="D103" s="3"/>
      <c r="E103" s="3"/>
      <c r="F103" s="20">
        <f t="shared" si="12"/>
        <v>0</v>
      </c>
      <c r="G103" s="3"/>
      <c r="H103" s="3"/>
      <c r="I103" s="3"/>
      <c r="J103" s="20">
        <f t="shared" si="13"/>
        <v>0</v>
      </c>
      <c r="K103" s="3"/>
      <c r="L103" s="3">
        <f t="shared" si="14"/>
        <v>0</v>
      </c>
      <c r="M103" s="3"/>
      <c r="N103" s="20">
        <f t="shared" si="15"/>
        <v>0</v>
      </c>
      <c r="O103" s="12"/>
      <c r="P103" s="3"/>
      <c r="Q103" s="3"/>
      <c r="R103" s="20">
        <f t="shared" si="16"/>
        <v>0</v>
      </c>
      <c r="S103" s="3"/>
      <c r="T103" s="3">
        <v>67.17</v>
      </c>
      <c r="U103" s="3"/>
      <c r="V103" s="20">
        <f t="shared" si="17"/>
        <v>9.4268083429462858E-6</v>
      </c>
      <c r="W103" s="3"/>
      <c r="X103" s="3">
        <f t="shared" si="18"/>
        <v>-67.17</v>
      </c>
      <c r="Y103" s="3"/>
      <c r="Z103" s="20">
        <f t="shared" si="19"/>
        <v>-1</v>
      </c>
    </row>
    <row r="104" spans="1:26" s="69" customFormat="1" ht="15" hidden="1" customHeight="1" outlineLevel="1" x14ac:dyDescent="0.3">
      <c r="A104" s="42"/>
      <c r="B104" s="12" t="str">
        <f>CONCATENATE("          ","5013"," - ","PURCHASES @ COST-TRADE BOOKS")</f>
        <v xml:space="preserve">          5013 - PURCHASES @ COST-TRADE BOOKS</v>
      </c>
      <c r="C104" s="12"/>
      <c r="D104" s="3"/>
      <c r="E104" s="3"/>
      <c r="F104" s="20">
        <f t="shared" si="12"/>
        <v>0</v>
      </c>
      <c r="G104" s="3"/>
      <c r="H104" s="3">
        <v>800</v>
      </c>
      <c r="I104" s="3"/>
      <c r="J104" s="20">
        <f t="shared" si="13"/>
        <v>9.5046457817520664E-4</v>
      </c>
      <c r="K104" s="3"/>
      <c r="L104" s="3">
        <f t="shared" si="14"/>
        <v>-800</v>
      </c>
      <c r="M104" s="3"/>
      <c r="N104" s="20">
        <f t="shared" si="15"/>
        <v>-1</v>
      </c>
      <c r="O104" s="12"/>
      <c r="P104" s="3"/>
      <c r="Q104" s="3"/>
      <c r="R104" s="20">
        <f t="shared" si="16"/>
        <v>0</v>
      </c>
      <c r="S104" s="3"/>
      <c r="T104" s="3">
        <v>9670.02</v>
      </c>
      <c r="U104" s="3"/>
      <c r="V104" s="20">
        <f t="shared" si="17"/>
        <v>1.3571151587383869E-3</v>
      </c>
      <c r="W104" s="3"/>
      <c r="X104" s="3">
        <f t="shared" si="18"/>
        <v>-9670.02</v>
      </c>
      <c r="Y104" s="3"/>
      <c r="Z104" s="20">
        <f t="shared" si="19"/>
        <v>-1</v>
      </c>
    </row>
    <row r="105" spans="1:26" s="69" customFormat="1" ht="15" hidden="1" customHeight="1" outlineLevel="1" x14ac:dyDescent="0.3">
      <c r="A105" s="42"/>
      <c r="B105" s="12" t="str">
        <f>CONCATENATE("          ","5014"," - ","PURCHASES @ COST-REMAINDERS")</f>
        <v xml:space="preserve">          5014 - PURCHASES @ COST-REMAINDERS</v>
      </c>
      <c r="C105" s="12"/>
      <c r="D105" s="3"/>
      <c r="E105" s="3"/>
      <c r="F105" s="20">
        <f t="shared" si="12"/>
        <v>0</v>
      </c>
      <c r="G105" s="3"/>
      <c r="H105" s="3"/>
      <c r="I105" s="3"/>
      <c r="J105" s="20">
        <f t="shared" si="13"/>
        <v>0</v>
      </c>
      <c r="K105" s="3"/>
      <c r="L105" s="3">
        <f t="shared" si="14"/>
        <v>0</v>
      </c>
      <c r="M105" s="3"/>
      <c r="N105" s="20">
        <f t="shared" si="15"/>
        <v>0</v>
      </c>
      <c r="O105" s="12"/>
      <c r="P105" s="3"/>
      <c r="Q105" s="3"/>
      <c r="R105" s="20">
        <f t="shared" si="16"/>
        <v>0</v>
      </c>
      <c r="S105" s="3"/>
      <c r="T105" s="3">
        <v>111.57</v>
      </c>
      <c r="U105" s="3"/>
      <c r="V105" s="20">
        <f t="shared" si="17"/>
        <v>1.5658017073433333E-5</v>
      </c>
      <c r="W105" s="3"/>
      <c r="X105" s="3">
        <f t="shared" si="18"/>
        <v>-111.57</v>
      </c>
      <c r="Y105" s="3"/>
      <c r="Z105" s="20">
        <f t="shared" si="19"/>
        <v>-1</v>
      </c>
    </row>
    <row r="106" spans="1:26" s="69" customFormat="1" ht="15" hidden="1" customHeight="1" outlineLevel="1" x14ac:dyDescent="0.3">
      <c r="A106" s="42"/>
      <c r="B106" s="12" t="str">
        <f>CONCATENATE("          ","5018"," - ","PURCHASES @ COST-STUDY GUIDES")</f>
        <v xml:space="preserve">          5018 - PURCHASES @ COST-STUDY GUIDES</v>
      </c>
      <c r="C106" s="12"/>
      <c r="D106" s="3"/>
      <c r="E106" s="3"/>
      <c r="F106" s="20">
        <f t="shared" si="12"/>
        <v>0</v>
      </c>
      <c r="G106" s="3"/>
      <c r="H106" s="3"/>
      <c r="I106" s="3"/>
      <c r="J106" s="20">
        <f t="shared" si="13"/>
        <v>0</v>
      </c>
      <c r="K106" s="3"/>
      <c r="L106" s="3">
        <f t="shared" si="14"/>
        <v>0</v>
      </c>
      <c r="M106" s="3"/>
      <c r="N106" s="20">
        <f t="shared" si="15"/>
        <v>0</v>
      </c>
      <c r="O106" s="12"/>
      <c r="P106" s="3"/>
      <c r="Q106" s="3"/>
      <c r="R106" s="20">
        <f t="shared" si="16"/>
        <v>0</v>
      </c>
      <c r="S106" s="3"/>
      <c r="T106" s="3">
        <v>967.21</v>
      </c>
      <c r="U106" s="3"/>
      <c r="V106" s="20">
        <f t="shared" si="17"/>
        <v>1.3574070712194547E-4</v>
      </c>
      <c r="W106" s="3"/>
      <c r="X106" s="3">
        <f t="shared" si="18"/>
        <v>-967.21</v>
      </c>
      <c r="Y106" s="3"/>
      <c r="Z106" s="20">
        <f t="shared" si="19"/>
        <v>-1</v>
      </c>
    </row>
    <row r="107" spans="1:26" s="69" customFormat="1" ht="15" hidden="1" customHeight="1" outlineLevel="1" x14ac:dyDescent="0.3">
      <c r="A107" s="42"/>
      <c r="B107" s="12" t="str">
        <f>CONCATENATE("          ","5025"," - ","PURCHASES @ COST-TEST FORMS")</f>
        <v xml:space="preserve">          5025 - PURCHASES @ COST-TEST FORMS</v>
      </c>
      <c r="C107" s="12"/>
      <c r="D107" s="3"/>
      <c r="E107" s="3"/>
      <c r="F107" s="20">
        <f t="shared" si="12"/>
        <v>0</v>
      </c>
      <c r="G107" s="3"/>
      <c r="H107" s="3"/>
      <c r="I107" s="3"/>
      <c r="J107" s="20">
        <f t="shared" si="13"/>
        <v>0</v>
      </c>
      <c r="K107" s="3"/>
      <c r="L107" s="3">
        <f t="shared" si="14"/>
        <v>0</v>
      </c>
      <c r="M107" s="3"/>
      <c r="N107" s="20">
        <f t="shared" si="15"/>
        <v>0</v>
      </c>
      <c r="O107" s="12"/>
      <c r="P107" s="3"/>
      <c r="Q107" s="3"/>
      <c r="R107" s="20">
        <f t="shared" si="16"/>
        <v>0</v>
      </c>
      <c r="S107" s="3"/>
      <c r="T107" s="3">
        <v>599.29</v>
      </c>
      <c r="U107" s="3"/>
      <c r="V107" s="20">
        <f t="shared" si="17"/>
        <v>8.4105880182287917E-5</v>
      </c>
      <c r="W107" s="3"/>
      <c r="X107" s="3">
        <f t="shared" si="18"/>
        <v>-599.29</v>
      </c>
      <c r="Y107" s="3"/>
      <c r="Z107" s="20">
        <f t="shared" si="19"/>
        <v>-1</v>
      </c>
    </row>
    <row r="108" spans="1:26" s="69" customFormat="1" ht="15" hidden="1" customHeight="1" outlineLevel="1" x14ac:dyDescent="0.3">
      <c r="A108" s="42"/>
      <c r="B108" s="12" t="str">
        <f>CONCATENATE("          ","5026"," - ","PURCHASES @ COST-WRITING INSTR")</f>
        <v xml:space="preserve">          5026 - PURCHASES @ COST-WRITING INSTR</v>
      </c>
      <c r="C108" s="12"/>
      <c r="D108" s="3"/>
      <c r="E108" s="3"/>
      <c r="F108" s="20">
        <f t="shared" si="12"/>
        <v>0</v>
      </c>
      <c r="G108" s="3"/>
      <c r="H108" s="3"/>
      <c r="I108" s="3"/>
      <c r="J108" s="20">
        <f t="shared" si="13"/>
        <v>0</v>
      </c>
      <c r="K108" s="3"/>
      <c r="L108" s="3">
        <f t="shared" si="14"/>
        <v>0</v>
      </c>
      <c r="M108" s="3"/>
      <c r="N108" s="20">
        <f t="shared" si="15"/>
        <v>0</v>
      </c>
      <c r="O108" s="12"/>
      <c r="P108" s="3">
        <v>0</v>
      </c>
      <c r="Q108" s="3"/>
      <c r="R108" s="20">
        <f t="shared" si="16"/>
        <v>0</v>
      </c>
      <c r="S108" s="3"/>
      <c r="T108" s="3">
        <v>584.54999999999995</v>
      </c>
      <c r="U108" s="3"/>
      <c r="V108" s="20">
        <f t="shared" si="17"/>
        <v>8.2037231157797399E-5</v>
      </c>
      <c r="W108" s="3"/>
      <c r="X108" s="3">
        <f t="shared" si="18"/>
        <v>-584.54999999999995</v>
      </c>
      <c r="Y108" s="3"/>
      <c r="Z108" s="20">
        <f t="shared" si="19"/>
        <v>-1</v>
      </c>
    </row>
    <row r="109" spans="1:26" s="69" customFormat="1" ht="15" hidden="1" customHeight="1" outlineLevel="1" x14ac:dyDescent="0.3">
      <c r="A109" s="42"/>
      <c r="B109" s="12" t="str">
        <f>CONCATENATE("          ","5027"," - ","PURCHASES @ COST-SCHOOL SUPPLI")</f>
        <v xml:space="preserve">          5027 - PURCHASES @ COST-SCHOOL SUPPLI</v>
      </c>
      <c r="C109" s="12"/>
      <c r="D109" s="3"/>
      <c r="E109" s="3"/>
      <c r="F109" s="20">
        <f t="shared" si="12"/>
        <v>0</v>
      </c>
      <c r="G109" s="3"/>
      <c r="H109" s="3">
        <v>1838.72</v>
      </c>
      <c r="I109" s="3"/>
      <c r="J109" s="20">
        <f t="shared" si="13"/>
        <v>2.1845477864778948E-3</v>
      </c>
      <c r="K109" s="3"/>
      <c r="L109" s="3">
        <f t="shared" si="14"/>
        <v>-1838.72</v>
      </c>
      <c r="M109" s="3"/>
      <c r="N109" s="20">
        <f t="shared" si="15"/>
        <v>-1</v>
      </c>
      <c r="O109" s="12"/>
      <c r="P109" s="3">
        <v>0</v>
      </c>
      <c r="Q109" s="3"/>
      <c r="R109" s="20">
        <f t="shared" si="16"/>
        <v>0</v>
      </c>
      <c r="S109" s="3"/>
      <c r="T109" s="3">
        <v>23734.6</v>
      </c>
      <c r="U109" s="3"/>
      <c r="V109" s="20">
        <f t="shared" si="17"/>
        <v>3.3309740255544574E-3</v>
      </c>
      <c r="W109" s="3"/>
      <c r="X109" s="3">
        <f t="shared" si="18"/>
        <v>-23734.6</v>
      </c>
      <c r="Y109" s="3"/>
      <c r="Z109" s="20">
        <f t="shared" si="19"/>
        <v>-1</v>
      </c>
    </row>
    <row r="110" spans="1:26" s="69" customFormat="1" ht="15" hidden="1" customHeight="1" outlineLevel="1" x14ac:dyDescent="0.3">
      <c r="A110" s="42"/>
      <c r="B110" s="12" t="str">
        <f>CONCATENATE("          ","5028"," - ","PURCHASES @ COST-ART/TECH")</f>
        <v xml:space="preserve">          5028 - PURCHASES @ COST-ART/TECH</v>
      </c>
      <c r="C110" s="12"/>
      <c r="D110" s="3"/>
      <c r="E110" s="3"/>
      <c r="F110" s="20">
        <f t="shared" si="12"/>
        <v>0</v>
      </c>
      <c r="G110" s="3"/>
      <c r="H110" s="3">
        <v>1371.26</v>
      </c>
      <c r="I110" s="3"/>
      <c r="J110" s="20">
        <f t="shared" si="13"/>
        <v>1.6291675718356673E-3</v>
      </c>
      <c r="K110" s="3"/>
      <c r="L110" s="3">
        <f t="shared" si="14"/>
        <v>-1371.26</v>
      </c>
      <c r="M110" s="3"/>
      <c r="N110" s="20">
        <f t="shared" si="15"/>
        <v>-1</v>
      </c>
      <c r="O110" s="12"/>
      <c r="P110" s="3">
        <v>0</v>
      </c>
      <c r="Q110" s="3"/>
      <c r="R110" s="20">
        <f t="shared" si="16"/>
        <v>0</v>
      </c>
      <c r="S110" s="3"/>
      <c r="T110" s="3">
        <v>47006.62</v>
      </c>
      <c r="U110" s="3"/>
      <c r="V110" s="20">
        <f t="shared" si="17"/>
        <v>6.5970283994298906E-3</v>
      </c>
      <c r="W110" s="3"/>
      <c r="X110" s="3">
        <f t="shared" si="18"/>
        <v>-47006.62</v>
      </c>
      <c r="Y110" s="3"/>
      <c r="Z110" s="20">
        <f t="shared" si="19"/>
        <v>-1</v>
      </c>
    </row>
    <row r="111" spans="1:26" s="69" customFormat="1" ht="15" hidden="1" customHeight="1" outlineLevel="1" x14ac:dyDescent="0.3">
      <c r="A111" s="42"/>
      <c r="B111" s="12" t="str">
        <f>CONCATENATE("          ","5031"," - ","PURCHASES @ COST-FOOD")</f>
        <v xml:space="preserve">          5031 - PURCHASES @ COST-FOOD</v>
      </c>
      <c r="C111" s="12"/>
      <c r="D111" s="3"/>
      <c r="E111" s="3"/>
      <c r="F111" s="20">
        <f t="shared" si="12"/>
        <v>0</v>
      </c>
      <c r="G111" s="3"/>
      <c r="H111" s="3"/>
      <c r="I111" s="3"/>
      <c r="J111" s="20">
        <f t="shared" si="13"/>
        <v>0</v>
      </c>
      <c r="K111" s="3"/>
      <c r="L111" s="3">
        <f t="shared" si="14"/>
        <v>0</v>
      </c>
      <c r="M111" s="3"/>
      <c r="N111" s="20">
        <f t="shared" si="15"/>
        <v>0</v>
      </c>
      <c r="O111" s="12"/>
      <c r="P111" s="3">
        <v>0</v>
      </c>
      <c r="Q111" s="3"/>
      <c r="R111" s="20">
        <f t="shared" si="16"/>
        <v>0</v>
      </c>
      <c r="S111" s="3"/>
      <c r="T111" s="3">
        <v>7785.72</v>
      </c>
      <c r="U111" s="3"/>
      <c r="V111" s="20">
        <f t="shared" si="17"/>
        <v>1.0926677125479196E-3</v>
      </c>
      <c r="W111" s="3"/>
      <c r="X111" s="3">
        <f t="shared" si="18"/>
        <v>-7785.72</v>
      </c>
      <c r="Y111" s="3"/>
      <c r="Z111" s="20">
        <f t="shared" si="19"/>
        <v>-1</v>
      </c>
    </row>
    <row r="112" spans="1:26" s="69" customFormat="1" ht="15" hidden="1" customHeight="1" outlineLevel="1" x14ac:dyDescent="0.3">
      <c r="A112" s="42"/>
      <c r="B112" s="12" t="str">
        <f>CONCATENATE("          ","5040"," - ","PURCHASES @ COST-LOGO CLOTHING")</f>
        <v xml:space="preserve">          5040 - PURCHASES @ COST-LOGO CLOTHING</v>
      </c>
      <c r="C112" s="12"/>
      <c r="D112" s="3"/>
      <c r="E112" s="3"/>
      <c r="F112" s="20">
        <f t="shared" si="12"/>
        <v>0</v>
      </c>
      <c r="G112" s="3"/>
      <c r="H112" s="3">
        <v>39218.65</v>
      </c>
      <c r="I112" s="3"/>
      <c r="J112" s="20">
        <f t="shared" si="13"/>
        <v>4.6594922036063836E-2</v>
      </c>
      <c r="K112" s="3"/>
      <c r="L112" s="3">
        <f t="shared" si="14"/>
        <v>-39218.65</v>
      </c>
      <c r="M112" s="3"/>
      <c r="N112" s="20">
        <f t="shared" si="15"/>
        <v>-1</v>
      </c>
      <c r="O112" s="12"/>
      <c r="P112" s="3">
        <v>0</v>
      </c>
      <c r="Q112" s="3"/>
      <c r="R112" s="20">
        <f t="shared" si="16"/>
        <v>0</v>
      </c>
      <c r="S112" s="3"/>
      <c r="T112" s="3">
        <v>279090.25</v>
      </c>
      <c r="U112" s="3"/>
      <c r="V112" s="20">
        <f t="shared" si="17"/>
        <v>3.9168234288148945E-2</v>
      </c>
      <c r="W112" s="3"/>
      <c r="X112" s="3">
        <f t="shared" si="18"/>
        <v>-279090.25</v>
      </c>
      <c r="Y112" s="3"/>
      <c r="Z112" s="20">
        <f t="shared" si="19"/>
        <v>-1</v>
      </c>
    </row>
    <row r="113" spans="1:26" s="69" customFormat="1" ht="15" hidden="1" customHeight="1" outlineLevel="1" x14ac:dyDescent="0.3">
      <c r="A113" s="42"/>
      <c r="B113" s="12" t="str">
        <f>CONCATENATE("          ","5041"," - ","PURCHASES @ COST-LOGO GIFTS")</f>
        <v xml:space="preserve">          5041 - PURCHASES @ COST-LOGO GIFTS</v>
      </c>
      <c r="C113" s="12"/>
      <c r="D113" s="3"/>
      <c r="E113" s="3"/>
      <c r="F113" s="20">
        <f t="shared" si="12"/>
        <v>0</v>
      </c>
      <c r="G113" s="3"/>
      <c r="H113" s="3">
        <v>15798.51</v>
      </c>
      <c r="I113" s="3"/>
      <c r="J113" s="20">
        <f t="shared" si="13"/>
        <v>1.8769905178683478E-2</v>
      </c>
      <c r="K113" s="3"/>
      <c r="L113" s="3">
        <f t="shared" si="14"/>
        <v>-15798.51</v>
      </c>
      <c r="M113" s="3"/>
      <c r="N113" s="20">
        <f t="shared" si="15"/>
        <v>-1</v>
      </c>
      <c r="O113" s="12"/>
      <c r="P113" s="3">
        <v>0</v>
      </c>
      <c r="Q113" s="3"/>
      <c r="R113" s="20">
        <f t="shared" si="16"/>
        <v>0</v>
      </c>
      <c r="S113" s="3"/>
      <c r="T113" s="3">
        <v>84261.95</v>
      </c>
      <c r="U113" s="3"/>
      <c r="V113" s="20">
        <f t="shared" si="17"/>
        <v>1.1825536001978901E-2</v>
      </c>
      <c r="W113" s="3"/>
      <c r="X113" s="3">
        <f t="shared" si="18"/>
        <v>-84261.95</v>
      </c>
      <c r="Y113" s="3"/>
      <c r="Z113" s="20">
        <f t="shared" si="19"/>
        <v>-1</v>
      </c>
    </row>
    <row r="114" spans="1:26" s="69" customFormat="1" ht="15" hidden="1" customHeight="1" outlineLevel="1" x14ac:dyDescent="0.3">
      <c r="A114" s="42"/>
      <c r="B114" s="12" t="str">
        <f>CONCATENATE("          ","5042"," - ","PURCHASES @ COST-EVERYDAY GIFT")</f>
        <v xml:space="preserve">          5042 - PURCHASES @ COST-EVERYDAY GIFT</v>
      </c>
      <c r="C114" s="12"/>
      <c r="D114" s="3"/>
      <c r="E114" s="3"/>
      <c r="F114" s="20">
        <f t="shared" si="12"/>
        <v>0</v>
      </c>
      <c r="G114" s="3"/>
      <c r="H114" s="3"/>
      <c r="I114" s="3"/>
      <c r="J114" s="20">
        <f t="shared" si="13"/>
        <v>0</v>
      </c>
      <c r="K114" s="3"/>
      <c r="L114" s="3">
        <f t="shared" si="14"/>
        <v>0</v>
      </c>
      <c r="M114" s="3"/>
      <c r="N114" s="20">
        <f t="shared" si="15"/>
        <v>0</v>
      </c>
      <c r="O114" s="12"/>
      <c r="P114" s="3">
        <v>0</v>
      </c>
      <c r="Q114" s="3"/>
      <c r="R114" s="20">
        <f t="shared" si="16"/>
        <v>0</v>
      </c>
      <c r="S114" s="3"/>
      <c r="T114" s="3">
        <v>18748.18</v>
      </c>
      <c r="U114" s="3"/>
      <c r="V114" s="20">
        <f t="shared" si="17"/>
        <v>2.6311671823590695E-3</v>
      </c>
      <c r="W114" s="3"/>
      <c r="X114" s="3">
        <f t="shared" si="18"/>
        <v>-18748.18</v>
      </c>
      <c r="Y114" s="3"/>
      <c r="Z114" s="20">
        <f t="shared" si="19"/>
        <v>-1</v>
      </c>
    </row>
    <row r="115" spans="1:26" s="69" customFormat="1" ht="15" hidden="1" customHeight="1" outlineLevel="1" x14ac:dyDescent="0.3">
      <c r="A115" s="42"/>
      <c r="B115" s="12" t="str">
        <f>CONCATENATE("          ","5043"," - ","PURCHASES @ COST-CARDS")</f>
        <v xml:space="preserve">          5043 - PURCHASES @ COST-CARDS</v>
      </c>
      <c r="C115" s="12"/>
      <c r="D115" s="3"/>
      <c r="E115" s="3"/>
      <c r="F115" s="20">
        <f t="shared" si="12"/>
        <v>0</v>
      </c>
      <c r="G115" s="3"/>
      <c r="H115" s="3">
        <v>41</v>
      </c>
      <c r="I115" s="3"/>
      <c r="J115" s="20">
        <f t="shared" si="13"/>
        <v>4.8711309631479339E-5</v>
      </c>
      <c r="K115" s="3"/>
      <c r="L115" s="3">
        <f t="shared" si="14"/>
        <v>-41</v>
      </c>
      <c r="M115" s="3"/>
      <c r="N115" s="20">
        <f t="shared" si="15"/>
        <v>-1</v>
      </c>
      <c r="O115" s="12"/>
      <c r="P115" s="3">
        <v>0</v>
      </c>
      <c r="Q115" s="3"/>
      <c r="R115" s="20">
        <f t="shared" si="16"/>
        <v>0</v>
      </c>
      <c r="S115" s="3"/>
      <c r="T115" s="3">
        <v>55405.33</v>
      </c>
      <c r="U115" s="3"/>
      <c r="V115" s="20">
        <f t="shared" si="17"/>
        <v>7.7757246849440549E-3</v>
      </c>
      <c r="W115" s="3"/>
      <c r="X115" s="3">
        <f t="shared" si="18"/>
        <v>-55405.33</v>
      </c>
      <c r="Y115" s="3"/>
      <c r="Z115" s="20">
        <f t="shared" si="19"/>
        <v>-1</v>
      </c>
    </row>
    <row r="116" spans="1:26" s="69" customFormat="1" ht="15" hidden="1" customHeight="1" outlineLevel="1" x14ac:dyDescent="0.3">
      <c r="A116" s="42"/>
      <c r="B116" s="12" t="str">
        <f>CONCATENATE("          ","5044"," - ","PURCHASES @ COST-ACCESSORIES")</f>
        <v xml:space="preserve">          5044 - PURCHASES @ COST-ACCESSORIES</v>
      </c>
      <c r="C116" s="12"/>
      <c r="D116" s="3"/>
      <c r="E116" s="3"/>
      <c r="F116" s="20">
        <f t="shared" si="12"/>
        <v>0</v>
      </c>
      <c r="G116" s="3"/>
      <c r="H116" s="3">
        <v>1490.88</v>
      </c>
      <c r="I116" s="3"/>
      <c r="J116" s="20">
        <f t="shared" si="13"/>
        <v>1.7712857878873151E-3</v>
      </c>
      <c r="K116" s="3"/>
      <c r="L116" s="3">
        <f t="shared" si="14"/>
        <v>-1490.88</v>
      </c>
      <c r="M116" s="3"/>
      <c r="N116" s="20">
        <f t="shared" si="15"/>
        <v>-1</v>
      </c>
      <c r="O116" s="12"/>
      <c r="P116" s="3">
        <v>0</v>
      </c>
      <c r="Q116" s="3"/>
      <c r="R116" s="20">
        <f t="shared" si="16"/>
        <v>0</v>
      </c>
      <c r="S116" s="3"/>
      <c r="T116" s="3">
        <v>2555.71</v>
      </c>
      <c r="U116" s="3"/>
      <c r="V116" s="20">
        <f t="shared" si="17"/>
        <v>3.586748302836274E-4</v>
      </c>
      <c r="W116" s="3"/>
      <c r="X116" s="3">
        <f t="shared" si="18"/>
        <v>-2555.71</v>
      </c>
      <c r="Y116" s="3"/>
      <c r="Z116" s="20">
        <f t="shared" si="19"/>
        <v>-1</v>
      </c>
    </row>
    <row r="117" spans="1:26" s="69" customFormat="1" ht="15" hidden="1" customHeight="1" outlineLevel="1" x14ac:dyDescent="0.3">
      <c r="A117" s="42"/>
      <c r="B117" s="12" t="str">
        <f>CONCATENATE("          ","5045"," - ","PURCHASES @ COST-SPECIAL ORDER")</f>
        <v xml:space="preserve">          5045 - PURCHASES @ COST-SPECIAL ORDER</v>
      </c>
      <c r="C117" s="12"/>
      <c r="D117" s="3"/>
      <c r="E117" s="3"/>
      <c r="F117" s="20">
        <f t="shared" si="12"/>
        <v>0</v>
      </c>
      <c r="G117" s="3"/>
      <c r="H117" s="3">
        <v>5771.38</v>
      </c>
      <c r="I117" s="3"/>
      <c r="J117" s="20">
        <f t="shared" si="13"/>
        <v>6.8568653214860298E-3</v>
      </c>
      <c r="K117" s="3"/>
      <c r="L117" s="3">
        <f t="shared" si="14"/>
        <v>-5771.38</v>
      </c>
      <c r="M117" s="3"/>
      <c r="N117" s="20">
        <f t="shared" si="15"/>
        <v>-1</v>
      </c>
      <c r="O117" s="12"/>
      <c r="P117" s="3">
        <v>0</v>
      </c>
      <c r="Q117" s="3"/>
      <c r="R117" s="20">
        <f t="shared" si="16"/>
        <v>0</v>
      </c>
      <c r="S117" s="3"/>
      <c r="T117" s="3">
        <v>114998.07</v>
      </c>
      <c r="U117" s="3"/>
      <c r="V117" s="20">
        <f t="shared" si="17"/>
        <v>1.6139121121017137E-2</v>
      </c>
      <c r="W117" s="3"/>
      <c r="X117" s="3">
        <f t="shared" si="18"/>
        <v>-114998.07</v>
      </c>
      <c r="Y117" s="3"/>
      <c r="Z117" s="20">
        <f t="shared" si="19"/>
        <v>-1</v>
      </c>
    </row>
    <row r="118" spans="1:26" s="69" customFormat="1" ht="15" hidden="1" customHeight="1" outlineLevel="1" x14ac:dyDescent="0.3">
      <c r="A118" s="42"/>
      <c r="B118" s="12" t="str">
        <f>CONCATENATE("          ","5081"," - ","PURCHASES @ COST-ELECTRONICS")</f>
        <v xml:space="preserve">          5081 - PURCHASES @ COST-ELECTRONICS</v>
      </c>
      <c r="C118" s="12"/>
      <c r="D118" s="3"/>
      <c r="E118" s="3"/>
      <c r="F118" s="20">
        <f t="shared" si="12"/>
        <v>0</v>
      </c>
      <c r="G118" s="3"/>
      <c r="H118" s="3">
        <v>-19.5</v>
      </c>
      <c r="I118" s="3"/>
      <c r="J118" s="20">
        <f t="shared" si="13"/>
        <v>-2.3167574093020661E-5</v>
      </c>
      <c r="K118" s="3"/>
      <c r="L118" s="3">
        <f t="shared" si="14"/>
        <v>19.5</v>
      </c>
      <c r="M118" s="3"/>
      <c r="N118" s="20">
        <f t="shared" si="15"/>
        <v>-1</v>
      </c>
      <c r="O118" s="12"/>
      <c r="P118" s="3">
        <v>0</v>
      </c>
      <c r="Q118" s="3"/>
      <c r="R118" s="20">
        <f t="shared" si="16"/>
        <v>0</v>
      </c>
      <c r="S118" s="3"/>
      <c r="T118" s="3">
        <v>32448.37</v>
      </c>
      <c r="U118" s="3"/>
      <c r="V118" s="20">
        <f t="shared" si="17"/>
        <v>4.5538866313980641E-3</v>
      </c>
      <c r="W118" s="3"/>
      <c r="X118" s="3">
        <f t="shared" si="18"/>
        <v>-32448.37</v>
      </c>
      <c r="Y118" s="3"/>
      <c r="Z118" s="20">
        <f t="shared" si="19"/>
        <v>-1</v>
      </c>
    </row>
    <row r="119" spans="1:26" s="69" customFormat="1" ht="15" hidden="1" customHeight="1" outlineLevel="1" x14ac:dyDescent="0.3">
      <c r="A119" s="42"/>
      <c r="B119" s="12" t="str">
        <f>CONCATENATE("          ","5082"," - ","PURCHASES @ COST-COMPUTER HARD")</f>
        <v xml:space="preserve">          5082 - PURCHASES @ COST-COMPUTER HARD</v>
      </c>
      <c r="C119" s="12"/>
      <c r="D119" s="3"/>
      <c r="E119" s="3"/>
      <c r="F119" s="20">
        <f t="shared" si="12"/>
        <v>0</v>
      </c>
      <c r="G119" s="3"/>
      <c r="H119" s="3">
        <v>277047.03999999998</v>
      </c>
      <c r="I119" s="3"/>
      <c r="J119" s="20">
        <f t="shared" si="13"/>
        <v>0.32915424751036199</v>
      </c>
      <c r="K119" s="3"/>
      <c r="L119" s="3">
        <f t="shared" si="14"/>
        <v>-277047.03999999998</v>
      </c>
      <c r="M119" s="3"/>
      <c r="N119" s="20">
        <f t="shared" si="15"/>
        <v>-1</v>
      </c>
      <c r="O119" s="12"/>
      <c r="P119" s="3">
        <v>-110193.26</v>
      </c>
      <c r="Q119" s="3"/>
      <c r="R119" s="20">
        <f t="shared" si="16"/>
        <v>-1.2619213570056406E-2</v>
      </c>
      <c r="S119" s="3"/>
      <c r="T119" s="3">
        <v>1673340.8</v>
      </c>
      <c r="U119" s="3"/>
      <c r="V119" s="20">
        <f t="shared" si="17"/>
        <v>0.23484089644234649</v>
      </c>
      <c r="W119" s="3"/>
      <c r="X119" s="3">
        <f t="shared" si="18"/>
        <v>-1783534.06</v>
      </c>
      <c r="Y119" s="3"/>
      <c r="Z119" s="20">
        <f t="shared" si="19"/>
        <v>-1.065852251974015</v>
      </c>
    </row>
    <row r="120" spans="1:26" s="69" customFormat="1" ht="15" hidden="1" customHeight="1" outlineLevel="1" x14ac:dyDescent="0.3">
      <c r="A120" s="42"/>
      <c r="B120" s="12" t="str">
        <f>CONCATENATE("          ","5083"," - ","PURCHASES @ COST-COMPUTER EQUI")</f>
        <v xml:space="preserve">          5083 - PURCHASES @ COST-COMPUTER EQUI</v>
      </c>
      <c r="C120" s="12"/>
      <c r="D120" s="3"/>
      <c r="E120" s="3"/>
      <c r="F120" s="20">
        <f t="shared" si="12"/>
        <v>0</v>
      </c>
      <c r="G120" s="3"/>
      <c r="H120" s="3">
        <v>14312.16</v>
      </c>
      <c r="I120" s="3"/>
      <c r="J120" s="20">
        <f t="shared" si="13"/>
        <v>1.700400139647008E-2</v>
      </c>
      <c r="K120" s="3"/>
      <c r="L120" s="3">
        <f t="shared" si="14"/>
        <v>-14312.16</v>
      </c>
      <c r="M120" s="3"/>
      <c r="N120" s="20">
        <f t="shared" si="15"/>
        <v>-1</v>
      </c>
      <c r="O120" s="12"/>
      <c r="P120" s="3">
        <v>0</v>
      </c>
      <c r="Q120" s="3"/>
      <c r="R120" s="20">
        <f t="shared" si="16"/>
        <v>0</v>
      </c>
      <c r="S120" s="3"/>
      <c r="T120" s="3">
        <v>119515.49</v>
      </c>
      <c r="U120" s="3"/>
      <c r="V120" s="20">
        <f t="shared" si="17"/>
        <v>1.6773107313433282E-2</v>
      </c>
      <c r="W120" s="3"/>
      <c r="X120" s="3">
        <f t="shared" si="18"/>
        <v>-119515.49</v>
      </c>
      <c r="Y120" s="3"/>
      <c r="Z120" s="20">
        <f t="shared" si="19"/>
        <v>-1</v>
      </c>
    </row>
    <row r="121" spans="1:26" s="69" customFormat="1" ht="15" hidden="1" customHeight="1" outlineLevel="1" x14ac:dyDescent="0.3">
      <c r="A121" s="42"/>
      <c r="B121" s="12" t="str">
        <f>CONCATENATE("          ","5085"," - ","PURCHASES @ COST-SOFTWARE")</f>
        <v xml:space="preserve">          5085 - PURCHASES @ COST-SOFTWARE</v>
      </c>
      <c r="C121" s="12"/>
      <c r="D121" s="3"/>
      <c r="E121" s="3"/>
      <c r="F121" s="20">
        <f t="shared" si="12"/>
        <v>0</v>
      </c>
      <c r="G121" s="3"/>
      <c r="H121" s="3">
        <v>4012.17</v>
      </c>
      <c r="I121" s="3"/>
      <c r="J121" s="20">
        <f t="shared" si="13"/>
        <v>4.7667818332715233E-3</v>
      </c>
      <c r="K121" s="3"/>
      <c r="L121" s="3">
        <f t="shared" si="14"/>
        <v>-4012.17</v>
      </c>
      <c r="M121" s="3"/>
      <c r="N121" s="20">
        <f t="shared" si="15"/>
        <v>-1</v>
      </c>
      <c r="O121" s="12"/>
      <c r="P121" s="3">
        <v>0</v>
      </c>
      <c r="Q121" s="3"/>
      <c r="R121" s="20">
        <f t="shared" si="16"/>
        <v>0</v>
      </c>
      <c r="S121" s="3"/>
      <c r="T121" s="3">
        <v>37910.879999999997</v>
      </c>
      <c r="U121" s="3"/>
      <c r="V121" s="20">
        <f t="shared" si="17"/>
        <v>5.3205091539740281E-3</v>
      </c>
      <c r="W121" s="3"/>
      <c r="X121" s="3">
        <f t="shared" si="18"/>
        <v>-37910.879999999997</v>
      </c>
      <c r="Y121" s="3"/>
      <c r="Z121" s="20">
        <f t="shared" si="19"/>
        <v>-1</v>
      </c>
    </row>
    <row r="122" spans="1:26" s="69" customFormat="1" ht="15" hidden="1" customHeight="1" outlineLevel="1" x14ac:dyDescent="0.3">
      <c r="A122" s="42"/>
      <c r="B122" s="12" t="str">
        <f>CONCATENATE("          ","5086"," - ","PURCHASES @ COST-COMPUTER SUPP")</f>
        <v xml:space="preserve">          5086 - PURCHASES @ COST-COMPUTER SUPP</v>
      </c>
      <c r="C122" s="12"/>
      <c r="D122" s="3"/>
      <c r="E122" s="3"/>
      <c r="F122" s="20">
        <f t="shared" si="12"/>
        <v>0</v>
      </c>
      <c r="G122" s="3"/>
      <c r="H122" s="3">
        <v>28.4</v>
      </c>
      <c r="I122" s="3"/>
      <c r="J122" s="20">
        <f t="shared" si="13"/>
        <v>3.3741492525219835E-5</v>
      </c>
      <c r="K122" s="3"/>
      <c r="L122" s="3">
        <f t="shared" si="14"/>
        <v>-28.4</v>
      </c>
      <c r="M122" s="3"/>
      <c r="N122" s="20">
        <f t="shared" si="15"/>
        <v>-1</v>
      </c>
      <c r="O122" s="12"/>
      <c r="P122" s="3">
        <v>0</v>
      </c>
      <c r="Q122" s="3"/>
      <c r="R122" s="20">
        <f t="shared" si="16"/>
        <v>0</v>
      </c>
      <c r="S122" s="3"/>
      <c r="T122" s="3">
        <v>23692.6</v>
      </c>
      <c r="U122" s="3"/>
      <c r="V122" s="20">
        <f t="shared" si="17"/>
        <v>3.3250796389175104E-3</v>
      </c>
      <c r="W122" s="3"/>
      <c r="X122" s="3">
        <f t="shared" si="18"/>
        <v>-23692.6</v>
      </c>
      <c r="Y122" s="3"/>
      <c r="Z122" s="20">
        <f t="shared" si="19"/>
        <v>-1</v>
      </c>
    </row>
    <row r="123" spans="1:26" s="69" customFormat="1" ht="15" hidden="1" customHeight="1" outlineLevel="1" x14ac:dyDescent="0.3">
      <c r="A123" s="42"/>
      <c r="B123" s="12" t="str">
        <f>CONCATENATE("          ","5092"," - ","PURCHASES @ COST-GRAD MERCH")</f>
        <v xml:space="preserve">          5092 - PURCHASES @ COST-GRAD MERCH</v>
      </c>
      <c r="C123" s="12"/>
      <c r="D123" s="3"/>
      <c r="E123" s="3"/>
      <c r="F123" s="20">
        <f t="shared" si="12"/>
        <v>0</v>
      </c>
      <c r="G123" s="3"/>
      <c r="H123" s="3"/>
      <c r="I123" s="3"/>
      <c r="J123" s="20">
        <f t="shared" si="13"/>
        <v>0</v>
      </c>
      <c r="K123" s="3"/>
      <c r="L123" s="3">
        <f t="shared" si="14"/>
        <v>0</v>
      </c>
      <c r="M123" s="3"/>
      <c r="N123" s="20">
        <f t="shared" si="15"/>
        <v>0</v>
      </c>
      <c r="O123" s="12"/>
      <c r="P123" s="3"/>
      <c r="Q123" s="3"/>
      <c r="R123" s="20">
        <f t="shared" si="16"/>
        <v>0</v>
      </c>
      <c r="S123" s="3"/>
      <c r="T123" s="3">
        <v>0</v>
      </c>
      <c r="U123" s="3"/>
      <c r="V123" s="20">
        <f t="shared" si="17"/>
        <v>0</v>
      </c>
      <c r="W123" s="3"/>
      <c r="X123" s="3">
        <f t="shared" si="18"/>
        <v>0</v>
      </c>
      <c r="Y123" s="3"/>
      <c r="Z123" s="20">
        <f t="shared" si="19"/>
        <v>0</v>
      </c>
    </row>
    <row r="124" spans="1:26" s="69" customFormat="1" ht="15" hidden="1" customHeight="1" outlineLevel="1" x14ac:dyDescent="0.3">
      <c r="A124" s="42"/>
      <c r="B124" s="12" t="str">
        <f>CONCATENATE("          ","5200"," - ","PURCHASES OFFSET")</f>
        <v xml:space="preserve">          5200 - PURCHASES OFFSET</v>
      </c>
      <c r="C124" s="12"/>
      <c r="D124" s="3">
        <v>-422991.04</v>
      </c>
      <c r="E124" s="3"/>
      <c r="F124" s="20">
        <f t="shared" si="12"/>
        <v>-0.35441938749636548</v>
      </c>
      <c r="G124" s="3"/>
      <c r="H124" s="3">
        <v>-216816.48</v>
      </c>
      <c r="I124" s="3"/>
      <c r="J124" s="20">
        <f t="shared" si="13"/>
        <v>-0.25759548025579143</v>
      </c>
      <c r="K124" s="3"/>
      <c r="L124" s="3">
        <f t="shared" si="14"/>
        <v>-206174.55999999997</v>
      </c>
      <c r="M124" s="3"/>
      <c r="N124" s="20">
        <f t="shared" si="15"/>
        <v>0.9509173841398032</v>
      </c>
      <c r="O124" s="12"/>
      <c r="P124" s="3">
        <v>-5326326.78</v>
      </c>
      <c r="Q124" s="3"/>
      <c r="R124" s="20">
        <f t="shared" si="16"/>
        <v>-0.60996521185352759</v>
      </c>
      <c r="S124" s="3"/>
      <c r="T124" s="3">
        <v>-3568766.21</v>
      </c>
      <c r="U124" s="3"/>
      <c r="V124" s="20">
        <f t="shared" si="17"/>
        <v>-0.50084971091935082</v>
      </c>
      <c r="W124" s="3"/>
      <c r="X124" s="3">
        <f t="shared" si="18"/>
        <v>-1757560.5700000003</v>
      </c>
      <c r="Y124" s="3"/>
      <c r="Z124" s="20">
        <f t="shared" si="19"/>
        <v>0.49248408737875837</v>
      </c>
    </row>
    <row r="125" spans="1:26" s="69" customFormat="1" ht="15" hidden="1" customHeight="1" outlineLevel="1" x14ac:dyDescent="0.3">
      <c r="A125" s="42"/>
      <c r="B125" s="12" t="str">
        <f>CONCATENATE("          ","5300"," - ","COG$ OFFSET")</f>
        <v xml:space="preserve">          5300 - COG$ OFFSET</v>
      </c>
      <c r="C125" s="12"/>
      <c r="D125" s="3">
        <v>694429.14</v>
      </c>
      <c r="E125" s="3"/>
      <c r="F125" s="20">
        <f t="shared" si="12"/>
        <v>0.58185428811548312</v>
      </c>
      <c r="G125" s="3"/>
      <c r="H125" s="3">
        <v>592301</v>
      </c>
      <c r="I125" s="3"/>
      <c r="J125" s="20">
        <f t="shared" si="13"/>
        <v>0.70370140014719129</v>
      </c>
      <c r="K125" s="3"/>
      <c r="L125" s="3">
        <f t="shared" si="14"/>
        <v>102128.14000000001</v>
      </c>
      <c r="M125" s="3"/>
      <c r="N125" s="20">
        <f t="shared" si="15"/>
        <v>0.17242608065831397</v>
      </c>
      <c r="O125" s="12"/>
      <c r="P125" s="3">
        <v>5278808.82</v>
      </c>
      <c r="Q125" s="3"/>
      <c r="R125" s="20">
        <f t="shared" si="16"/>
        <v>0.60452350620244333</v>
      </c>
      <c r="S125" s="3"/>
      <c r="T125" s="3">
        <v>4630385</v>
      </c>
      <c r="U125" s="3"/>
      <c r="V125" s="20">
        <f t="shared" si="17"/>
        <v>0.64983998733144765</v>
      </c>
      <c r="W125" s="3"/>
      <c r="X125" s="3">
        <f t="shared" si="18"/>
        <v>648423.8200000003</v>
      </c>
      <c r="Y125" s="3"/>
      <c r="Z125" s="20">
        <f t="shared" si="19"/>
        <v>0.14003669673256117</v>
      </c>
    </row>
    <row r="126" spans="1:26" s="69" customFormat="1" ht="15" hidden="1" customHeight="1" outlineLevel="1" x14ac:dyDescent="0.3">
      <c r="A126" s="42"/>
      <c r="B126" s="12" t="str">
        <f>CONCATENATE("          ","5500"," - ","FREIGHT-IN")</f>
        <v xml:space="preserve">          5500 - FREIGHT-IN</v>
      </c>
      <c r="C126" s="12"/>
      <c r="D126" s="3">
        <v>35189.35</v>
      </c>
      <c r="E126" s="3"/>
      <c r="F126" s="20">
        <f t="shared" si="12"/>
        <v>2.9484756635495706E-2</v>
      </c>
      <c r="G126" s="3"/>
      <c r="H126" s="3"/>
      <c r="I126" s="3"/>
      <c r="J126" s="20">
        <f t="shared" si="13"/>
        <v>0</v>
      </c>
      <c r="K126" s="3"/>
      <c r="L126" s="3">
        <f t="shared" si="14"/>
        <v>35189.35</v>
      </c>
      <c r="M126" s="3"/>
      <c r="N126" s="20">
        <f t="shared" si="15"/>
        <v>0</v>
      </c>
      <c r="O126" s="12"/>
      <c r="P126" s="3">
        <v>183477.31</v>
      </c>
      <c r="Q126" s="3"/>
      <c r="R126" s="20">
        <f t="shared" si="16"/>
        <v>2.1011624124283517E-2</v>
      </c>
      <c r="S126" s="3"/>
      <c r="T126" s="3">
        <v>0</v>
      </c>
      <c r="U126" s="3"/>
      <c r="V126" s="20">
        <f t="shared" si="17"/>
        <v>0</v>
      </c>
      <c r="W126" s="3"/>
      <c r="X126" s="3">
        <f t="shared" si="18"/>
        <v>183477.31</v>
      </c>
      <c r="Y126" s="3"/>
      <c r="Z126" s="20">
        <f t="shared" si="19"/>
        <v>0</v>
      </c>
    </row>
    <row r="127" spans="1:26" s="69" customFormat="1" ht="15" hidden="1" customHeight="1" outlineLevel="1" x14ac:dyDescent="0.3">
      <c r="A127" s="42"/>
      <c r="B127" s="12" t="str">
        <f>CONCATENATE("          ","5501"," - ","FREIGHT-IN-NEW TEXT")</f>
        <v xml:space="preserve">          5501 - FREIGHT-IN-NEW TEXT</v>
      </c>
      <c r="C127" s="12"/>
      <c r="D127" s="3"/>
      <c r="E127" s="3"/>
      <c r="F127" s="20">
        <f t="shared" si="12"/>
        <v>0</v>
      </c>
      <c r="G127" s="3"/>
      <c r="H127" s="3">
        <v>271.27</v>
      </c>
      <c r="I127" s="3"/>
      <c r="J127" s="20">
        <f t="shared" si="13"/>
        <v>3.2229065765198537E-4</v>
      </c>
      <c r="K127" s="3"/>
      <c r="L127" s="3">
        <f t="shared" si="14"/>
        <v>-271.27</v>
      </c>
      <c r="M127" s="3"/>
      <c r="N127" s="20">
        <f t="shared" si="15"/>
        <v>-1</v>
      </c>
      <c r="O127" s="12"/>
      <c r="P127" s="3">
        <v>0</v>
      </c>
      <c r="Q127" s="3"/>
      <c r="R127" s="20">
        <f t="shared" si="16"/>
        <v>0</v>
      </c>
      <c r="S127" s="3"/>
      <c r="T127" s="3">
        <v>50313.73</v>
      </c>
      <c r="U127" s="3"/>
      <c r="V127" s="20">
        <f t="shared" si="17"/>
        <v>7.0611566134992833E-3</v>
      </c>
      <c r="W127" s="3"/>
      <c r="X127" s="3">
        <f t="shared" si="18"/>
        <v>-50313.73</v>
      </c>
      <c r="Y127" s="3"/>
      <c r="Z127" s="20">
        <f t="shared" si="19"/>
        <v>-1</v>
      </c>
    </row>
    <row r="128" spans="1:26" s="69" customFormat="1" ht="15" hidden="1" customHeight="1" outlineLevel="1" x14ac:dyDescent="0.3">
      <c r="A128" s="42"/>
      <c r="B128" s="12" t="str">
        <f>CONCATENATE("          ","5502"," - ","FREIGHT-IN-USED TEXT")</f>
        <v xml:space="preserve">          5502 - FREIGHT-IN-USED TEXT</v>
      </c>
      <c r="C128" s="12"/>
      <c r="D128" s="3"/>
      <c r="E128" s="3"/>
      <c r="F128" s="20">
        <f t="shared" si="12"/>
        <v>0</v>
      </c>
      <c r="G128" s="3"/>
      <c r="H128" s="3">
        <v>58.77</v>
      </c>
      <c r="I128" s="3"/>
      <c r="J128" s="20">
        <f t="shared" si="13"/>
        <v>6.982350407419612E-5</v>
      </c>
      <c r="K128" s="3"/>
      <c r="L128" s="3">
        <f t="shared" si="14"/>
        <v>-58.77</v>
      </c>
      <c r="M128" s="3"/>
      <c r="N128" s="20">
        <f t="shared" si="15"/>
        <v>-1</v>
      </c>
      <c r="O128" s="12"/>
      <c r="P128" s="3">
        <v>0</v>
      </c>
      <c r="Q128" s="3"/>
      <c r="R128" s="20">
        <f t="shared" si="16"/>
        <v>0</v>
      </c>
      <c r="S128" s="3"/>
      <c r="T128" s="3">
        <v>17858.900000000001</v>
      </c>
      <c r="U128" s="3"/>
      <c r="V128" s="20">
        <f t="shared" si="17"/>
        <v>2.506363369299441E-3</v>
      </c>
      <c r="W128" s="3"/>
      <c r="X128" s="3">
        <f t="shared" si="18"/>
        <v>-17858.900000000001</v>
      </c>
      <c r="Y128" s="3"/>
      <c r="Z128" s="20">
        <f t="shared" si="19"/>
        <v>-1</v>
      </c>
    </row>
    <row r="129" spans="1:26" s="69" customFormat="1" ht="15" hidden="1" customHeight="1" outlineLevel="1" x14ac:dyDescent="0.3">
      <c r="A129" s="42"/>
      <c r="B129" s="12" t="str">
        <f>CONCATENATE("          ","5504"," - ","FREIGHT-IN-DIGITAL TEXT")</f>
        <v xml:space="preserve">          5504 - FREIGHT-IN-DIGITAL TEXT</v>
      </c>
      <c r="C129" s="12"/>
      <c r="D129" s="3"/>
      <c r="E129" s="3"/>
      <c r="F129" s="20">
        <f t="shared" ref="F129:F147" si="20">IF(D$12=0,0,D129/D$12)</f>
        <v>0</v>
      </c>
      <c r="G129" s="3"/>
      <c r="H129" s="3"/>
      <c r="I129" s="3"/>
      <c r="J129" s="20">
        <f t="shared" ref="J129:J147" si="21">IF(H$12=0,0,H129/H$12)</f>
        <v>0</v>
      </c>
      <c r="K129" s="3"/>
      <c r="L129" s="3">
        <f t="shared" ref="L129:L147" si="22">+D129-H129</f>
        <v>0</v>
      </c>
      <c r="M129" s="3"/>
      <c r="N129" s="20">
        <f t="shared" ref="N129:N147" si="23">IF(H129=0,0,L129/H129)</f>
        <v>0</v>
      </c>
      <c r="O129" s="12"/>
      <c r="P129" s="3"/>
      <c r="Q129" s="3"/>
      <c r="R129" s="20">
        <f t="shared" ref="R129:R147" si="24">IF(P$12=0,0,P129/P$12)</f>
        <v>0</v>
      </c>
      <c r="S129" s="3"/>
      <c r="T129" s="3">
        <v>28.92</v>
      </c>
      <c r="U129" s="3"/>
      <c r="V129" s="20">
        <f t="shared" ref="V129:V147" si="25">IF(T$12=0,0,T129/T$12)</f>
        <v>4.0587062271550786E-6</v>
      </c>
      <c r="W129" s="3"/>
      <c r="X129" s="3">
        <f t="shared" ref="X129:X147" si="26">+P129-T129</f>
        <v>-28.92</v>
      </c>
      <c r="Y129" s="3"/>
      <c r="Z129" s="20">
        <f t="shared" ref="Z129:Z147" si="27">IF(T129=0,0,X129/T129)</f>
        <v>-1</v>
      </c>
    </row>
    <row r="130" spans="1:26" s="69" customFormat="1" ht="15" hidden="1" customHeight="1" outlineLevel="1" x14ac:dyDescent="0.3">
      <c r="A130" s="42"/>
      <c r="B130" s="12" t="str">
        <f>CONCATENATE("          ","5513"," - ","FREIGHT-IN-TRADE BOOKS")</f>
        <v xml:space="preserve">          5513 - FREIGHT-IN-TRADE BOOKS</v>
      </c>
      <c r="C130" s="12"/>
      <c r="D130" s="3"/>
      <c r="E130" s="3"/>
      <c r="F130" s="20">
        <f t="shared" si="20"/>
        <v>0</v>
      </c>
      <c r="G130" s="3"/>
      <c r="H130" s="3"/>
      <c r="I130" s="3"/>
      <c r="J130" s="20">
        <f t="shared" si="21"/>
        <v>0</v>
      </c>
      <c r="K130" s="3"/>
      <c r="L130" s="3">
        <f t="shared" si="22"/>
        <v>0</v>
      </c>
      <c r="M130" s="3"/>
      <c r="N130" s="20">
        <f t="shared" si="23"/>
        <v>0</v>
      </c>
      <c r="O130" s="12"/>
      <c r="P130" s="3"/>
      <c r="Q130" s="3"/>
      <c r="R130" s="20">
        <f t="shared" si="24"/>
        <v>0</v>
      </c>
      <c r="S130" s="3"/>
      <c r="T130" s="3">
        <v>85.28</v>
      </c>
      <c r="U130" s="3"/>
      <c r="V130" s="20">
        <f t="shared" si="25"/>
        <v>1.1968411723782332E-5</v>
      </c>
      <c r="W130" s="3"/>
      <c r="X130" s="3">
        <f t="shared" si="26"/>
        <v>-85.28</v>
      </c>
      <c r="Y130" s="3"/>
      <c r="Z130" s="20">
        <f t="shared" si="27"/>
        <v>-1</v>
      </c>
    </row>
    <row r="131" spans="1:26" s="69" customFormat="1" ht="15" hidden="1" customHeight="1" outlineLevel="1" x14ac:dyDescent="0.3">
      <c r="A131" s="42"/>
      <c r="B131" s="12" t="str">
        <f>CONCATENATE("          ","5518"," - ","FREIGHT-IN-STUDY GUIDES")</f>
        <v xml:space="preserve">          5518 - FREIGHT-IN-STUDY GUIDES</v>
      </c>
      <c r="C131" s="12"/>
      <c r="D131" s="3"/>
      <c r="E131" s="3"/>
      <c r="F131" s="20">
        <f t="shared" si="20"/>
        <v>0</v>
      </c>
      <c r="G131" s="3"/>
      <c r="H131" s="3"/>
      <c r="I131" s="3"/>
      <c r="J131" s="20">
        <f t="shared" si="21"/>
        <v>0</v>
      </c>
      <c r="K131" s="3"/>
      <c r="L131" s="3">
        <f t="shared" si="22"/>
        <v>0</v>
      </c>
      <c r="M131" s="3"/>
      <c r="N131" s="20">
        <f t="shared" si="23"/>
        <v>0</v>
      </c>
      <c r="O131" s="12"/>
      <c r="P131" s="3">
        <v>0</v>
      </c>
      <c r="Q131" s="3"/>
      <c r="R131" s="20">
        <f t="shared" si="24"/>
        <v>0</v>
      </c>
      <c r="S131" s="3"/>
      <c r="T131" s="3"/>
      <c r="U131" s="3"/>
      <c r="V131" s="20">
        <f t="shared" si="25"/>
        <v>0</v>
      </c>
      <c r="W131" s="3"/>
      <c r="X131" s="3">
        <f t="shared" si="26"/>
        <v>0</v>
      </c>
      <c r="Y131" s="3"/>
      <c r="Z131" s="20">
        <f t="shared" si="27"/>
        <v>0</v>
      </c>
    </row>
    <row r="132" spans="1:26" s="69" customFormat="1" ht="15" hidden="1" customHeight="1" outlineLevel="1" x14ac:dyDescent="0.3">
      <c r="A132" s="42"/>
      <c r="B132" s="12" t="str">
        <f>CONCATENATE("          ","5525"," - ","FREIGHT-IN-TEST FORMS")</f>
        <v xml:space="preserve">          5525 - FREIGHT-IN-TEST FORMS</v>
      </c>
      <c r="C132" s="12"/>
      <c r="D132" s="3"/>
      <c r="E132" s="3"/>
      <c r="F132" s="20">
        <f t="shared" si="20"/>
        <v>0</v>
      </c>
      <c r="G132" s="3"/>
      <c r="H132" s="3"/>
      <c r="I132" s="3"/>
      <c r="J132" s="20">
        <f t="shared" si="21"/>
        <v>0</v>
      </c>
      <c r="K132" s="3"/>
      <c r="L132" s="3">
        <f t="shared" si="22"/>
        <v>0</v>
      </c>
      <c r="M132" s="3"/>
      <c r="N132" s="20">
        <f t="shared" si="23"/>
        <v>0</v>
      </c>
      <c r="O132" s="12"/>
      <c r="P132" s="3"/>
      <c r="Q132" s="3"/>
      <c r="R132" s="20">
        <f t="shared" si="24"/>
        <v>0</v>
      </c>
      <c r="S132" s="3"/>
      <c r="T132" s="3">
        <v>48.14</v>
      </c>
      <c r="U132" s="3"/>
      <c r="V132" s="20">
        <f t="shared" si="25"/>
        <v>6.7560898262533007E-6</v>
      </c>
      <c r="W132" s="3"/>
      <c r="X132" s="3">
        <f t="shared" si="26"/>
        <v>-48.14</v>
      </c>
      <c r="Y132" s="3"/>
      <c r="Z132" s="20">
        <f t="shared" si="27"/>
        <v>-1</v>
      </c>
    </row>
    <row r="133" spans="1:26" s="69" customFormat="1" ht="15" hidden="1" customHeight="1" outlineLevel="1" x14ac:dyDescent="0.3">
      <c r="A133" s="42"/>
      <c r="B133" s="12" t="str">
        <f>CONCATENATE("          ","5526"," - ","FREIGHT-IN-WRITING INSTRUMENTS")</f>
        <v xml:space="preserve">          5526 - FREIGHT-IN-WRITING INSTRUMENTS</v>
      </c>
      <c r="C133" s="12"/>
      <c r="D133" s="3"/>
      <c r="E133" s="3"/>
      <c r="F133" s="20">
        <f t="shared" si="20"/>
        <v>0</v>
      </c>
      <c r="G133" s="3"/>
      <c r="H133" s="3"/>
      <c r="I133" s="3"/>
      <c r="J133" s="20">
        <f t="shared" si="21"/>
        <v>0</v>
      </c>
      <c r="K133" s="3"/>
      <c r="L133" s="3">
        <f t="shared" si="22"/>
        <v>0</v>
      </c>
      <c r="M133" s="3"/>
      <c r="N133" s="20">
        <f t="shared" si="23"/>
        <v>0</v>
      </c>
      <c r="O133" s="12"/>
      <c r="P133" s="3"/>
      <c r="Q133" s="3"/>
      <c r="R133" s="20">
        <f t="shared" si="24"/>
        <v>0</v>
      </c>
      <c r="S133" s="3"/>
      <c r="T133" s="3">
        <v>0</v>
      </c>
      <c r="U133" s="3"/>
      <c r="V133" s="20">
        <f t="shared" si="25"/>
        <v>0</v>
      </c>
      <c r="W133" s="3"/>
      <c r="X133" s="3">
        <f t="shared" si="26"/>
        <v>0</v>
      </c>
      <c r="Y133" s="3"/>
      <c r="Z133" s="20">
        <f t="shared" si="27"/>
        <v>0</v>
      </c>
    </row>
    <row r="134" spans="1:26" s="69" customFormat="1" ht="15" hidden="1" customHeight="1" outlineLevel="1" x14ac:dyDescent="0.3">
      <c r="A134" s="42"/>
      <c r="B134" s="12" t="str">
        <f>CONCATENATE("          ","5527"," - ","FREIGHT-IN-SCHOOL SUPPLIES")</f>
        <v xml:space="preserve">          5527 - FREIGHT-IN-SCHOOL SUPPLIES</v>
      </c>
      <c r="C134" s="12"/>
      <c r="D134" s="3"/>
      <c r="E134" s="3"/>
      <c r="F134" s="20">
        <f t="shared" si="20"/>
        <v>0</v>
      </c>
      <c r="G134" s="3"/>
      <c r="H134" s="3"/>
      <c r="I134" s="3"/>
      <c r="J134" s="20">
        <f t="shared" si="21"/>
        <v>0</v>
      </c>
      <c r="K134" s="3"/>
      <c r="L134" s="3">
        <f t="shared" si="22"/>
        <v>0</v>
      </c>
      <c r="M134" s="3"/>
      <c r="N134" s="20">
        <f t="shared" si="23"/>
        <v>0</v>
      </c>
      <c r="O134" s="12"/>
      <c r="P134" s="3">
        <v>0</v>
      </c>
      <c r="Q134" s="3"/>
      <c r="R134" s="20">
        <f t="shared" si="24"/>
        <v>0</v>
      </c>
      <c r="S134" s="3"/>
      <c r="T134" s="3">
        <v>218.62</v>
      </c>
      <c r="U134" s="3"/>
      <c r="V134" s="20">
        <f t="shared" si="25"/>
        <v>3.068168587069997E-5</v>
      </c>
      <c r="W134" s="3"/>
      <c r="X134" s="3">
        <f t="shared" si="26"/>
        <v>-218.62</v>
      </c>
      <c r="Y134" s="3"/>
      <c r="Z134" s="20">
        <f t="shared" si="27"/>
        <v>-1</v>
      </c>
    </row>
    <row r="135" spans="1:26" s="69" customFormat="1" ht="15" hidden="1" customHeight="1" outlineLevel="1" x14ac:dyDescent="0.3">
      <c r="A135" s="42"/>
      <c r="B135" s="12" t="str">
        <f>CONCATENATE("          ","5528"," - ","FREIGHT-IN-ART/TECH")</f>
        <v xml:space="preserve">          5528 - FREIGHT-IN-ART/TECH</v>
      </c>
      <c r="C135" s="12"/>
      <c r="D135" s="3"/>
      <c r="E135" s="3"/>
      <c r="F135" s="20">
        <f t="shared" si="20"/>
        <v>0</v>
      </c>
      <c r="G135" s="3"/>
      <c r="H135" s="3">
        <v>89.22</v>
      </c>
      <c r="I135" s="3"/>
      <c r="J135" s="20">
        <f t="shared" si="21"/>
        <v>1.0600056208098991E-4</v>
      </c>
      <c r="K135" s="3"/>
      <c r="L135" s="3">
        <f t="shared" si="22"/>
        <v>-89.22</v>
      </c>
      <c r="M135" s="3"/>
      <c r="N135" s="20">
        <f t="shared" si="23"/>
        <v>-1</v>
      </c>
      <c r="O135" s="12"/>
      <c r="P135" s="3">
        <v>0</v>
      </c>
      <c r="Q135" s="3"/>
      <c r="R135" s="20">
        <f t="shared" si="24"/>
        <v>0</v>
      </c>
      <c r="S135" s="3"/>
      <c r="T135" s="3">
        <v>544.42999999999995</v>
      </c>
      <c r="U135" s="3"/>
      <c r="V135" s="20">
        <f t="shared" si="25"/>
        <v>7.6406688494123055E-5</v>
      </c>
      <c r="W135" s="3"/>
      <c r="X135" s="3">
        <f t="shared" si="26"/>
        <v>-544.42999999999995</v>
      </c>
      <c r="Y135" s="3"/>
      <c r="Z135" s="20">
        <f t="shared" si="27"/>
        <v>-1</v>
      </c>
    </row>
    <row r="136" spans="1:26" s="69" customFormat="1" ht="15" hidden="1" customHeight="1" outlineLevel="1" x14ac:dyDescent="0.3">
      <c r="A136" s="42"/>
      <c r="B136" s="12" t="str">
        <f>CONCATENATE("          ","5540"," - ","FREIGHT-IN-LOGO CLOTHING")</f>
        <v xml:space="preserve">          5540 - FREIGHT-IN-LOGO CLOTHING</v>
      </c>
      <c r="C136" s="12"/>
      <c r="D136" s="3"/>
      <c r="E136" s="3"/>
      <c r="F136" s="20">
        <f t="shared" si="20"/>
        <v>0</v>
      </c>
      <c r="G136" s="3"/>
      <c r="H136" s="3">
        <v>2107.65</v>
      </c>
      <c r="I136" s="3"/>
      <c r="J136" s="20">
        <f t="shared" si="21"/>
        <v>2.5040583352387178E-3</v>
      </c>
      <c r="K136" s="3"/>
      <c r="L136" s="3">
        <f t="shared" si="22"/>
        <v>-2107.65</v>
      </c>
      <c r="M136" s="3"/>
      <c r="N136" s="20">
        <f t="shared" si="23"/>
        <v>-1</v>
      </c>
      <c r="O136" s="12"/>
      <c r="P136" s="3">
        <v>0</v>
      </c>
      <c r="Q136" s="3"/>
      <c r="R136" s="20">
        <f t="shared" si="24"/>
        <v>0</v>
      </c>
      <c r="S136" s="3"/>
      <c r="T136" s="3">
        <v>9216.02</v>
      </c>
      <c r="U136" s="3"/>
      <c r="V136" s="20">
        <f t="shared" si="25"/>
        <v>1.2933996460437671E-3</v>
      </c>
      <c r="W136" s="3"/>
      <c r="X136" s="3">
        <f t="shared" si="26"/>
        <v>-9216.02</v>
      </c>
      <c r="Y136" s="3"/>
      <c r="Z136" s="20">
        <f t="shared" si="27"/>
        <v>-1</v>
      </c>
    </row>
    <row r="137" spans="1:26" s="69" customFormat="1" ht="15" hidden="1" customHeight="1" outlineLevel="1" x14ac:dyDescent="0.3">
      <c r="A137" s="42"/>
      <c r="B137" s="12" t="str">
        <f>CONCATENATE("          ","5541"," - ","FREIGHT-IN-LOGO GIFTS")</f>
        <v xml:space="preserve">          5541 - FREIGHT-IN-LOGO GIFTS</v>
      </c>
      <c r="C137" s="12"/>
      <c r="D137" s="3"/>
      <c r="E137" s="3"/>
      <c r="F137" s="20">
        <f t="shared" si="20"/>
        <v>0</v>
      </c>
      <c r="G137" s="3"/>
      <c r="H137" s="3">
        <v>2877.99</v>
      </c>
      <c r="I137" s="3"/>
      <c r="J137" s="20">
        <f t="shared" si="21"/>
        <v>3.4192844391780783E-3</v>
      </c>
      <c r="K137" s="3"/>
      <c r="L137" s="3">
        <f t="shared" si="22"/>
        <v>-2877.99</v>
      </c>
      <c r="M137" s="3"/>
      <c r="N137" s="20">
        <f t="shared" si="23"/>
        <v>-1</v>
      </c>
      <c r="O137" s="12"/>
      <c r="P137" s="3">
        <v>0</v>
      </c>
      <c r="Q137" s="3"/>
      <c r="R137" s="20">
        <f t="shared" si="24"/>
        <v>0</v>
      </c>
      <c r="S137" s="3"/>
      <c r="T137" s="3">
        <v>5015.99</v>
      </c>
      <c r="U137" s="3"/>
      <c r="V137" s="20">
        <f t="shared" si="25"/>
        <v>7.0395677207287682E-4</v>
      </c>
      <c r="W137" s="3"/>
      <c r="X137" s="3">
        <f t="shared" si="26"/>
        <v>-5015.99</v>
      </c>
      <c r="Y137" s="3"/>
      <c r="Z137" s="20">
        <f t="shared" si="27"/>
        <v>-1</v>
      </c>
    </row>
    <row r="138" spans="1:26" s="69" customFormat="1" ht="15" hidden="1" customHeight="1" outlineLevel="1" x14ac:dyDescent="0.3">
      <c r="A138" s="42"/>
      <c r="B138" s="12" t="str">
        <f>CONCATENATE("          ","5542"," - ","FREIGHT-IN-EVERYDAY GIFTS")</f>
        <v xml:space="preserve">          5542 - FREIGHT-IN-EVERYDAY GIFTS</v>
      </c>
      <c r="C138" s="12"/>
      <c r="D138" s="3"/>
      <c r="E138" s="3"/>
      <c r="F138" s="20">
        <f t="shared" si="20"/>
        <v>0</v>
      </c>
      <c r="G138" s="3"/>
      <c r="H138" s="3"/>
      <c r="I138" s="3"/>
      <c r="J138" s="20">
        <f t="shared" si="21"/>
        <v>0</v>
      </c>
      <c r="K138" s="3"/>
      <c r="L138" s="3">
        <f t="shared" si="22"/>
        <v>0</v>
      </c>
      <c r="M138" s="3"/>
      <c r="N138" s="20">
        <f t="shared" si="23"/>
        <v>0</v>
      </c>
      <c r="O138" s="12"/>
      <c r="P138" s="3">
        <v>0</v>
      </c>
      <c r="Q138" s="3"/>
      <c r="R138" s="20">
        <f t="shared" si="24"/>
        <v>0</v>
      </c>
      <c r="S138" s="3"/>
      <c r="T138" s="3">
        <v>681.72</v>
      </c>
      <c r="U138" s="3"/>
      <c r="V138" s="20">
        <f t="shared" si="25"/>
        <v>9.5674315669991698E-5</v>
      </c>
      <c r="W138" s="3"/>
      <c r="X138" s="3">
        <f t="shared" si="26"/>
        <v>-681.72</v>
      </c>
      <c r="Y138" s="3"/>
      <c r="Z138" s="20">
        <f t="shared" si="27"/>
        <v>-1</v>
      </c>
    </row>
    <row r="139" spans="1:26" s="69" customFormat="1" ht="15" hidden="1" customHeight="1" outlineLevel="1" x14ac:dyDescent="0.3">
      <c r="A139" s="42"/>
      <c r="B139" s="12" t="str">
        <f>CONCATENATE("          ","5543"," - ","FREIGHT-IN-CARDS")</f>
        <v xml:space="preserve">          5543 - FREIGHT-IN-CARDS</v>
      </c>
      <c r="C139" s="12"/>
      <c r="D139" s="3"/>
      <c r="E139" s="3"/>
      <c r="F139" s="20">
        <f t="shared" si="20"/>
        <v>0</v>
      </c>
      <c r="G139" s="3"/>
      <c r="H139" s="3"/>
      <c r="I139" s="3"/>
      <c r="J139" s="20">
        <f t="shared" si="21"/>
        <v>0</v>
      </c>
      <c r="K139" s="3"/>
      <c r="L139" s="3">
        <f t="shared" si="22"/>
        <v>0</v>
      </c>
      <c r="M139" s="3"/>
      <c r="N139" s="20">
        <f t="shared" si="23"/>
        <v>0</v>
      </c>
      <c r="O139" s="12"/>
      <c r="P139" s="3"/>
      <c r="Q139" s="3"/>
      <c r="R139" s="20">
        <f t="shared" si="24"/>
        <v>0</v>
      </c>
      <c r="S139" s="3"/>
      <c r="T139" s="3">
        <v>9110.5300000000007</v>
      </c>
      <c r="U139" s="3"/>
      <c r="V139" s="20">
        <f t="shared" si="25"/>
        <v>1.2785949116073014E-3</v>
      </c>
      <c r="W139" s="3"/>
      <c r="X139" s="3">
        <f t="shared" si="26"/>
        <v>-9110.5300000000007</v>
      </c>
      <c r="Y139" s="3"/>
      <c r="Z139" s="20">
        <f t="shared" si="27"/>
        <v>-1</v>
      </c>
    </row>
    <row r="140" spans="1:26" s="69" customFormat="1" ht="15" hidden="1" customHeight="1" outlineLevel="1" x14ac:dyDescent="0.3">
      <c r="A140" s="42"/>
      <c r="B140" s="12" t="str">
        <f>CONCATENATE("          ","5544"," - ","FREIGHT-IN-ACCESSORIES")</f>
        <v xml:space="preserve">          5544 - FREIGHT-IN-ACCESSORIES</v>
      </c>
      <c r="C140" s="12"/>
      <c r="D140" s="3"/>
      <c r="E140" s="3"/>
      <c r="F140" s="20">
        <f t="shared" si="20"/>
        <v>0</v>
      </c>
      <c r="G140" s="3"/>
      <c r="H140" s="3"/>
      <c r="I140" s="3"/>
      <c r="J140" s="20">
        <f t="shared" si="21"/>
        <v>0</v>
      </c>
      <c r="K140" s="3"/>
      <c r="L140" s="3">
        <f t="shared" si="22"/>
        <v>0</v>
      </c>
      <c r="M140" s="3"/>
      <c r="N140" s="20">
        <f t="shared" si="23"/>
        <v>0</v>
      </c>
      <c r="O140" s="12"/>
      <c r="P140" s="3">
        <v>0</v>
      </c>
      <c r="Q140" s="3"/>
      <c r="R140" s="20">
        <f t="shared" si="24"/>
        <v>0</v>
      </c>
      <c r="S140" s="3"/>
      <c r="T140" s="3"/>
      <c r="U140" s="3"/>
      <c r="V140" s="20">
        <f t="shared" si="25"/>
        <v>0</v>
      </c>
      <c r="W140" s="3"/>
      <c r="X140" s="3">
        <f t="shared" si="26"/>
        <v>0</v>
      </c>
      <c r="Y140" s="3"/>
      <c r="Z140" s="20">
        <f t="shared" si="27"/>
        <v>0</v>
      </c>
    </row>
    <row r="141" spans="1:26" s="69" customFormat="1" ht="15" hidden="1" customHeight="1" outlineLevel="1" x14ac:dyDescent="0.3">
      <c r="A141" s="42"/>
      <c r="B141" s="12" t="str">
        <f>CONCATENATE("          ","5545"," - ","FREIGHT-IN-SPECIAL ORDERS")</f>
        <v xml:space="preserve">          5545 - FREIGHT-IN-SPECIAL ORDERS</v>
      </c>
      <c r="C141" s="12"/>
      <c r="D141" s="3"/>
      <c r="E141" s="3"/>
      <c r="F141" s="20">
        <f t="shared" si="20"/>
        <v>0</v>
      </c>
      <c r="G141" s="3"/>
      <c r="H141" s="3">
        <v>168.6</v>
      </c>
      <c r="I141" s="3"/>
      <c r="J141" s="20">
        <f t="shared" si="21"/>
        <v>2.003104098504248E-4</v>
      </c>
      <c r="K141" s="3"/>
      <c r="L141" s="3">
        <f t="shared" si="22"/>
        <v>-168.6</v>
      </c>
      <c r="M141" s="3"/>
      <c r="N141" s="20">
        <f t="shared" si="23"/>
        <v>-1</v>
      </c>
      <c r="O141" s="12"/>
      <c r="P141" s="3">
        <v>0</v>
      </c>
      <c r="Q141" s="3"/>
      <c r="R141" s="20">
        <f t="shared" si="24"/>
        <v>0</v>
      </c>
      <c r="S141" s="3"/>
      <c r="T141" s="3">
        <v>1434.76</v>
      </c>
      <c r="U141" s="3"/>
      <c r="V141" s="20">
        <f t="shared" si="25"/>
        <v>2.0135786121967564E-4</v>
      </c>
      <c r="W141" s="3"/>
      <c r="X141" s="3">
        <f t="shared" si="26"/>
        <v>-1434.76</v>
      </c>
      <c r="Y141" s="3"/>
      <c r="Z141" s="20">
        <f t="shared" si="27"/>
        <v>-1</v>
      </c>
    </row>
    <row r="142" spans="1:26" s="69" customFormat="1" ht="15" hidden="1" customHeight="1" outlineLevel="1" x14ac:dyDescent="0.3">
      <c r="A142" s="42"/>
      <c r="B142" s="12" t="str">
        <f>CONCATENATE("          ","5581"," - ","FREIGHT-IN-ELECTRONICS")</f>
        <v xml:space="preserve">          5581 - FREIGHT-IN-ELECTRONICS</v>
      </c>
      <c r="C142" s="12"/>
      <c r="D142" s="3"/>
      <c r="E142" s="3"/>
      <c r="F142" s="20">
        <f t="shared" si="20"/>
        <v>0</v>
      </c>
      <c r="G142" s="3"/>
      <c r="H142" s="3"/>
      <c r="I142" s="3"/>
      <c r="J142" s="20">
        <f t="shared" si="21"/>
        <v>0</v>
      </c>
      <c r="K142" s="3"/>
      <c r="L142" s="3">
        <f t="shared" si="22"/>
        <v>0</v>
      </c>
      <c r="M142" s="3"/>
      <c r="N142" s="20">
        <f t="shared" si="23"/>
        <v>0</v>
      </c>
      <c r="O142" s="12"/>
      <c r="P142" s="3"/>
      <c r="Q142" s="3"/>
      <c r="R142" s="20">
        <f t="shared" si="24"/>
        <v>0</v>
      </c>
      <c r="S142" s="3"/>
      <c r="T142" s="3">
        <v>31</v>
      </c>
      <c r="U142" s="3"/>
      <c r="V142" s="20">
        <f t="shared" si="25"/>
        <v>4.3506187082229399E-6</v>
      </c>
      <c r="W142" s="3"/>
      <c r="X142" s="3">
        <f t="shared" si="26"/>
        <v>-31</v>
      </c>
      <c r="Y142" s="3"/>
      <c r="Z142" s="20">
        <f t="shared" si="27"/>
        <v>-1</v>
      </c>
    </row>
    <row r="143" spans="1:26" s="69" customFormat="1" ht="15" hidden="1" customHeight="1" outlineLevel="1" x14ac:dyDescent="0.3">
      <c r="A143" s="42"/>
      <c r="B143" s="12" t="str">
        <f>CONCATENATE("          ","5582"," - ","FREIGHT-IN-COMPUTER HARDWARE")</f>
        <v xml:space="preserve">          5582 - FREIGHT-IN-COMPUTER HARDWARE</v>
      </c>
      <c r="C143" s="12"/>
      <c r="D143" s="3"/>
      <c r="E143" s="3"/>
      <c r="F143" s="20">
        <f t="shared" si="20"/>
        <v>0</v>
      </c>
      <c r="G143" s="3"/>
      <c r="H143" s="3"/>
      <c r="I143" s="3"/>
      <c r="J143" s="20">
        <f t="shared" si="21"/>
        <v>0</v>
      </c>
      <c r="K143" s="3"/>
      <c r="L143" s="3">
        <f t="shared" si="22"/>
        <v>0</v>
      </c>
      <c r="M143" s="3"/>
      <c r="N143" s="20">
        <f t="shared" si="23"/>
        <v>0</v>
      </c>
      <c r="O143" s="12"/>
      <c r="P143" s="3"/>
      <c r="Q143" s="3"/>
      <c r="R143" s="20">
        <f t="shared" si="24"/>
        <v>0</v>
      </c>
      <c r="S143" s="3"/>
      <c r="T143" s="3">
        <v>125</v>
      </c>
      <c r="U143" s="3"/>
      <c r="V143" s="20">
        <f t="shared" si="25"/>
        <v>1.7542817371866692E-5</v>
      </c>
      <c r="W143" s="3"/>
      <c r="X143" s="3">
        <f t="shared" si="26"/>
        <v>-125</v>
      </c>
      <c r="Y143" s="3"/>
      <c r="Z143" s="20">
        <f t="shared" si="27"/>
        <v>-1</v>
      </c>
    </row>
    <row r="144" spans="1:26" s="69" customFormat="1" ht="15" hidden="1" customHeight="1" outlineLevel="1" x14ac:dyDescent="0.3">
      <c r="A144" s="42"/>
      <c r="B144" s="12" t="str">
        <f>CONCATENATE("          ","5583"," - ","FREIGHT-IN-COMPUTER EQUIPMENT")</f>
        <v xml:space="preserve">          5583 - FREIGHT-IN-COMPUTER EQUIPMENT</v>
      </c>
      <c r="C144" s="12"/>
      <c r="D144" s="3"/>
      <c r="E144" s="3"/>
      <c r="F144" s="20">
        <f t="shared" si="20"/>
        <v>0</v>
      </c>
      <c r="G144" s="3"/>
      <c r="H144" s="3"/>
      <c r="I144" s="3"/>
      <c r="J144" s="20">
        <f t="shared" si="21"/>
        <v>0</v>
      </c>
      <c r="K144" s="3"/>
      <c r="L144" s="3">
        <f t="shared" si="22"/>
        <v>0</v>
      </c>
      <c r="M144" s="3"/>
      <c r="N144" s="20">
        <f t="shared" si="23"/>
        <v>0</v>
      </c>
      <c r="O144" s="12"/>
      <c r="P144" s="3">
        <v>0</v>
      </c>
      <c r="Q144" s="3"/>
      <c r="R144" s="20">
        <f t="shared" si="24"/>
        <v>0</v>
      </c>
      <c r="S144" s="3"/>
      <c r="T144" s="3">
        <v>242.46</v>
      </c>
      <c r="U144" s="3"/>
      <c r="V144" s="20">
        <f t="shared" si="25"/>
        <v>3.4027451999862389E-5</v>
      </c>
      <c r="W144" s="3"/>
      <c r="X144" s="3">
        <f t="shared" si="26"/>
        <v>-242.46</v>
      </c>
      <c r="Y144" s="3"/>
      <c r="Z144" s="20">
        <f t="shared" si="27"/>
        <v>-1</v>
      </c>
    </row>
    <row r="145" spans="1:26" s="69" customFormat="1" ht="15" hidden="1" customHeight="1" outlineLevel="1" x14ac:dyDescent="0.3">
      <c r="A145" s="42"/>
      <c r="B145" s="12" t="str">
        <f>CONCATENATE("          ","5585"," - ","FREIGHT-IN-SOFTWARE")</f>
        <v xml:space="preserve">          5585 - FREIGHT-IN-SOFTWARE</v>
      </c>
      <c r="C145" s="12"/>
      <c r="D145" s="3"/>
      <c r="E145" s="3"/>
      <c r="F145" s="20">
        <f t="shared" si="20"/>
        <v>0</v>
      </c>
      <c r="G145" s="3"/>
      <c r="H145" s="3"/>
      <c r="I145" s="3"/>
      <c r="J145" s="20">
        <f t="shared" si="21"/>
        <v>0</v>
      </c>
      <c r="K145" s="3"/>
      <c r="L145" s="3">
        <f t="shared" si="22"/>
        <v>0</v>
      </c>
      <c r="M145" s="3"/>
      <c r="N145" s="20">
        <f t="shared" si="23"/>
        <v>0</v>
      </c>
      <c r="O145" s="12"/>
      <c r="P145" s="3"/>
      <c r="Q145" s="3"/>
      <c r="R145" s="20">
        <f t="shared" si="24"/>
        <v>0</v>
      </c>
      <c r="S145" s="3"/>
      <c r="T145" s="3">
        <v>9.41</v>
      </c>
      <c r="U145" s="3"/>
      <c r="V145" s="20">
        <f t="shared" si="25"/>
        <v>1.3206232917541247E-6</v>
      </c>
      <c r="W145" s="3"/>
      <c r="X145" s="3">
        <f t="shared" si="26"/>
        <v>-9.41</v>
      </c>
      <c r="Y145" s="3"/>
      <c r="Z145" s="20">
        <f t="shared" si="27"/>
        <v>-1</v>
      </c>
    </row>
    <row r="146" spans="1:26" s="69" customFormat="1" ht="15" hidden="1" customHeight="1" outlineLevel="1" x14ac:dyDescent="0.3">
      <c r="A146" s="42"/>
      <c r="B146" s="12" t="str">
        <f>CONCATENATE("          ","5586"," - ","FREIGHT-IN-COMPUTER SUPPLIES")</f>
        <v xml:space="preserve">          5586 - FREIGHT-IN-COMPUTER SUPPLIES</v>
      </c>
      <c r="C146" s="12"/>
      <c r="D146" s="3"/>
      <c r="E146" s="3"/>
      <c r="F146" s="20">
        <f t="shared" si="20"/>
        <v>0</v>
      </c>
      <c r="G146" s="3"/>
      <c r="H146" s="3"/>
      <c r="I146" s="3"/>
      <c r="J146" s="20">
        <f t="shared" si="21"/>
        <v>0</v>
      </c>
      <c r="K146" s="3"/>
      <c r="L146" s="3">
        <f t="shared" si="22"/>
        <v>0</v>
      </c>
      <c r="M146" s="3"/>
      <c r="N146" s="20">
        <f t="shared" si="23"/>
        <v>0</v>
      </c>
      <c r="O146" s="12"/>
      <c r="P146" s="3"/>
      <c r="Q146" s="3"/>
      <c r="R146" s="20">
        <f t="shared" si="24"/>
        <v>0</v>
      </c>
      <c r="S146" s="3"/>
      <c r="T146" s="3">
        <v>24.12</v>
      </c>
      <c r="U146" s="3"/>
      <c r="V146" s="20">
        <f t="shared" si="25"/>
        <v>3.3850620400753973E-6</v>
      </c>
      <c r="W146" s="3"/>
      <c r="X146" s="3">
        <f t="shared" si="26"/>
        <v>-24.12</v>
      </c>
      <c r="Y146" s="3"/>
      <c r="Z146" s="20">
        <f t="shared" si="27"/>
        <v>-1</v>
      </c>
    </row>
    <row r="147" spans="1:26" s="69" customFormat="1" ht="15" hidden="1" customHeight="1" outlineLevel="1" x14ac:dyDescent="0.3">
      <c r="A147" s="42"/>
      <c r="B147" s="12" t="str">
        <f>CONCATENATE("          ","5592"," - ","FREIGHT-IN-GRAD MERCH")</f>
        <v xml:space="preserve">          5592 - FREIGHT-IN-GRAD MERCH</v>
      </c>
      <c r="C147" s="12"/>
      <c r="D147" s="3"/>
      <c r="E147" s="3"/>
      <c r="F147" s="20">
        <f t="shared" si="20"/>
        <v>0</v>
      </c>
      <c r="G147" s="3"/>
      <c r="H147" s="3"/>
      <c r="I147" s="3"/>
      <c r="J147" s="20">
        <f t="shared" si="21"/>
        <v>0</v>
      </c>
      <c r="K147" s="3"/>
      <c r="L147" s="3">
        <f t="shared" si="22"/>
        <v>0</v>
      </c>
      <c r="M147" s="3"/>
      <c r="N147" s="20">
        <f t="shared" si="23"/>
        <v>0</v>
      </c>
      <c r="O147" s="12"/>
      <c r="P147" s="3"/>
      <c r="Q147" s="3"/>
      <c r="R147" s="20">
        <f t="shared" si="24"/>
        <v>0</v>
      </c>
      <c r="S147" s="3"/>
      <c r="T147" s="3">
        <v>0</v>
      </c>
      <c r="U147" s="3"/>
      <c r="V147" s="20">
        <f t="shared" si="25"/>
        <v>0</v>
      </c>
      <c r="W147" s="3"/>
      <c r="X147" s="3">
        <f t="shared" si="26"/>
        <v>0</v>
      </c>
      <c r="Y147" s="3"/>
      <c r="Z147" s="20">
        <f t="shared" si="27"/>
        <v>0</v>
      </c>
    </row>
    <row r="148" spans="1:26" ht="15" customHeight="1" x14ac:dyDescent="0.3">
      <c r="A148" s="10"/>
      <c r="B148" s="11"/>
      <c r="C148" s="11"/>
      <c r="D148" s="4"/>
      <c r="E148" s="4"/>
      <c r="F148" s="9"/>
      <c r="G148" s="4"/>
      <c r="H148" s="4"/>
      <c r="I148" s="4"/>
      <c r="J148" s="9"/>
      <c r="K148" s="4"/>
      <c r="L148" s="4"/>
      <c r="M148" s="4"/>
      <c r="N148" s="9"/>
      <c r="O148" s="11"/>
      <c r="P148" s="4"/>
      <c r="Q148" s="4"/>
      <c r="R148" s="9"/>
      <c r="S148" s="4"/>
      <c r="T148" s="4"/>
      <c r="U148" s="4"/>
      <c r="V148" s="9"/>
      <c r="W148" s="4"/>
      <c r="X148" s="4"/>
      <c r="Y148" s="4"/>
      <c r="Z148" s="9"/>
    </row>
    <row r="149" spans="1:26" s="62" customFormat="1" ht="15" customHeight="1" x14ac:dyDescent="0.3">
      <c r="A149" s="11"/>
      <c r="B149" s="28" t="s">
        <v>288</v>
      </c>
      <c r="C149" s="28"/>
      <c r="D149" s="21">
        <f>D12-D97</f>
        <v>521870.30999999971</v>
      </c>
      <c r="E149" s="15"/>
      <c r="F149" s="23">
        <f>IF(D$12=0,0,D149/D$12)</f>
        <v>0.43726920462130425</v>
      </c>
      <c r="G149" s="15"/>
      <c r="H149" s="21">
        <f>H12-H97</f>
        <v>249098.66000000003</v>
      </c>
      <c r="I149" s="15"/>
      <c r="J149" s="23">
        <f>IF(H$12=0,0,H149/H$12)</f>
        <v>0.29594931600113655</v>
      </c>
      <c r="K149" s="16"/>
      <c r="L149" s="21">
        <f>+D149-H149</f>
        <v>272771.64999999967</v>
      </c>
      <c r="M149" s="16"/>
      <c r="N149" s="23">
        <f>IF(H149=0,0,L149/H149)</f>
        <v>1.0950345939235469</v>
      </c>
      <c r="O149" s="27"/>
      <c r="P149" s="21">
        <f>P12-P97</f>
        <v>3264267.8600000022</v>
      </c>
      <c r="Q149" s="15"/>
      <c r="R149" s="23">
        <f>IF(P$12=0,0,P149/P$12)</f>
        <v>0.37382044305805101</v>
      </c>
      <c r="S149" s="15"/>
      <c r="T149" s="21">
        <f>T12-T97</f>
        <v>1947330.7299999967</v>
      </c>
      <c r="U149" s="15"/>
      <c r="V149" s="23">
        <f>IF(T$12=0,0,T149/T$12)</f>
        <v>0.27329333887211033</v>
      </c>
      <c r="W149" s="16"/>
      <c r="X149" s="21">
        <f>+P149-T149</f>
        <v>1316937.1300000055</v>
      </c>
      <c r="Y149" s="16"/>
      <c r="Z149" s="23">
        <f>IF(T149=0,0,X149/T149)</f>
        <v>0.67627810197398142</v>
      </c>
    </row>
    <row r="150" spans="1:26" ht="15" customHeight="1" x14ac:dyDescent="0.3">
      <c r="A150" s="10"/>
      <c r="B150" s="11"/>
      <c r="C150" s="10"/>
      <c r="D150" s="2"/>
      <c r="E150" s="2"/>
      <c r="F150" s="6"/>
      <c r="G150" s="2"/>
      <c r="H150" s="2"/>
      <c r="I150" s="2"/>
      <c r="J150" s="6"/>
      <c r="K150" s="2"/>
      <c r="L150" s="2"/>
      <c r="M150" s="2"/>
      <c r="N150" s="6"/>
      <c r="O150" s="36"/>
      <c r="P150" s="2"/>
      <c r="Q150" s="2"/>
      <c r="R150" s="6"/>
      <c r="S150" s="2"/>
      <c r="T150" s="2"/>
      <c r="U150" s="2"/>
      <c r="V150" s="6"/>
      <c r="W150" s="2"/>
      <c r="X150" s="2"/>
      <c r="Y150" s="2"/>
      <c r="Z150" s="6"/>
    </row>
    <row r="151" spans="1:26" s="62" customFormat="1" ht="15" customHeight="1" x14ac:dyDescent="0.3">
      <c r="A151" s="11"/>
      <c r="B151" s="27" t="s">
        <v>289</v>
      </c>
      <c r="C151" s="11"/>
      <c r="D151" s="22" cm="1">
        <f t="array" ref="D151">SUM(OSRRefD22x_0)</f>
        <v>379832.06</v>
      </c>
      <c r="E151" s="22"/>
      <c r="F151" s="32">
        <f t="shared" ref="F151:F182" si="28">IF(D$12=0,0,D151/D$12)</f>
        <v>0.31825696841399465</v>
      </c>
      <c r="G151" s="22"/>
      <c r="H151" s="22" cm="1">
        <f t="array" ref="H151">SUM(OSRRefH22x_0)</f>
        <v>269213.73999999993</v>
      </c>
      <c r="I151" s="22"/>
      <c r="J151" s="32">
        <f t="shared" ref="J151:J182" si="29">IF(H$12=0,0,H151/H$12)</f>
        <v>0.31984765478508709</v>
      </c>
      <c r="K151" s="5"/>
      <c r="L151" s="22">
        <f t="shared" ref="L151:L182" si="30">+D151-H151</f>
        <v>110618.32000000007</v>
      </c>
      <c r="M151" s="5"/>
      <c r="N151" s="32">
        <f t="shared" ref="N151:N182" si="31">IF(H151=0,0,L151/H151)</f>
        <v>0.41089403534901336</v>
      </c>
      <c r="O151" s="11"/>
      <c r="P151" s="22" cm="1">
        <f t="array" ref="P151">SUM(OSRRefP22x_0)</f>
        <v>3366553.1899999995</v>
      </c>
      <c r="Q151" s="22"/>
      <c r="R151" s="32">
        <f t="shared" ref="R151:R182" si="32">IF(P$12=0,0,P151/P$12)</f>
        <v>0.38553404899323857</v>
      </c>
      <c r="S151" s="22"/>
      <c r="T151" s="22" cm="1">
        <f t="array" ref="T151">SUM(OSRRefT22x_0)</f>
        <v>2776027.4299999997</v>
      </c>
      <c r="U151" s="22"/>
      <c r="V151" s="32">
        <f t="shared" ref="V151:V182" si="33">IF(T$12=0,0,T151/T$12)</f>
        <v>0.38959473779025955</v>
      </c>
      <c r="W151" s="5"/>
      <c r="X151" s="22">
        <f t="shared" ref="X151:X182" si="34">+P151-T151</f>
        <v>590525.75999999978</v>
      </c>
      <c r="Y151" s="5"/>
      <c r="Z151" s="32">
        <f t="shared" ref="Z151:Z182" si="35">IF(T151=0,0,X151/T151)</f>
        <v>0.21272331592198995</v>
      </c>
    </row>
    <row r="152" spans="1:26" s="68" customFormat="1" ht="15" customHeight="1" outlineLevel="1" collapsed="1" x14ac:dyDescent="0.3">
      <c r="A152" s="25"/>
      <c r="B152" s="14" t="str">
        <f>CONCATENATE("     ","*Benefits                                         ")</f>
        <v xml:space="preserve">     *Benefits                                         </v>
      </c>
      <c r="C152" s="14"/>
      <c r="D152" s="2">
        <f>SUM(OSRRefD22_0x_0)</f>
        <v>54513.76999999999</v>
      </c>
      <c r="E152" s="2"/>
      <c r="F152" s="6">
        <f t="shared" si="28"/>
        <v>4.5676468639897765E-2</v>
      </c>
      <c r="G152" s="2"/>
      <c r="H152" s="2">
        <f>SUM(OSRRefH22_0x_0)</f>
        <v>56964.56</v>
      </c>
      <c r="I152" s="2"/>
      <c r="J152" s="6">
        <f t="shared" si="29"/>
        <v>6.7678495614170303E-2</v>
      </c>
      <c r="K152" s="2"/>
      <c r="L152" s="2">
        <f t="shared" si="30"/>
        <v>-2450.7900000000081</v>
      </c>
      <c r="M152" s="2"/>
      <c r="N152" s="6">
        <f t="shared" si="31"/>
        <v>-4.3023065569189126E-2</v>
      </c>
      <c r="O152" s="14"/>
      <c r="P152" s="2">
        <f>SUM(OSRRefP22_0x_0)</f>
        <v>499785.22000000003</v>
      </c>
      <c r="Q152" s="2"/>
      <c r="R152" s="6">
        <f t="shared" si="32"/>
        <v>5.7234865638221673E-2</v>
      </c>
      <c r="S152" s="2"/>
      <c r="T152" s="2">
        <f>SUM(OSRRefT22_0x_0)</f>
        <v>493440.38999999996</v>
      </c>
      <c r="U152" s="2"/>
      <c r="V152" s="6">
        <f t="shared" si="33"/>
        <v>6.92506771653814E-2</v>
      </c>
      <c r="W152" s="2"/>
      <c r="X152" s="2">
        <f t="shared" si="34"/>
        <v>6344.8300000000745</v>
      </c>
      <c r="Y152" s="2"/>
      <c r="Z152" s="6">
        <f t="shared" si="35"/>
        <v>1.2858351542726519E-2</v>
      </c>
    </row>
    <row r="153" spans="1:26" s="69" customFormat="1" ht="15" hidden="1" customHeight="1" outlineLevel="2" x14ac:dyDescent="0.3">
      <c r="A153" s="26"/>
      <c r="B153" s="12" t="str">
        <f>CONCATENATE("          ","6111"," - ","F.I.C.A.")</f>
        <v xml:space="preserve">          6111 - F.I.C.A.</v>
      </c>
      <c r="C153" s="12"/>
      <c r="D153" s="8">
        <v>10615.91</v>
      </c>
      <c r="E153" s="3"/>
      <c r="F153" s="7">
        <f t="shared" si="28"/>
        <v>8.894950398752044E-3</v>
      </c>
      <c r="G153" s="3"/>
      <c r="H153" s="8">
        <v>11426.07</v>
      </c>
      <c r="I153" s="3"/>
      <c r="J153" s="7">
        <f t="shared" si="29"/>
        <v>1.3575093503437979E-2</v>
      </c>
      <c r="K153" s="3"/>
      <c r="L153" s="8">
        <f t="shared" si="30"/>
        <v>-810.15999999999985</v>
      </c>
      <c r="M153" s="3"/>
      <c r="N153" s="7">
        <f t="shared" si="31"/>
        <v>-7.0904519226645715E-2</v>
      </c>
      <c r="O153" s="12"/>
      <c r="P153" s="8">
        <v>93287.679999999993</v>
      </c>
      <c r="Q153" s="3"/>
      <c r="R153" s="7">
        <f t="shared" si="32"/>
        <v>1.0683204738430277E-2</v>
      </c>
      <c r="S153" s="3"/>
      <c r="T153" s="8">
        <v>94632.01</v>
      </c>
      <c r="U153" s="3"/>
      <c r="V153" s="7">
        <f t="shared" si="33"/>
        <v>1.32808965517013E-2</v>
      </c>
      <c r="W153" s="3"/>
      <c r="X153" s="8">
        <f t="shared" si="34"/>
        <v>-1344.3300000000017</v>
      </c>
      <c r="Y153" s="3"/>
      <c r="Z153" s="7">
        <f t="shared" si="35"/>
        <v>-1.4205869662918518E-2</v>
      </c>
    </row>
    <row r="154" spans="1:26" s="69" customFormat="1" ht="15" hidden="1" customHeight="1" outlineLevel="2" x14ac:dyDescent="0.3">
      <c r="A154" s="26"/>
      <c r="B154" s="12" t="str">
        <f>CONCATENATE("          ","6112"," - ","COMPENSATION INSURANCE")</f>
        <v xml:space="preserve">          6112 - COMPENSATION INSURANCE</v>
      </c>
      <c r="C154" s="12"/>
      <c r="D154" s="8">
        <v>2414.25</v>
      </c>
      <c r="E154" s="3"/>
      <c r="F154" s="7">
        <f t="shared" si="28"/>
        <v>2.0228726505958626E-3</v>
      </c>
      <c r="G154" s="3"/>
      <c r="H154" s="8">
        <v>1775.21</v>
      </c>
      <c r="I154" s="3"/>
      <c r="J154" s="7">
        <f t="shared" si="29"/>
        <v>2.1090927797780107E-3</v>
      </c>
      <c r="K154" s="3"/>
      <c r="L154" s="8">
        <f t="shared" si="30"/>
        <v>639.04</v>
      </c>
      <c r="M154" s="3"/>
      <c r="N154" s="7">
        <f t="shared" si="31"/>
        <v>0.35997994603455363</v>
      </c>
      <c r="O154" s="12"/>
      <c r="P154" s="8">
        <v>26036.98</v>
      </c>
      <c r="Q154" s="3"/>
      <c r="R154" s="7">
        <f t="shared" si="32"/>
        <v>2.9817269344721013E-3</v>
      </c>
      <c r="S154" s="3"/>
      <c r="T154" s="8">
        <v>23112.76</v>
      </c>
      <c r="U154" s="3"/>
      <c r="V154" s="7">
        <f t="shared" si="33"/>
        <v>3.2437034211182849E-3</v>
      </c>
      <c r="W154" s="3"/>
      <c r="X154" s="8">
        <f t="shared" si="34"/>
        <v>2924.2200000000012</v>
      </c>
      <c r="Y154" s="3"/>
      <c r="Z154" s="7">
        <f t="shared" si="35"/>
        <v>0.12651972330435662</v>
      </c>
    </row>
    <row r="155" spans="1:26" s="69" customFormat="1" ht="15" hidden="1" customHeight="1" outlineLevel="2" x14ac:dyDescent="0.3">
      <c r="A155" s="26"/>
      <c r="B155" s="12" t="str">
        <f>CONCATENATE("          ","6113"," - ","GROUP INSURANCE")</f>
        <v xml:space="preserve">          6113 - GROUP INSURANCE</v>
      </c>
      <c r="C155" s="12"/>
      <c r="D155" s="8">
        <v>15795.45</v>
      </c>
      <c r="E155" s="3"/>
      <c r="F155" s="7">
        <f t="shared" si="28"/>
        <v>1.3234828128343964E-2</v>
      </c>
      <c r="G155" s="3"/>
      <c r="H155" s="8">
        <v>19337.900000000001</v>
      </c>
      <c r="I155" s="3"/>
      <c r="J155" s="7">
        <f t="shared" si="29"/>
        <v>2.297498620786791E-2</v>
      </c>
      <c r="K155" s="3"/>
      <c r="L155" s="8">
        <f t="shared" si="30"/>
        <v>-3542.4500000000007</v>
      </c>
      <c r="M155" s="3"/>
      <c r="N155" s="7">
        <f t="shared" si="31"/>
        <v>-0.18318690240408733</v>
      </c>
      <c r="O155" s="12"/>
      <c r="P155" s="8">
        <v>174453.57</v>
      </c>
      <c r="Q155" s="3"/>
      <c r="R155" s="7">
        <f t="shared" si="32"/>
        <v>1.9978235128798125E-2</v>
      </c>
      <c r="S155" s="3"/>
      <c r="T155" s="8">
        <v>175300.32</v>
      </c>
      <c r="U155" s="3"/>
      <c r="V155" s="7">
        <f t="shared" si="33"/>
        <v>2.4602091991918321E-2</v>
      </c>
      <c r="W155" s="3"/>
      <c r="X155" s="8">
        <f t="shared" si="34"/>
        <v>-846.75</v>
      </c>
      <c r="Y155" s="3"/>
      <c r="Z155" s="7">
        <f t="shared" si="35"/>
        <v>-4.8302821124342494E-3</v>
      </c>
    </row>
    <row r="156" spans="1:26" s="69" customFormat="1" ht="15" hidden="1" customHeight="1" outlineLevel="2" x14ac:dyDescent="0.3">
      <c r="A156" s="26"/>
      <c r="B156" s="12" t="str">
        <f>CONCATENATE("          ","6114"," - ","STATE UNEMPLOYMENT INSURANCE")</f>
        <v xml:space="preserve">          6114 - STATE UNEMPLOYMENT INSURANCE</v>
      </c>
      <c r="C156" s="12"/>
      <c r="D156" s="8">
        <v>433.28</v>
      </c>
      <c r="E156" s="3"/>
      <c r="F156" s="7">
        <f t="shared" si="28"/>
        <v>3.6304039020406965E-4</v>
      </c>
      <c r="G156" s="3"/>
      <c r="H156" s="8">
        <v>321.77999999999997</v>
      </c>
      <c r="I156" s="3"/>
      <c r="J156" s="7">
        <f t="shared" si="29"/>
        <v>3.8230061495652241E-4</v>
      </c>
      <c r="K156" s="3"/>
      <c r="L156" s="8">
        <f t="shared" si="30"/>
        <v>111.5</v>
      </c>
      <c r="M156" s="3"/>
      <c r="N156" s="7">
        <f t="shared" si="31"/>
        <v>0.34651003791410284</v>
      </c>
      <c r="O156" s="12"/>
      <c r="P156" s="8">
        <v>4689.46</v>
      </c>
      <c r="Q156" s="3"/>
      <c r="R156" s="7">
        <f t="shared" si="32"/>
        <v>5.3703191346037601E-4</v>
      </c>
      <c r="S156" s="3"/>
      <c r="T156" s="8">
        <v>3763.78</v>
      </c>
      <c r="U156" s="3"/>
      <c r="V156" s="7">
        <f t="shared" si="33"/>
        <v>5.2821844134307537E-4</v>
      </c>
      <c r="W156" s="3"/>
      <c r="X156" s="8">
        <f t="shared" si="34"/>
        <v>925.67999999999984</v>
      </c>
      <c r="Y156" s="3"/>
      <c r="Z156" s="7">
        <f t="shared" si="35"/>
        <v>0.2459442369107652</v>
      </c>
    </row>
    <row r="157" spans="1:26" s="69" customFormat="1" ht="15" hidden="1" customHeight="1" outlineLevel="2" x14ac:dyDescent="0.3">
      <c r="A157" s="26"/>
      <c r="B157" s="12" t="str">
        <f>CONCATENATE("          ","6115"," - ","P.E.R.S.")</f>
        <v xml:space="preserve">          6115 - P.E.R.S.</v>
      </c>
      <c r="C157" s="12"/>
      <c r="D157" s="8">
        <v>7232.4</v>
      </c>
      <c r="E157" s="3"/>
      <c r="F157" s="7">
        <f t="shared" si="28"/>
        <v>6.0599458043572594E-3</v>
      </c>
      <c r="G157" s="3"/>
      <c r="H157" s="8">
        <v>6349.33</v>
      </c>
      <c r="I157" s="3"/>
      <c r="J157" s="7">
        <f t="shared" si="29"/>
        <v>7.5435165751814807E-3</v>
      </c>
      <c r="K157" s="3"/>
      <c r="L157" s="8">
        <f t="shared" si="30"/>
        <v>883.06999999999971</v>
      </c>
      <c r="M157" s="3"/>
      <c r="N157" s="7">
        <f t="shared" si="31"/>
        <v>0.13908081640110054</v>
      </c>
      <c r="O157" s="12"/>
      <c r="P157" s="8">
        <v>68520.28</v>
      </c>
      <c r="Q157" s="3"/>
      <c r="R157" s="7">
        <f t="shared" si="32"/>
        <v>7.8468687395224033E-3</v>
      </c>
      <c r="S157" s="3"/>
      <c r="T157" s="8">
        <v>70285.67</v>
      </c>
      <c r="U157" s="3"/>
      <c r="V157" s="7">
        <f t="shared" si="33"/>
        <v>9.8640693813543175E-3</v>
      </c>
      <c r="W157" s="3"/>
      <c r="X157" s="8">
        <f t="shared" si="34"/>
        <v>-1765.3899999999994</v>
      </c>
      <c r="Y157" s="3"/>
      <c r="Z157" s="7">
        <f t="shared" si="35"/>
        <v>-2.5117353224348569E-2</v>
      </c>
    </row>
    <row r="158" spans="1:26" s="69" customFormat="1" ht="15" hidden="1" customHeight="1" outlineLevel="2" x14ac:dyDescent="0.3">
      <c r="A158" s="26"/>
      <c r="B158" s="12" t="str">
        <f>CONCATENATE("          ","6116"," - ","EDUCATIONAL BENEFITS")</f>
        <v xml:space="preserve">          6116 - EDUCATIONAL BENEFITS</v>
      </c>
      <c r="C158" s="12"/>
      <c r="D158" s="8"/>
      <c r="E158" s="3"/>
      <c r="F158" s="7">
        <f t="shared" si="28"/>
        <v>0</v>
      </c>
      <c r="G158" s="3"/>
      <c r="H158" s="8"/>
      <c r="I158" s="3"/>
      <c r="J158" s="7">
        <f t="shared" si="29"/>
        <v>0</v>
      </c>
      <c r="K158" s="3"/>
      <c r="L158" s="8">
        <f t="shared" si="30"/>
        <v>0</v>
      </c>
      <c r="M158" s="3"/>
      <c r="N158" s="7">
        <f t="shared" si="31"/>
        <v>0</v>
      </c>
      <c r="O158" s="12"/>
      <c r="P158" s="8"/>
      <c r="Q158" s="3"/>
      <c r="R158" s="7">
        <f t="shared" si="32"/>
        <v>0</v>
      </c>
      <c r="S158" s="3"/>
      <c r="T158" s="8">
        <v>0</v>
      </c>
      <c r="U158" s="3"/>
      <c r="V158" s="7">
        <f t="shared" si="33"/>
        <v>0</v>
      </c>
      <c r="W158" s="3"/>
      <c r="X158" s="8">
        <f t="shared" si="34"/>
        <v>0</v>
      </c>
      <c r="Y158" s="3"/>
      <c r="Z158" s="7">
        <f t="shared" si="35"/>
        <v>0</v>
      </c>
    </row>
    <row r="159" spans="1:26" s="69" customFormat="1" ht="15" hidden="1" customHeight="1" outlineLevel="2" x14ac:dyDescent="0.3">
      <c r="A159" s="26"/>
      <c r="B159" s="12" t="str">
        <f>CONCATENATE("          ","6117"," - ","RETIREMENT STAFF HOURLY")</f>
        <v xml:space="preserve">          6117 - RETIREMENT STAFF HOURLY</v>
      </c>
      <c r="C159" s="12"/>
      <c r="D159" s="8">
        <v>893.02</v>
      </c>
      <c r="E159" s="3"/>
      <c r="F159" s="7">
        <f t="shared" si="28"/>
        <v>7.4825131383871469E-4</v>
      </c>
      <c r="G159" s="3"/>
      <c r="H159" s="8">
        <v>534.61</v>
      </c>
      <c r="I159" s="3"/>
      <c r="J159" s="7">
        <f t="shared" si="29"/>
        <v>6.35159835172809E-4</v>
      </c>
      <c r="K159" s="3"/>
      <c r="L159" s="8">
        <f t="shared" si="30"/>
        <v>358.40999999999997</v>
      </c>
      <c r="M159" s="3"/>
      <c r="N159" s="7">
        <f t="shared" si="31"/>
        <v>0.67041394661528952</v>
      </c>
      <c r="O159" s="12"/>
      <c r="P159" s="8">
        <v>7035.34</v>
      </c>
      <c r="Q159" s="3"/>
      <c r="R159" s="7">
        <f t="shared" si="32"/>
        <v>8.0567956695319328E-4</v>
      </c>
      <c r="S159" s="3"/>
      <c r="T159" s="8">
        <v>5656.91</v>
      </c>
      <c r="U159" s="3"/>
      <c r="V159" s="7">
        <f t="shared" si="33"/>
        <v>7.9390511215269124E-4</v>
      </c>
      <c r="W159" s="3"/>
      <c r="X159" s="8">
        <f t="shared" si="34"/>
        <v>1378.4300000000003</v>
      </c>
      <c r="Y159" s="3"/>
      <c r="Z159" s="7">
        <f t="shared" si="35"/>
        <v>0.24367189861602895</v>
      </c>
    </row>
    <row r="160" spans="1:26" s="69" customFormat="1" ht="15" hidden="1" customHeight="1" outlineLevel="2" x14ac:dyDescent="0.3">
      <c r="A160" s="26"/>
      <c r="B160" s="12" t="str">
        <f>CONCATENATE("          ","6118"," - ","VACATION")</f>
        <v xml:space="preserve">          6118 - VACATION</v>
      </c>
      <c r="C160" s="12"/>
      <c r="D160" s="8">
        <v>7921.38</v>
      </c>
      <c r="E160" s="3"/>
      <c r="F160" s="7">
        <f t="shared" si="28"/>
        <v>6.6372343199656422E-3</v>
      </c>
      <c r="G160" s="3"/>
      <c r="H160" s="8">
        <v>9009.1299999999992</v>
      </c>
      <c r="I160" s="3"/>
      <c r="J160" s="7">
        <f t="shared" si="29"/>
        <v>1.0703573681469498E-2</v>
      </c>
      <c r="K160" s="3"/>
      <c r="L160" s="8">
        <f t="shared" si="30"/>
        <v>-1087.7499999999991</v>
      </c>
      <c r="M160" s="3"/>
      <c r="N160" s="7">
        <f t="shared" si="31"/>
        <v>-0.12073862848021942</v>
      </c>
      <c r="O160" s="12"/>
      <c r="P160" s="8">
        <v>67259.350000000006</v>
      </c>
      <c r="Q160" s="3"/>
      <c r="R160" s="7">
        <f t="shared" si="32"/>
        <v>7.7024683926509973E-3</v>
      </c>
      <c r="S160" s="3"/>
      <c r="T160" s="8">
        <v>60445.83</v>
      </c>
      <c r="U160" s="3"/>
      <c r="V160" s="7">
        <f t="shared" si="33"/>
        <v>8.4831212526472067E-3</v>
      </c>
      <c r="W160" s="3"/>
      <c r="X160" s="8">
        <f t="shared" si="34"/>
        <v>6813.5200000000041</v>
      </c>
      <c r="Y160" s="3"/>
      <c r="Z160" s="7">
        <f t="shared" si="35"/>
        <v>0.11272109258819019</v>
      </c>
    </row>
    <row r="161" spans="1:26" s="69" customFormat="1" ht="15" hidden="1" customHeight="1" outlineLevel="2" x14ac:dyDescent="0.3">
      <c r="A161" s="26"/>
      <c r="B161" s="12" t="str">
        <f>CONCATENATE("          ","6119"," - ","SICK LEAVE")</f>
        <v xml:space="preserve">          6119 - SICK LEAVE</v>
      </c>
      <c r="C161" s="12"/>
      <c r="D161" s="8">
        <v>5856.95</v>
      </c>
      <c r="E161" s="3"/>
      <c r="F161" s="7">
        <f t="shared" si="28"/>
        <v>4.9074718736284292E-3</v>
      </c>
      <c r="G161" s="3"/>
      <c r="H161" s="8">
        <v>6137.49</v>
      </c>
      <c r="I161" s="3"/>
      <c r="J161" s="7">
        <f t="shared" si="29"/>
        <v>7.2918335548806858E-3</v>
      </c>
      <c r="K161" s="3"/>
      <c r="L161" s="8">
        <f t="shared" si="30"/>
        <v>-280.53999999999996</v>
      </c>
      <c r="M161" s="3"/>
      <c r="N161" s="7">
        <f t="shared" si="31"/>
        <v>-4.5709239444789315E-2</v>
      </c>
      <c r="O161" s="12"/>
      <c r="P161" s="8">
        <v>28089.24</v>
      </c>
      <c r="Q161" s="3"/>
      <c r="R161" s="7">
        <f t="shared" si="32"/>
        <v>3.216749541492567E-3</v>
      </c>
      <c r="S161" s="3"/>
      <c r="T161" s="8">
        <v>43593.18</v>
      </c>
      <c r="U161" s="3"/>
      <c r="V161" s="7">
        <f t="shared" si="33"/>
        <v>6.1179775631912932E-3</v>
      </c>
      <c r="W161" s="3"/>
      <c r="X161" s="8">
        <f t="shared" si="34"/>
        <v>-15503.939999999999</v>
      </c>
      <c r="Y161" s="3"/>
      <c r="Z161" s="7">
        <f t="shared" si="35"/>
        <v>-0.35565058571088409</v>
      </c>
    </row>
    <row r="162" spans="1:26" s="69" customFormat="1" ht="15" hidden="1" customHeight="1" outlineLevel="2" x14ac:dyDescent="0.3">
      <c r="A162" s="26"/>
      <c r="B162" s="12" t="str">
        <f>CONCATENATE("          ","6156"," - ","EMPLOYEE MEALS")</f>
        <v xml:space="preserve">          6156 - EMPLOYEE MEALS</v>
      </c>
      <c r="C162" s="12"/>
      <c r="D162" s="8">
        <v>3351.13</v>
      </c>
      <c r="E162" s="3"/>
      <c r="F162" s="7">
        <f t="shared" si="28"/>
        <v>2.8078737602117891E-3</v>
      </c>
      <c r="G162" s="3"/>
      <c r="H162" s="8">
        <v>2073.04</v>
      </c>
      <c r="I162" s="3"/>
      <c r="J162" s="7">
        <f t="shared" si="29"/>
        <v>2.4629388614254128E-3</v>
      </c>
      <c r="K162" s="3"/>
      <c r="L162" s="8">
        <f t="shared" si="30"/>
        <v>1278.0900000000001</v>
      </c>
      <c r="M162" s="3"/>
      <c r="N162" s="7">
        <f t="shared" si="31"/>
        <v>0.6165293482036045</v>
      </c>
      <c r="O162" s="12"/>
      <c r="P162" s="8">
        <v>30413.32</v>
      </c>
      <c r="Q162" s="3"/>
      <c r="R162" s="7">
        <f t="shared" si="32"/>
        <v>3.4829006824416294E-3</v>
      </c>
      <c r="S162" s="3"/>
      <c r="T162" s="8">
        <v>16649.93</v>
      </c>
      <c r="U162" s="3"/>
      <c r="V162" s="7">
        <f t="shared" si="33"/>
        <v>2.3366934499549153E-3</v>
      </c>
      <c r="W162" s="3"/>
      <c r="X162" s="8">
        <f t="shared" si="34"/>
        <v>13763.39</v>
      </c>
      <c r="Y162" s="3"/>
      <c r="Z162" s="7">
        <f t="shared" si="35"/>
        <v>0.82663350536608859</v>
      </c>
    </row>
    <row r="163" spans="1:26" s="68" customFormat="1" ht="15" customHeight="1" outlineLevel="1" collapsed="1" x14ac:dyDescent="0.3">
      <c r="A163" s="25"/>
      <c r="B163" s="14" t="str">
        <f>CONCATENATE("     ","*Payroll                                          ")</f>
        <v xml:space="preserve">     *Payroll                                          </v>
      </c>
      <c r="C163" s="14"/>
      <c r="D163" s="2">
        <f>SUM(OSRRefD22_1x_0)</f>
        <v>203683.69999999998</v>
      </c>
      <c r="E163" s="2"/>
      <c r="F163" s="6">
        <f t="shared" si="28"/>
        <v>0.17066425850768246</v>
      </c>
      <c r="G163" s="2"/>
      <c r="H163" s="2">
        <f>SUM(OSRRefH22_1x_0)</f>
        <v>134061.96</v>
      </c>
      <c r="I163" s="2"/>
      <c r="J163" s="6">
        <f t="shared" si="29"/>
        <v>0.15927643032592675</v>
      </c>
      <c r="K163" s="2"/>
      <c r="L163" s="2">
        <f t="shared" si="30"/>
        <v>69621.739999999991</v>
      </c>
      <c r="M163" s="2"/>
      <c r="N163" s="6">
        <f t="shared" si="31"/>
        <v>0.51932509415795503</v>
      </c>
      <c r="O163" s="14"/>
      <c r="P163" s="2">
        <f>SUM(OSRRefP22_1x_0)</f>
        <v>1796920.15</v>
      </c>
      <c r="Q163" s="2"/>
      <c r="R163" s="6">
        <f t="shared" si="32"/>
        <v>0.20578136213764608</v>
      </c>
      <c r="S163" s="2"/>
      <c r="T163" s="2">
        <f>SUM(OSRRefT22_1x_0)</f>
        <v>1330934.72</v>
      </c>
      <c r="U163" s="2"/>
      <c r="V163" s="6">
        <f t="shared" si="33"/>
        <v>0.18678675781469226</v>
      </c>
      <c r="W163" s="2"/>
      <c r="X163" s="2">
        <f t="shared" si="34"/>
        <v>465985.42999999993</v>
      </c>
      <c r="Y163" s="2"/>
      <c r="Z163" s="6">
        <f t="shared" si="35"/>
        <v>0.35011892243670667</v>
      </c>
    </row>
    <row r="164" spans="1:26" s="69" customFormat="1" ht="15" hidden="1" customHeight="1" outlineLevel="2" x14ac:dyDescent="0.3">
      <c r="A164" s="26"/>
      <c r="B164" s="12" t="str">
        <f>CONCATENATE("          ","6001"," - ","ADMINISTRATIVE SALARIES")</f>
        <v xml:space="preserve">          6001 - ADMINISTRATIVE SALARIES</v>
      </c>
      <c r="C164" s="12"/>
      <c r="D164" s="8">
        <v>2749.47</v>
      </c>
      <c r="E164" s="3"/>
      <c r="F164" s="7">
        <f t="shared" si="28"/>
        <v>2.3037496807015866E-3</v>
      </c>
      <c r="G164" s="3"/>
      <c r="H164" s="8">
        <v>4416.46</v>
      </c>
      <c r="I164" s="3"/>
      <c r="J164" s="7">
        <f t="shared" si="29"/>
        <v>5.247110988659591E-3</v>
      </c>
      <c r="K164" s="3"/>
      <c r="L164" s="8">
        <f t="shared" si="30"/>
        <v>-1666.9900000000002</v>
      </c>
      <c r="M164" s="3"/>
      <c r="N164" s="7">
        <f t="shared" si="31"/>
        <v>-0.37744935989457623</v>
      </c>
      <c r="O164" s="12"/>
      <c r="P164" s="8">
        <v>47666.53</v>
      </c>
      <c r="Q164" s="3"/>
      <c r="R164" s="7">
        <f t="shared" si="32"/>
        <v>5.4587197276267235E-3</v>
      </c>
      <c r="S164" s="3"/>
      <c r="T164" s="8">
        <v>43192.79</v>
      </c>
      <c r="U164" s="3"/>
      <c r="V164" s="7">
        <f t="shared" si="33"/>
        <v>6.0617858140111199E-3</v>
      </c>
      <c r="W164" s="3"/>
      <c r="X164" s="8">
        <f t="shared" si="34"/>
        <v>4473.739999999998</v>
      </c>
      <c r="Y164" s="3"/>
      <c r="Z164" s="7">
        <f t="shared" si="35"/>
        <v>0.1035760829527335</v>
      </c>
    </row>
    <row r="165" spans="1:26" s="69" customFormat="1" ht="15" hidden="1" customHeight="1" outlineLevel="2" x14ac:dyDescent="0.3">
      <c r="A165" s="26"/>
      <c r="B165" s="12" t="str">
        <f>CONCATENATE("          ","6002"," - ","STAFF SALARIES")</f>
        <v xml:space="preserve">          6002 - STAFF SALARIES</v>
      </c>
      <c r="C165" s="12"/>
      <c r="D165" s="8">
        <v>60588.65</v>
      </c>
      <c r="E165" s="3"/>
      <c r="F165" s="7">
        <f t="shared" si="28"/>
        <v>5.076654158497463E-2</v>
      </c>
      <c r="G165" s="3"/>
      <c r="H165" s="8">
        <v>70695.399999999994</v>
      </c>
      <c r="I165" s="3"/>
      <c r="J165" s="7">
        <f t="shared" si="29"/>
        <v>8.3991841924909369E-2</v>
      </c>
      <c r="K165" s="3"/>
      <c r="L165" s="8">
        <f t="shared" si="30"/>
        <v>-10106.749999999993</v>
      </c>
      <c r="M165" s="3"/>
      <c r="N165" s="7">
        <f t="shared" si="31"/>
        <v>-0.14296191831434568</v>
      </c>
      <c r="O165" s="12"/>
      <c r="P165" s="8">
        <v>592454</v>
      </c>
      <c r="Q165" s="3"/>
      <c r="R165" s="7">
        <f t="shared" si="32"/>
        <v>6.7847194614572601E-2</v>
      </c>
      <c r="S165" s="3"/>
      <c r="T165" s="8">
        <v>626451.12</v>
      </c>
      <c r="U165" s="3"/>
      <c r="V165" s="7">
        <f t="shared" si="33"/>
        <v>8.7917740724490767E-2</v>
      </c>
      <c r="W165" s="3"/>
      <c r="X165" s="8">
        <f t="shared" si="34"/>
        <v>-33997.119999999995</v>
      </c>
      <c r="Y165" s="3"/>
      <c r="Z165" s="7">
        <f t="shared" si="35"/>
        <v>-5.4269389764998739E-2</v>
      </c>
    </row>
    <row r="166" spans="1:26" s="69" customFormat="1" ht="15" hidden="1" customHeight="1" outlineLevel="2" x14ac:dyDescent="0.3">
      <c r="A166" s="26"/>
      <c r="B166" s="12" t="str">
        <f>CONCATENATE("          ","6004"," - ","STAFF HOURLY")</f>
        <v xml:space="preserve">          6004 - STAFF HOURLY</v>
      </c>
      <c r="C166" s="12"/>
      <c r="D166" s="8">
        <v>43790.02</v>
      </c>
      <c r="E166" s="3"/>
      <c r="F166" s="7">
        <f t="shared" si="28"/>
        <v>3.6691160330142206E-2</v>
      </c>
      <c r="G166" s="3"/>
      <c r="H166" s="8">
        <v>22574.34</v>
      </c>
      <c r="I166" s="3"/>
      <c r="J166" s="7">
        <f t="shared" si="29"/>
        <v>2.6820138182104616E-2</v>
      </c>
      <c r="K166" s="3"/>
      <c r="L166" s="8">
        <f t="shared" si="30"/>
        <v>21215.679999999997</v>
      </c>
      <c r="M166" s="3"/>
      <c r="N166" s="7">
        <f t="shared" si="31"/>
        <v>0.93981396576821274</v>
      </c>
      <c r="O166" s="12"/>
      <c r="P166" s="8">
        <v>279111.12</v>
      </c>
      <c r="Q166" s="3"/>
      <c r="R166" s="7">
        <f t="shared" si="32"/>
        <v>3.1963505145937619E-2</v>
      </c>
      <c r="S166" s="3"/>
      <c r="T166" s="8">
        <v>191802.63</v>
      </c>
      <c r="U166" s="3"/>
      <c r="V166" s="7">
        <f t="shared" si="33"/>
        <v>2.6918068076269758E-2</v>
      </c>
      <c r="W166" s="3"/>
      <c r="X166" s="8">
        <f t="shared" si="34"/>
        <v>87308.489999999991</v>
      </c>
      <c r="Y166" s="3"/>
      <c r="Z166" s="7">
        <f t="shared" si="35"/>
        <v>0.45519964976496929</v>
      </c>
    </row>
    <row r="167" spans="1:26" s="69" customFormat="1" ht="15" hidden="1" customHeight="1" outlineLevel="2" x14ac:dyDescent="0.3">
      <c r="A167" s="26"/>
      <c r="B167" s="12" t="str">
        <f>CONCATENATE("          ","6005"," - ","TEMPORARY WAGES-HOURLY")</f>
        <v xml:space="preserve">          6005 - TEMPORARY WAGES-HOURLY</v>
      </c>
      <c r="C167" s="12"/>
      <c r="D167" s="8">
        <v>9261.32</v>
      </c>
      <c r="E167" s="3"/>
      <c r="F167" s="7">
        <f t="shared" si="28"/>
        <v>7.7599548250663645E-3</v>
      </c>
      <c r="G167" s="3"/>
      <c r="H167" s="8">
        <v>16005.07</v>
      </c>
      <c r="I167" s="3"/>
      <c r="J167" s="7">
        <f t="shared" si="29"/>
        <v>1.9015315132768319E-2</v>
      </c>
      <c r="K167" s="3"/>
      <c r="L167" s="8">
        <f t="shared" si="30"/>
        <v>-6743.75</v>
      </c>
      <c r="M167" s="3"/>
      <c r="N167" s="7">
        <f t="shared" si="31"/>
        <v>-0.42135085944641293</v>
      </c>
      <c r="O167" s="12"/>
      <c r="P167" s="8">
        <v>93413.51</v>
      </c>
      <c r="Q167" s="3"/>
      <c r="R167" s="7">
        <f t="shared" si="32"/>
        <v>1.0697614654640399E-2</v>
      </c>
      <c r="S167" s="3"/>
      <c r="T167" s="8">
        <v>152232.04999999999</v>
      </c>
      <c r="U167" s="3"/>
      <c r="V167" s="7">
        <f t="shared" si="33"/>
        <v>2.1364632410359029E-2</v>
      </c>
      <c r="W167" s="3"/>
      <c r="X167" s="8">
        <f t="shared" si="34"/>
        <v>-58818.539999999994</v>
      </c>
      <c r="Y167" s="3"/>
      <c r="Z167" s="7">
        <f t="shared" si="35"/>
        <v>-0.38637422277371947</v>
      </c>
    </row>
    <row r="168" spans="1:26" s="69" customFormat="1" ht="15" hidden="1" customHeight="1" outlineLevel="2" x14ac:dyDescent="0.3">
      <c r="A168" s="26"/>
      <c r="B168" s="12" t="str">
        <f>CONCATENATE("          ","6006"," - ","TEMPORARY PART TIME")</f>
        <v xml:space="preserve">          6006 - TEMPORARY PART TIME</v>
      </c>
      <c r="C168" s="12"/>
      <c r="D168" s="8">
        <v>2482.0300000000002</v>
      </c>
      <c r="E168" s="3"/>
      <c r="F168" s="7">
        <f t="shared" si="28"/>
        <v>2.0796647426564972E-3</v>
      </c>
      <c r="G168" s="3"/>
      <c r="H168" s="8">
        <v>2893.47</v>
      </c>
      <c r="I168" s="3"/>
      <c r="J168" s="7">
        <f t="shared" si="29"/>
        <v>3.4376759287657686E-3</v>
      </c>
      <c r="K168" s="3"/>
      <c r="L168" s="8">
        <f t="shared" si="30"/>
        <v>-411.4399999999996</v>
      </c>
      <c r="M168" s="3"/>
      <c r="N168" s="7">
        <f t="shared" si="31"/>
        <v>-0.14219604834333849</v>
      </c>
      <c r="O168" s="12"/>
      <c r="P168" s="8">
        <v>17834.14</v>
      </c>
      <c r="Q168" s="3"/>
      <c r="R168" s="7">
        <f t="shared" si="32"/>
        <v>2.0423465237191978E-3</v>
      </c>
      <c r="S168" s="3"/>
      <c r="T168" s="8">
        <v>16946.759999999998</v>
      </c>
      <c r="U168" s="3"/>
      <c r="V168" s="7">
        <f t="shared" si="33"/>
        <v>2.3783513257988444E-3</v>
      </c>
      <c r="W168" s="3"/>
      <c r="X168" s="8">
        <f t="shared" si="34"/>
        <v>887.38000000000102</v>
      </c>
      <c r="Y168" s="3"/>
      <c r="Z168" s="7">
        <f t="shared" si="35"/>
        <v>5.2362811534476271E-2</v>
      </c>
    </row>
    <row r="169" spans="1:26" s="69" customFormat="1" ht="15" hidden="1" customHeight="1" outlineLevel="2" x14ac:dyDescent="0.3">
      <c r="A169" s="26"/>
      <c r="B169" s="12" t="str">
        <f>CONCATENATE("          ","6007"," - ","STUDENT HOURLY")</f>
        <v xml:space="preserve">          6007 - STUDENT HOURLY</v>
      </c>
      <c r="C169" s="12"/>
      <c r="D169" s="8">
        <v>65954.17</v>
      </c>
      <c r="E169" s="3"/>
      <c r="F169" s="7">
        <f t="shared" si="28"/>
        <v>5.5262249843947439E-2</v>
      </c>
      <c r="G169" s="3"/>
      <c r="H169" s="8">
        <v>15886.89</v>
      </c>
      <c r="I169" s="3"/>
      <c r="J169" s="7">
        <f t="shared" si="29"/>
        <v>1.8874907752957384E-2</v>
      </c>
      <c r="K169" s="3"/>
      <c r="L169" s="8">
        <f t="shared" si="30"/>
        <v>50067.28</v>
      </c>
      <c r="M169" s="3"/>
      <c r="N169" s="7">
        <f t="shared" si="31"/>
        <v>3.1514840223605751</v>
      </c>
      <c r="O169" s="12"/>
      <c r="P169" s="8">
        <v>653314.41</v>
      </c>
      <c r="Q169" s="3"/>
      <c r="R169" s="7">
        <f t="shared" si="32"/>
        <v>7.4816863283520205E-2</v>
      </c>
      <c r="S169" s="3"/>
      <c r="T169" s="8">
        <v>290307.42</v>
      </c>
      <c r="U169" s="3"/>
      <c r="V169" s="7">
        <f t="shared" si="33"/>
        <v>4.0742480406062397E-2</v>
      </c>
      <c r="W169" s="3"/>
      <c r="X169" s="8">
        <f t="shared" si="34"/>
        <v>363006.99000000005</v>
      </c>
      <c r="Y169" s="3"/>
      <c r="Z169" s="7">
        <f t="shared" si="35"/>
        <v>1.2504227070737637</v>
      </c>
    </row>
    <row r="170" spans="1:26" s="69" customFormat="1" ht="15" hidden="1" customHeight="1" outlineLevel="2" x14ac:dyDescent="0.3">
      <c r="A170" s="26"/>
      <c r="B170" s="12" t="str">
        <f>CONCATENATE("          ","6008"," - ","STUDENT HOURLY-FICA EXEMPT")</f>
        <v xml:space="preserve">          6008 - STUDENT HOURLY-FICA EXEMPT</v>
      </c>
      <c r="C170" s="12"/>
      <c r="D170" s="8">
        <v>18858.04</v>
      </c>
      <c r="E170" s="3"/>
      <c r="F170" s="7">
        <f t="shared" si="28"/>
        <v>1.5800937500193766E-2</v>
      </c>
      <c r="G170" s="3"/>
      <c r="H170" s="8">
        <v>1590.33</v>
      </c>
      <c r="I170" s="3"/>
      <c r="J170" s="7">
        <f t="shared" si="29"/>
        <v>1.8894404157617202E-3</v>
      </c>
      <c r="K170" s="3"/>
      <c r="L170" s="8">
        <f t="shared" si="30"/>
        <v>17267.71</v>
      </c>
      <c r="M170" s="3"/>
      <c r="N170" s="7">
        <f t="shared" si="31"/>
        <v>10.857941433538951</v>
      </c>
      <c r="O170" s="12"/>
      <c r="P170" s="8">
        <v>113126.44</v>
      </c>
      <c r="Q170" s="3"/>
      <c r="R170" s="7">
        <f t="shared" si="32"/>
        <v>1.2955118187629368E-2</v>
      </c>
      <c r="S170" s="3"/>
      <c r="T170" s="8">
        <v>10001.950000000001</v>
      </c>
      <c r="U170" s="3"/>
      <c r="V170" s="7">
        <f t="shared" si="33"/>
        <v>1.4036990577003367E-3</v>
      </c>
      <c r="W170" s="3"/>
      <c r="X170" s="8">
        <f t="shared" si="34"/>
        <v>103124.49</v>
      </c>
      <c r="Y170" s="3"/>
      <c r="Z170" s="7">
        <f t="shared" si="35"/>
        <v>10.310438464499422</v>
      </c>
    </row>
    <row r="171" spans="1:26" s="68" customFormat="1" ht="15" customHeight="1" outlineLevel="1" collapsed="1" x14ac:dyDescent="0.3">
      <c r="A171" s="25"/>
      <c r="B171" s="14" t="str">
        <f>CONCATENATE("     ","Advertising/Promo                                 ")</f>
        <v xml:space="preserve">     Advertising/Promo                                 </v>
      </c>
      <c r="C171" s="14"/>
      <c r="D171" s="2">
        <f>SUM(OSRRefD22_2x_0)</f>
        <v>3210.66</v>
      </c>
      <c r="E171" s="2"/>
      <c r="F171" s="6">
        <f t="shared" si="28"/>
        <v>2.6901755428651178E-3</v>
      </c>
      <c r="G171" s="2"/>
      <c r="H171" s="2">
        <f>SUM(OSRRefH22_2x_0)</f>
        <v>1340.29</v>
      </c>
      <c r="I171" s="2"/>
      <c r="J171" s="6">
        <f t="shared" si="29"/>
        <v>1.5923727118530595E-3</v>
      </c>
      <c r="K171" s="2"/>
      <c r="L171" s="2">
        <f t="shared" si="30"/>
        <v>1870.37</v>
      </c>
      <c r="M171" s="2"/>
      <c r="N171" s="6">
        <f t="shared" si="31"/>
        <v>1.3954964970267629</v>
      </c>
      <c r="O171" s="14"/>
      <c r="P171" s="2">
        <f>SUM(OSRRefP22_2x_0)</f>
        <v>12389.25</v>
      </c>
      <c r="Q171" s="2"/>
      <c r="R171" s="6">
        <f t="shared" si="32"/>
        <v>1.4188035794822781E-3</v>
      </c>
      <c r="S171" s="2"/>
      <c r="T171" s="2">
        <f>SUM(OSRRefT22_2x_0)</f>
        <v>18161.439999999999</v>
      </c>
      <c r="U171" s="2"/>
      <c r="V171" s="6">
        <f t="shared" si="33"/>
        <v>2.5488226010409168E-3</v>
      </c>
      <c r="W171" s="2"/>
      <c r="X171" s="2">
        <f t="shared" si="34"/>
        <v>-5772.1899999999987</v>
      </c>
      <c r="Y171" s="2"/>
      <c r="Z171" s="6">
        <f t="shared" si="35"/>
        <v>-0.31782667013188376</v>
      </c>
    </row>
    <row r="172" spans="1:26" s="69" customFormat="1" ht="15" hidden="1" customHeight="1" outlineLevel="2" x14ac:dyDescent="0.3">
      <c r="A172" s="26"/>
      <c r="B172" s="12" t="str">
        <f>CONCATENATE("          ","6362"," - ","ADVERTISING EXPENSE")</f>
        <v xml:space="preserve">          6362 - ADVERTISING EXPENSE</v>
      </c>
      <c r="C172" s="12"/>
      <c r="D172" s="8">
        <v>3210.66</v>
      </c>
      <c r="E172" s="3"/>
      <c r="F172" s="7">
        <f t="shared" si="28"/>
        <v>2.6901755428651178E-3</v>
      </c>
      <c r="G172" s="3"/>
      <c r="H172" s="8">
        <v>1340.29</v>
      </c>
      <c r="I172" s="3"/>
      <c r="J172" s="7">
        <f t="shared" si="29"/>
        <v>1.5923727118530595E-3</v>
      </c>
      <c r="K172" s="3"/>
      <c r="L172" s="8">
        <f t="shared" si="30"/>
        <v>1870.37</v>
      </c>
      <c r="M172" s="3"/>
      <c r="N172" s="7">
        <f t="shared" si="31"/>
        <v>1.3954964970267629</v>
      </c>
      <c r="O172" s="12"/>
      <c r="P172" s="8">
        <v>12389.25</v>
      </c>
      <c r="Q172" s="3"/>
      <c r="R172" s="7">
        <f t="shared" si="32"/>
        <v>1.4188035794822781E-3</v>
      </c>
      <c r="S172" s="3"/>
      <c r="T172" s="8">
        <v>18161.439999999999</v>
      </c>
      <c r="U172" s="3"/>
      <c r="V172" s="7">
        <f t="shared" si="33"/>
        <v>2.5488226010409168E-3</v>
      </c>
      <c r="W172" s="3"/>
      <c r="X172" s="8">
        <f t="shared" si="34"/>
        <v>-5772.1899999999987</v>
      </c>
      <c r="Y172" s="3"/>
      <c r="Z172" s="7">
        <f t="shared" si="35"/>
        <v>-0.31782667013188376</v>
      </c>
    </row>
    <row r="173" spans="1:26" s="68" customFormat="1" ht="15" customHeight="1" outlineLevel="1" collapsed="1" x14ac:dyDescent="0.3">
      <c r="A173" s="25"/>
      <c r="B173" s="14" t="str">
        <f>CONCATENATE("     ","Bad Debts/Over/Short                              ")</f>
        <v xml:space="preserve">     Bad Debts/Over/Short                              </v>
      </c>
      <c r="C173" s="14"/>
      <c r="D173" s="2">
        <f>SUM(OSRRefD22_3x_0)</f>
        <v>-46.29</v>
      </c>
      <c r="E173" s="2"/>
      <c r="F173" s="6">
        <f t="shared" si="28"/>
        <v>-3.8785865173897675E-5</v>
      </c>
      <c r="G173" s="2"/>
      <c r="H173" s="2">
        <f>SUM(OSRRefH22_3x_0)</f>
        <v>-1.25</v>
      </c>
      <c r="I173" s="2"/>
      <c r="J173" s="6">
        <f t="shared" si="29"/>
        <v>-1.4851009033987602E-6</v>
      </c>
      <c r="K173" s="2"/>
      <c r="L173" s="2">
        <f t="shared" si="30"/>
        <v>-45.04</v>
      </c>
      <c r="M173" s="2"/>
      <c r="N173" s="6">
        <f t="shared" si="31"/>
        <v>36.031999999999996</v>
      </c>
      <c r="O173" s="14"/>
      <c r="P173" s="2">
        <f>SUM(OSRRefP22_3x_0)</f>
        <v>6.76</v>
      </c>
      <c r="Q173" s="2"/>
      <c r="R173" s="6">
        <f t="shared" si="32"/>
        <v>7.741479264120265E-7</v>
      </c>
      <c r="S173" s="2"/>
      <c r="T173" s="2">
        <f>SUM(OSRRefT22_3x_0)</f>
        <v>5182.7</v>
      </c>
      <c r="U173" s="2"/>
      <c r="V173" s="6">
        <f t="shared" si="33"/>
        <v>7.2735327674538803E-4</v>
      </c>
      <c r="W173" s="2"/>
      <c r="X173" s="2">
        <f t="shared" si="34"/>
        <v>-5175.9399999999996</v>
      </c>
      <c r="Y173" s="2"/>
      <c r="Z173" s="6">
        <f t="shared" si="35"/>
        <v>-0.99869566056302694</v>
      </c>
    </row>
    <row r="174" spans="1:26" s="69" customFormat="1" ht="15" hidden="1" customHeight="1" outlineLevel="2" x14ac:dyDescent="0.3">
      <c r="A174" s="26"/>
      <c r="B174" s="12" t="str">
        <f>CONCATENATE("          ","6272"," - ","CASH (OVER/SHORT)")</f>
        <v xml:space="preserve">          6272 - CASH (OVER/SHORT)</v>
      </c>
      <c r="C174" s="12"/>
      <c r="D174" s="8">
        <v>-46.29</v>
      </c>
      <c r="E174" s="3"/>
      <c r="F174" s="7">
        <f t="shared" si="28"/>
        <v>-3.8785865173897675E-5</v>
      </c>
      <c r="G174" s="3"/>
      <c r="H174" s="8">
        <v>-1.25</v>
      </c>
      <c r="I174" s="3"/>
      <c r="J174" s="7">
        <f t="shared" si="29"/>
        <v>-1.4851009033987602E-6</v>
      </c>
      <c r="K174" s="3"/>
      <c r="L174" s="8">
        <f t="shared" si="30"/>
        <v>-45.04</v>
      </c>
      <c r="M174" s="3"/>
      <c r="N174" s="7">
        <f t="shared" si="31"/>
        <v>36.031999999999996</v>
      </c>
      <c r="O174" s="12"/>
      <c r="P174" s="8">
        <v>6.76</v>
      </c>
      <c r="Q174" s="3"/>
      <c r="R174" s="7">
        <f t="shared" si="32"/>
        <v>7.741479264120265E-7</v>
      </c>
      <c r="S174" s="3"/>
      <c r="T174" s="8">
        <v>-166.72</v>
      </c>
      <c r="U174" s="3"/>
      <c r="V174" s="7">
        <f t="shared" si="33"/>
        <v>-2.3397908097900919E-5</v>
      </c>
      <c r="W174" s="3"/>
      <c r="X174" s="8">
        <f t="shared" si="34"/>
        <v>173.48</v>
      </c>
      <c r="Y174" s="3"/>
      <c r="Z174" s="7">
        <f t="shared" si="35"/>
        <v>-1.0405470249520152</v>
      </c>
    </row>
    <row r="175" spans="1:26" s="69" customFormat="1" ht="15" hidden="1" customHeight="1" outlineLevel="2" x14ac:dyDescent="0.3">
      <c r="A175" s="26"/>
      <c r="B175" s="12" t="str">
        <f>CONCATENATE("          ","6342"," - ","BAD DEBT")</f>
        <v xml:space="preserve">          6342 - BAD DEBT</v>
      </c>
      <c r="C175" s="12"/>
      <c r="D175" s="8"/>
      <c r="E175" s="3"/>
      <c r="F175" s="7">
        <f t="shared" si="28"/>
        <v>0</v>
      </c>
      <c r="G175" s="3"/>
      <c r="H175" s="8"/>
      <c r="I175" s="3"/>
      <c r="J175" s="7">
        <f t="shared" si="29"/>
        <v>0</v>
      </c>
      <c r="K175" s="3"/>
      <c r="L175" s="8">
        <f t="shared" si="30"/>
        <v>0</v>
      </c>
      <c r="M175" s="3"/>
      <c r="N175" s="7">
        <f t="shared" si="31"/>
        <v>0</v>
      </c>
      <c r="O175" s="12"/>
      <c r="P175" s="8"/>
      <c r="Q175" s="3"/>
      <c r="R175" s="7">
        <f t="shared" si="32"/>
        <v>0</v>
      </c>
      <c r="S175" s="3"/>
      <c r="T175" s="8">
        <v>5349.42</v>
      </c>
      <c r="U175" s="3"/>
      <c r="V175" s="7">
        <f t="shared" si="33"/>
        <v>7.5075118484328903E-4</v>
      </c>
      <c r="W175" s="3"/>
      <c r="X175" s="8">
        <f t="shared" si="34"/>
        <v>-5349.42</v>
      </c>
      <c r="Y175" s="3"/>
      <c r="Z175" s="7">
        <f t="shared" si="35"/>
        <v>-1</v>
      </c>
    </row>
    <row r="176" spans="1:26" s="68" customFormat="1" ht="15" customHeight="1" outlineLevel="1" collapsed="1" x14ac:dyDescent="0.3">
      <c r="A176" s="25"/>
      <c r="B176" s="14" t="str">
        <f>CONCATENATE("     ","Bank/card Fees                                    ")</f>
        <v xml:space="preserve">     Bank/card Fees                                    </v>
      </c>
      <c r="C176" s="14"/>
      <c r="D176" s="2">
        <f>SUM(OSRRefD22_4x_0)</f>
        <v>15412.52</v>
      </c>
      <c r="E176" s="2"/>
      <c r="F176" s="6">
        <f t="shared" si="28"/>
        <v>1.2913975431194673E-2</v>
      </c>
      <c r="G176" s="2"/>
      <c r="H176" s="2">
        <f>SUM(OSRRefH22_4x_0)</f>
        <v>5310.85</v>
      </c>
      <c r="I176" s="2"/>
      <c r="J176" s="6">
        <f t="shared" si="29"/>
        <v>6.3097185062522456E-3</v>
      </c>
      <c r="K176" s="2"/>
      <c r="L176" s="2">
        <f t="shared" si="30"/>
        <v>10101.67</v>
      </c>
      <c r="M176" s="2"/>
      <c r="N176" s="6">
        <f t="shared" si="31"/>
        <v>1.9020815876931187</v>
      </c>
      <c r="O176" s="14"/>
      <c r="P176" s="2">
        <f>SUM(OSRRefP22_4x_0)</f>
        <v>126779.94</v>
      </c>
      <c r="Q176" s="2"/>
      <c r="R176" s="6">
        <f t="shared" si="32"/>
        <v>1.4518702316810819E-2</v>
      </c>
      <c r="S176" s="2"/>
      <c r="T176" s="2">
        <f>SUM(OSRRefT22_4x_0)</f>
        <v>74635.86</v>
      </c>
      <c r="U176" s="2"/>
      <c r="V176" s="6">
        <f t="shared" si="33"/>
        <v>1.0474586090977683E-2</v>
      </c>
      <c r="W176" s="2"/>
      <c r="X176" s="2">
        <f t="shared" si="34"/>
        <v>52144.08</v>
      </c>
      <c r="Y176" s="2"/>
      <c r="Z176" s="6">
        <f t="shared" si="35"/>
        <v>0.69864646833305066</v>
      </c>
    </row>
    <row r="177" spans="1:26" s="69" customFormat="1" ht="15" hidden="1" customHeight="1" outlineLevel="2" x14ac:dyDescent="0.3">
      <c r="A177" s="26"/>
      <c r="B177" s="12" t="str">
        <f>CONCATENATE("          ","6381"," - ","BANK/CREDIT CARD FEES")</f>
        <v xml:space="preserve">          6381 - BANK/CREDIT CARD FEES</v>
      </c>
      <c r="C177" s="12"/>
      <c r="D177" s="8">
        <v>15412.52</v>
      </c>
      <c r="E177" s="3"/>
      <c r="F177" s="7">
        <f t="shared" si="28"/>
        <v>1.2913975431194673E-2</v>
      </c>
      <c r="G177" s="3"/>
      <c r="H177" s="8">
        <v>5310.85</v>
      </c>
      <c r="I177" s="3"/>
      <c r="J177" s="7">
        <f t="shared" si="29"/>
        <v>6.3097185062522456E-3</v>
      </c>
      <c r="K177" s="3"/>
      <c r="L177" s="8">
        <f t="shared" si="30"/>
        <v>10101.67</v>
      </c>
      <c r="M177" s="3"/>
      <c r="N177" s="7">
        <f t="shared" si="31"/>
        <v>1.9020815876931187</v>
      </c>
      <c r="O177" s="12"/>
      <c r="P177" s="8">
        <v>126779.94</v>
      </c>
      <c r="Q177" s="3"/>
      <c r="R177" s="7">
        <f t="shared" si="32"/>
        <v>1.4518702316810819E-2</v>
      </c>
      <c r="S177" s="3"/>
      <c r="T177" s="8">
        <v>74635.86</v>
      </c>
      <c r="U177" s="3"/>
      <c r="V177" s="7">
        <f t="shared" si="33"/>
        <v>1.0474586090977683E-2</v>
      </c>
      <c r="W177" s="3"/>
      <c r="X177" s="8">
        <f t="shared" si="34"/>
        <v>52144.08</v>
      </c>
      <c r="Y177" s="3"/>
      <c r="Z177" s="7">
        <f t="shared" si="35"/>
        <v>0.69864646833305066</v>
      </c>
    </row>
    <row r="178" spans="1:26" s="68" customFormat="1" ht="15" customHeight="1" outlineLevel="1" collapsed="1" x14ac:dyDescent="0.3">
      <c r="A178" s="25"/>
      <c r="B178" s="14" t="str">
        <f>CONCATENATE("     ","Depreciation                                      ")</f>
        <v xml:space="preserve">     Depreciation                                      </v>
      </c>
      <c r="C178" s="14"/>
      <c r="D178" s="2">
        <f>SUM(OSRRefD22_5x_0)</f>
        <v>16660.489999999998</v>
      </c>
      <c r="E178" s="2"/>
      <c r="F178" s="6">
        <f t="shared" si="28"/>
        <v>1.3959635318018372E-2</v>
      </c>
      <c r="G178" s="2"/>
      <c r="H178" s="2">
        <f>SUM(OSRRefH22_5x_0)</f>
        <v>31016.29</v>
      </c>
      <c r="I178" s="2"/>
      <c r="J178" s="6">
        <f t="shared" si="29"/>
        <v>3.6849856239262346E-2</v>
      </c>
      <c r="K178" s="2"/>
      <c r="L178" s="2">
        <f t="shared" si="30"/>
        <v>-14355.800000000003</v>
      </c>
      <c r="M178" s="2"/>
      <c r="N178" s="6">
        <f t="shared" si="31"/>
        <v>-0.46284710389282541</v>
      </c>
      <c r="O178" s="14"/>
      <c r="P178" s="2">
        <f>SUM(OSRRefP22_5x_0)</f>
        <v>286621.02</v>
      </c>
      <c r="Q178" s="2"/>
      <c r="R178" s="6">
        <f t="shared" si="32"/>
        <v>3.2823530813476332E-2</v>
      </c>
      <c r="S178" s="2"/>
      <c r="T178" s="2">
        <f>SUM(OSRRefT22_5x_0)</f>
        <v>310458.39</v>
      </c>
      <c r="U178" s="2"/>
      <c r="V178" s="6">
        <f t="shared" si="33"/>
        <v>4.3570518698670117E-2</v>
      </c>
      <c r="W178" s="2"/>
      <c r="X178" s="2">
        <f t="shared" si="34"/>
        <v>-23837.369999999995</v>
      </c>
      <c r="Y178" s="2"/>
      <c r="Z178" s="6">
        <f t="shared" si="35"/>
        <v>-7.6781207298021459E-2</v>
      </c>
    </row>
    <row r="179" spans="1:26" s="69" customFormat="1" ht="15" hidden="1" customHeight="1" outlineLevel="2" x14ac:dyDescent="0.3">
      <c r="A179" s="26"/>
      <c r="B179" s="12" t="str">
        <f>CONCATENATE("          ","6321"," - ","BUILDING DEPRECIATION")</f>
        <v xml:space="preserve">          6321 - BUILDING DEPRECIATION</v>
      </c>
      <c r="C179" s="12"/>
      <c r="D179" s="8">
        <v>13321.71</v>
      </c>
      <c r="E179" s="3"/>
      <c r="F179" s="7">
        <f t="shared" si="28"/>
        <v>1.1162109482518133E-2</v>
      </c>
      <c r="G179" s="3"/>
      <c r="H179" s="8">
        <v>16396.52</v>
      </c>
      <c r="I179" s="3"/>
      <c r="J179" s="7">
        <f t="shared" si="29"/>
        <v>1.9480389331676673E-2</v>
      </c>
      <c r="K179" s="3"/>
      <c r="L179" s="8">
        <f t="shared" si="30"/>
        <v>-3074.8100000000013</v>
      </c>
      <c r="M179" s="3"/>
      <c r="N179" s="7">
        <f t="shared" si="31"/>
        <v>-0.18752820720494356</v>
      </c>
      <c r="O179" s="12"/>
      <c r="P179" s="8">
        <v>152475.84</v>
      </c>
      <c r="Q179" s="3"/>
      <c r="R179" s="7">
        <f t="shared" si="32"/>
        <v>1.746136913667632E-2</v>
      </c>
      <c r="S179" s="3"/>
      <c r="T179" s="8">
        <v>163965.20000000001</v>
      </c>
      <c r="U179" s="3"/>
      <c r="V179" s="7">
        <f t="shared" si="33"/>
        <v>2.3011292471532774E-2</v>
      </c>
      <c r="W179" s="3"/>
      <c r="X179" s="8">
        <f t="shared" si="34"/>
        <v>-11489.360000000015</v>
      </c>
      <c r="Y179" s="3"/>
      <c r="Z179" s="7">
        <f t="shared" si="35"/>
        <v>-7.007194209503001E-2</v>
      </c>
    </row>
    <row r="180" spans="1:26" s="69" customFormat="1" ht="15" hidden="1" customHeight="1" outlineLevel="2" x14ac:dyDescent="0.3">
      <c r="A180" s="26"/>
      <c r="B180" s="12" t="str">
        <f>CONCATENATE("          ","6322"," - ","EQUIPMENT DEPRECIATION EXPENSE")</f>
        <v xml:space="preserve">          6322 - EQUIPMENT DEPRECIATION EXPENSE</v>
      </c>
      <c r="C180" s="12"/>
      <c r="D180" s="8">
        <v>3338.78</v>
      </c>
      <c r="E180" s="3"/>
      <c r="F180" s="7">
        <f t="shared" si="28"/>
        <v>2.7975258355002397E-3</v>
      </c>
      <c r="G180" s="3"/>
      <c r="H180" s="8">
        <v>14619.77</v>
      </c>
      <c r="I180" s="3"/>
      <c r="J180" s="7">
        <f t="shared" si="29"/>
        <v>1.7369466907585677E-2</v>
      </c>
      <c r="K180" s="3"/>
      <c r="L180" s="8">
        <f t="shared" si="30"/>
        <v>-11280.99</v>
      </c>
      <c r="M180" s="3"/>
      <c r="N180" s="7">
        <f t="shared" si="31"/>
        <v>-0.77162568220977479</v>
      </c>
      <c r="O180" s="12"/>
      <c r="P180" s="8">
        <v>134145.18</v>
      </c>
      <c r="Q180" s="3"/>
      <c r="R180" s="7">
        <f t="shared" si="32"/>
        <v>1.5362161676800006E-2</v>
      </c>
      <c r="S180" s="3"/>
      <c r="T180" s="8">
        <v>146493.19</v>
      </c>
      <c r="U180" s="3"/>
      <c r="V180" s="7">
        <f t="shared" si="33"/>
        <v>2.0559226227137344E-2</v>
      </c>
      <c r="W180" s="3"/>
      <c r="X180" s="8">
        <f t="shared" si="34"/>
        <v>-12348.010000000009</v>
      </c>
      <c r="Y180" s="3"/>
      <c r="Z180" s="7">
        <f t="shared" si="35"/>
        <v>-8.4290675901043652E-2</v>
      </c>
    </row>
    <row r="181" spans="1:26" s="68" customFormat="1" ht="15" customHeight="1" outlineLevel="1" collapsed="1" x14ac:dyDescent="0.3">
      <c r="A181" s="25"/>
      <c r="B181" s="14" t="str">
        <f>CONCATENATE("     ","Discounts and Markdowns                           ")</f>
        <v xml:space="preserve">     Discounts and Markdowns                           </v>
      </c>
      <c r="C181" s="14"/>
      <c r="D181" s="2">
        <f>SUM(OSRRefD22_6x_0)</f>
        <v>-50.18</v>
      </c>
      <c r="E181" s="2"/>
      <c r="F181" s="6">
        <f t="shared" si="28"/>
        <v>-4.2045251985875682E-5</v>
      </c>
      <c r="G181" s="2"/>
      <c r="H181" s="2">
        <f>SUM(OSRRefH22_6x_0)</f>
        <v>-15.43</v>
      </c>
      <c r="I181" s="2"/>
      <c r="J181" s="6">
        <f t="shared" si="29"/>
        <v>-1.8332085551554298E-5</v>
      </c>
      <c r="K181" s="2"/>
      <c r="L181" s="2">
        <f t="shared" si="30"/>
        <v>-34.75</v>
      </c>
      <c r="M181" s="2"/>
      <c r="N181" s="6">
        <f t="shared" si="31"/>
        <v>2.2521062864549579</v>
      </c>
      <c r="O181" s="14"/>
      <c r="P181" s="2">
        <f>SUM(OSRRefP22_6x_0)</f>
        <v>2006.6499999999999</v>
      </c>
      <c r="Q181" s="2"/>
      <c r="R181" s="6">
        <f t="shared" si="32"/>
        <v>2.2979939889566464E-4</v>
      </c>
      <c r="S181" s="2"/>
      <c r="T181" s="2">
        <f>SUM(OSRRefT22_6x_0)</f>
        <v>-15.43</v>
      </c>
      <c r="U181" s="2"/>
      <c r="V181" s="6">
        <f t="shared" si="33"/>
        <v>-2.1654853763832246E-6</v>
      </c>
      <c r="W181" s="2"/>
      <c r="X181" s="2">
        <f t="shared" si="34"/>
        <v>2022.08</v>
      </c>
      <c r="Y181" s="2"/>
      <c r="Z181" s="6">
        <f t="shared" si="35"/>
        <v>-131.04860661049904</v>
      </c>
    </row>
    <row r="182" spans="1:26" s="69" customFormat="1" ht="15" hidden="1" customHeight="1" outlineLevel="2" x14ac:dyDescent="0.3">
      <c r="A182" s="26"/>
      <c r="B182" s="12" t="str">
        <f>CONCATENATE("          ","6382"," - ","DISCOUNTS/MARK DOWNS")</f>
        <v xml:space="preserve">          6382 - DISCOUNTS/MARK DOWNS</v>
      </c>
      <c r="C182" s="12"/>
      <c r="D182" s="8"/>
      <c r="E182" s="3"/>
      <c r="F182" s="7">
        <f t="shared" si="28"/>
        <v>0</v>
      </c>
      <c r="G182" s="3"/>
      <c r="H182" s="8">
        <v>0</v>
      </c>
      <c r="I182" s="3"/>
      <c r="J182" s="7">
        <f t="shared" si="29"/>
        <v>0</v>
      </c>
      <c r="K182" s="3"/>
      <c r="L182" s="8">
        <f t="shared" si="30"/>
        <v>0</v>
      </c>
      <c r="M182" s="3"/>
      <c r="N182" s="7">
        <f t="shared" si="31"/>
        <v>0</v>
      </c>
      <c r="O182" s="12"/>
      <c r="P182" s="8">
        <v>2171.35</v>
      </c>
      <c r="Q182" s="3"/>
      <c r="R182" s="7">
        <f t="shared" si="32"/>
        <v>2.4866066568265586E-4</v>
      </c>
      <c r="S182" s="3"/>
      <c r="T182" s="8">
        <v>0</v>
      </c>
      <c r="U182" s="3"/>
      <c r="V182" s="7">
        <f t="shared" si="33"/>
        <v>0</v>
      </c>
      <c r="W182" s="3"/>
      <c r="X182" s="8">
        <f t="shared" si="34"/>
        <v>2171.35</v>
      </c>
      <c r="Y182" s="3"/>
      <c r="Z182" s="7">
        <f t="shared" si="35"/>
        <v>0</v>
      </c>
    </row>
    <row r="183" spans="1:26" s="69" customFormat="1" ht="15" hidden="1" customHeight="1" outlineLevel="2" x14ac:dyDescent="0.3">
      <c r="A183" s="26"/>
      <c r="B183" s="12" t="str">
        <f>CONCATENATE("          ","9175"," - ","EARNED DISCOUNTS")</f>
        <v xml:space="preserve">          9175 - EARNED DISCOUNTS</v>
      </c>
      <c r="C183" s="12"/>
      <c r="D183" s="8">
        <v>-50.18</v>
      </c>
      <c r="E183" s="3"/>
      <c r="F183" s="7">
        <f t="shared" ref="F183:F214" si="36">IF(D$12=0,0,D183/D$12)</f>
        <v>-4.2045251985875682E-5</v>
      </c>
      <c r="G183" s="3"/>
      <c r="H183" s="8">
        <v>-15.43</v>
      </c>
      <c r="I183" s="3"/>
      <c r="J183" s="7">
        <f t="shared" ref="J183:J214" si="37">IF(H$12=0,0,H183/H$12)</f>
        <v>-1.8332085551554298E-5</v>
      </c>
      <c r="K183" s="3"/>
      <c r="L183" s="8">
        <f t="shared" ref="L183:L214" si="38">+D183-H183</f>
        <v>-34.75</v>
      </c>
      <c r="M183" s="3"/>
      <c r="N183" s="7">
        <f t="shared" ref="N183:N214" si="39">IF(H183=0,0,L183/H183)</f>
        <v>2.2521062864549579</v>
      </c>
      <c r="O183" s="12"/>
      <c r="P183" s="8">
        <v>-164.7</v>
      </c>
      <c r="Q183" s="3"/>
      <c r="R183" s="7">
        <f t="shared" ref="R183:R214" si="40">IF(P$12=0,0,P183/P$12)</f>
        <v>-1.8861266786991236E-5</v>
      </c>
      <c r="S183" s="3"/>
      <c r="T183" s="8">
        <v>-15.43</v>
      </c>
      <c r="U183" s="3"/>
      <c r="V183" s="7">
        <f t="shared" ref="V183:V214" si="41">IF(T$12=0,0,T183/T$12)</f>
        <v>-2.1654853763832246E-6</v>
      </c>
      <c r="W183" s="3"/>
      <c r="X183" s="8">
        <f t="shared" ref="X183:X214" si="42">+P183-T183</f>
        <v>-149.26999999999998</v>
      </c>
      <c r="Y183" s="3"/>
      <c r="Z183" s="7">
        <f t="shared" ref="Z183:Z214" si="43">IF(T183=0,0,X183/T183)</f>
        <v>9.6740116655865194</v>
      </c>
    </row>
    <row r="184" spans="1:26" s="68" customFormat="1" ht="15" customHeight="1" outlineLevel="1" collapsed="1" x14ac:dyDescent="0.3">
      <c r="A184" s="25"/>
      <c r="B184" s="14" t="str">
        <f>CONCATENATE("     ","Donations                                         ")</f>
        <v xml:space="preserve">     Donations                                         </v>
      </c>
      <c r="C184" s="14"/>
      <c r="D184" s="2">
        <f>SUM(OSRRefD22_7x_0)</f>
        <v>1488.53</v>
      </c>
      <c r="E184" s="2"/>
      <c r="F184" s="6">
        <f t="shared" si="36"/>
        <v>1.2472223782091577E-3</v>
      </c>
      <c r="G184" s="2"/>
      <c r="H184" s="2">
        <f>SUM(OSRRefH22_7x_0)</f>
        <v>360.9</v>
      </c>
      <c r="I184" s="2"/>
      <c r="J184" s="6">
        <f t="shared" si="37"/>
        <v>4.2877833282929005E-4</v>
      </c>
      <c r="K184" s="2"/>
      <c r="L184" s="2">
        <f t="shared" si="38"/>
        <v>1127.6300000000001</v>
      </c>
      <c r="M184" s="2"/>
      <c r="N184" s="6">
        <f t="shared" si="39"/>
        <v>3.1244943197561654</v>
      </c>
      <c r="O184" s="14"/>
      <c r="P184" s="2">
        <f>SUM(OSRRefP22_7x_0)</f>
        <v>7306.8</v>
      </c>
      <c r="Q184" s="2"/>
      <c r="R184" s="6">
        <f t="shared" si="40"/>
        <v>8.3676687406914136E-4</v>
      </c>
      <c r="S184" s="2"/>
      <c r="T184" s="2">
        <f>SUM(OSRRefT22_7x_0)</f>
        <v>360.9</v>
      </c>
      <c r="U184" s="2"/>
      <c r="V184" s="6">
        <f t="shared" si="41"/>
        <v>5.0649622316053509E-5</v>
      </c>
      <c r="W184" s="2"/>
      <c r="X184" s="2">
        <f t="shared" si="42"/>
        <v>6945.9000000000005</v>
      </c>
      <c r="Y184" s="2"/>
      <c r="Z184" s="6">
        <f t="shared" si="43"/>
        <v>19.246051537822115</v>
      </c>
    </row>
    <row r="185" spans="1:26" s="69" customFormat="1" ht="15" hidden="1" customHeight="1" outlineLevel="2" x14ac:dyDescent="0.3">
      <c r="A185" s="26"/>
      <c r="B185" s="12" t="str">
        <f>CONCATENATE("          ","6399"," - ","DONATION-ON CAMPUS")</f>
        <v xml:space="preserve">          6399 - DONATION-ON CAMPUS</v>
      </c>
      <c r="C185" s="12"/>
      <c r="D185" s="8">
        <v>1488.53</v>
      </c>
      <c r="E185" s="3"/>
      <c r="F185" s="7">
        <f t="shared" si="36"/>
        <v>1.2472223782091577E-3</v>
      </c>
      <c r="G185" s="3"/>
      <c r="H185" s="8">
        <v>360.9</v>
      </c>
      <c r="I185" s="3"/>
      <c r="J185" s="7">
        <f t="shared" si="37"/>
        <v>4.2877833282929005E-4</v>
      </c>
      <c r="K185" s="3"/>
      <c r="L185" s="8">
        <f t="shared" si="38"/>
        <v>1127.6300000000001</v>
      </c>
      <c r="M185" s="3"/>
      <c r="N185" s="7">
        <f t="shared" si="39"/>
        <v>3.1244943197561654</v>
      </c>
      <c r="O185" s="12"/>
      <c r="P185" s="8">
        <v>7306.8</v>
      </c>
      <c r="Q185" s="3"/>
      <c r="R185" s="7">
        <f t="shared" si="40"/>
        <v>8.3676687406914136E-4</v>
      </c>
      <c r="S185" s="3"/>
      <c r="T185" s="8">
        <v>360.9</v>
      </c>
      <c r="U185" s="3"/>
      <c r="V185" s="7">
        <f t="shared" si="41"/>
        <v>5.0649622316053509E-5</v>
      </c>
      <c r="W185" s="3"/>
      <c r="X185" s="8">
        <f t="shared" si="42"/>
        <v>6945.9000000000005</v>
      </c>
      <c r="Y185" s="3"/>
      <c r="Z185" s="7">
        <f t="shared" si="43"/>
        <v>19.246051537822115</v>
      </c>
    </row>
    <row r="186" spans="1:26" s="68" customFormat="1" ht="15" customHeight="1" outlineLevel="1" collapsed="1" x14ac:dyDescent="0.3">
      <c r="A186" s="25"/>
      <c r="B186" s="14" t="str">
        <f>CONCATENATE("     ","Employees' Appreciation                           ")</f>
        <v xml:space="preserve">     Employees' Appreciation                           </v>
      </c>
      <c r="C186" s="14"/>
      <c r="D186" s="2">
        <f>SUM(OSRRefD22_8x_0)</f>
        <v>0</v>
      </c>
      <c r="E186" s="2"/>
      <c r="F186" s="6">
        <f t="shared" si="36"/>
        <v>0</v>
      </c>
      <c r="G186" s="2"/>
      <c r="H186" s="2">
        <f>SUM(OSRRefH22_8x_0)</f>
        <v>0</v>
      </c>
      <c r="I186" s="2"/>
      <c r="J186" s="6">
        <f t="shared" si="37"/>
        <v>0</v>
      </c>
      <c r="K186" s="2"/>
      <c r="L186" s="2">
        <f t="shared" si="38"/>
        <v>0</v>
      </c>
      <c r="M186" s="2"/>
      <c r="N186" s="6">
        <f t="shared" si="39"/>
        <v>0</v>
      </c>
      <c r="O186" s="14"/>
      <c r="P186" s="2">
        <f>SUM(OSRRefP22_8x_0)</f>
        <v>4319.88</v>
      </c>
      <c r="Q186" s="2"/>
      <c r="R186" s="6">
        <f t="shared" si="40"/>
        <v>4.9470800951905108E-4</v>
      </c>
      <c r="S186" s="2"/>
      <c r="T186" s="2">
        <f>SUM(OSRRefT22_8x_0)</f>
        <v>186.03</v>
      </c>
      <c r="U186" s="2"/>
      <c r="V186" s="6">
        <f t="shared" si="41"/>
        <v>2.6107922525506885E-5</v>
      </c>
      <c r="W186" s="2"/>
      <c r="X186" s="2">
        <f t="shared" si="42"/>
        <v>4133.8500000000004</v>
      </c>
      <c r="Y186" s="2"/>
      <c r="Z186" s="6">
        <f t="shared" si="43"/>
        <v>22.221415900661185</v>
      </c>
    </row>
    <row r="187" spans="1:26" s="69" customFormat="1" ht="15" hidden="1" customHeight="1" outlineLevel="2" x14ac:dyDescent="0.3">
      <c r="A187" s="26"/>
      <c r="B187" s="12" t="str">
        <f>CONCATENATE("          ","6277"," - ","EMPLOYEE APPRECIATION")</f>
        <v xml:space="preserve">          6277 - EMPLOYEE APPRECIATION</v>
      </c>
      <c r="C187" s="12"/>
      <c r="D187" s="8"/>
      <c r="E187" s="3"/>
      <c r="F187" s="7">
        <f t="shared" si="36"/>
        <v>0</v>
      </c>
      <c r="G187" s="3"/>
      <c r="H187" s="8"/>
      <c r="I187" s="3"/>
      <c r="J187" s="7">
        <f t="shared" si="37"/>
        <v>0</v>
      </c>
      <c r="K187" s="3"/>
      <c r="L187" s="8">
        <f t="shared" si="38"/>
        <v>0</v>
      </c>
      <c r="M187" s="3"/>
      <c r="N187" s="7">
        <f t="shared" si="39"/>
        <v>0</v>
      </c>
      <c r="O187" s="12"/>
      <c r="P187" s="8">
        <v>4319.88</v>
      </c>
      <c r="Q187" s="3"/>
      <c r="R187" s="7">
        <f t="shared" si="40"/>
        <v>4.9470800951905108E-4</v>
      </c>
      <c r="S187" s="3"/>
      <c r="T187" s="8">
        <v>186.03</v>
      </c>
      <c r="U187" s="3"/>
      <c r="V187" s="7">
        <f t="shared" si="41"/>
        <v>2.6107922525506885E-5</v>
      </c>
      <c r="W187" s="3"/>
      <c r="X187" s="8">
        <f t="shared" si="42"/>
        <v>4133.8500000000004</v>
      </c>
      <c r="Y187" s="3"/>
      <c r="Z187" s="7">
        <f t="shared" si="43"/>
        <v>22.221415900661185</v>
      </c>
    </row>
    <row r="188" spans="1:26" s="68" customFormat="1" ht="15" customHeight="1" outlineLevel="1" collapsed="1" x14ac:dyDescent="0.3">
      <c r="A188" s="25"/>
      <c r="B188" s="14" t="str">
        <f>CONCATENATE("     ","Equipment Rental                                  ")</f>
        <v xml:space="preserve">     Equipment Rental                                  </v>
      </c>
      <c r="C188" s="14"/>
      <c r="D188" s="2">
        <f>SUM(OSRRefD22_9x_0)</f>
        <v>1388.16</v>
      </c>
      <c r="E188" s="2"/>
      <c r="F188" s="6">
        <f t="shared" si="36"/>
        <v>1.1631234953510003E-3</v>
      </c>
      <c r="G188" s="2"/>
      <c r="H188" s="2">
        <f>SUM(OSRRefH22_9x_0)</f>
        <v>1388.16</v>
      </c>
      <c r="I188" s="2"/>
      <c r="J188" s="6">
        <f t="shared" si="37"/>
        <v>1.6492461360496187E-3</v>
      </c>
      <c r="K188" s="2"/>
      <c r="L188" s="2">
        <f t="shared" si="38"/>
        <v>0</v>
      </c>
      <c r="M188" s="2"/>
      <c r="N188" s="6">
        <f t="shared" si="39"/>
        <v>0</v>
      </c>
      <c r="O188" s="14"/>
      <c r="P188" s="2">
        <f>SUM(OSRRefP22_9x_0)</f>
        <v>15798.31</v>
      </c>
      <c r="Q188" s="2"/>
      <c r="R188" s="6">
        <f t="shared" si="40"/>
        <v>1.8092054626204707E-3</v>
      </c>
      <c r="S188" s="2"/>
      <c r="T188" s="2">
        <f>SUM(OSRRefT22_9x_0)</f>
        <v>14834.17</v>
      </c>
      <c r="U188" s="2"/>
      <c r="V188" s="6">
        <f t="shared" si="41"/>
        <v>2.0818650813857901E-3</v>
      </c>
      <c r="W188" s="2"/>
      <c r="X188" s="2">
        <f t="shared" si="42"/>
        <v>964.13999999999942</v>
      </c>
      <c r="Y188" s="2"/>
      <c r="Z188" s="6">
        <f t="shared" si="43"/>
        <v>6.4994536263235453E-2</v>
      </c>
    </row>
    <row r="189" spans="1:26" s="69" customFormat="1" ht="15" hidden="1" customHeight="1" outlineLevel="2" x14ac:dyDescent="0.3">
      <c r="A189" s="26"/>
      <c r="B189" s="12" t="str">
        <f>CONCATENATE("          ","6351"," - ","EQUIPMENT RENTAL")</f>
        <v xml:space="preserve">          6351 - EQUIPMENT RENTAL</v>
      </c>
      <c r="C189" s="12"/>
      <c r="D189" s="8">
        <v>1388.16</v>
      </c>
      <c r="E189" s="3"/>
      <c r="F189" s="7">
        <f t="shared" si="36"/>
        <v>1.1631234953510003E-3</v>
      </c>
      <c r="G189" s="3"/>
      <c r="H189" s="8">
        <v>1388.16</v>
      </c>
      <c r="I189" s="3"/>
      <c r="J189" s="7">
        <f t="shared" si="37"/>
        <v>1.6492461360496187E-3</v>
      </c>
      <c r="K189" s="3"/>
      <c r="L189" s="8">
        <f t="shared" si="38"/>
        <v>0</v>
      </c>
      <c r="M189" s="3"/>
      <c r="N189" s="7">
        <f t="shared" si="39"/>
        <v>0</v>
      </c>
      <c r="O189" s="12"/>
      <c r="P189" s="8">
        <v>15798.31</v>
      </c>
      <c r="Q189" s="3"/>
      <c r="R189" s="7">
        <f t="shared" si="40"/>
        <v>1.8092054626204707E-3</v>
      </c>
      <c r="S189" s="3"/>
      <c r="T189" s="8">
        <v>14834.17</v>
      </c>
      <c r="U189" s="3"/>
      <c r="V189" s="7">
        <f t="shared" si="41"/>
        <v>2.0818650813857901E-3</v>
      </c>
      <c r="W189" s="3"/>
      <c r="X189" s="8">
        <f t="shared" si="42"/>
        <v>964.13999999999942</v>
      </c>
      <c r="Y189" s="3"/>
      <c r="Z189" s="7">
        <f t="shared" si="43"/>
        <v>6.4994536263235453E-2</v>
      </c>
    </row>
    <row r="190" spans="1:26" s="68" customFormat="1" ht="15" customHeight="1" outlineLevel="1" collapsed="1" x14ac:dyDescent="0.3">
      <c r="A190" s="25"/>
      <c r="B190" s="14" t="str">
        <f>CONCATENATE("     ","Freight out/Postage                               ")</f>
        <v xml:space="preserve">     Freight out/Postage                               </v>
      </c>
      <c r="C190" s="14"/>
      <c r="D190" s="2">
        <f>SUM(OSRRefD22_10x_0)</f>
        <v>750.14999999999964</v>
      </c>
      <c r="E190" s="2"/>
      <c r="F190" s="6">
        <f t="shared" si="36"/>
        <v>6.2854216375457614E-4</v>
      </c>
      <c r="G190" s="2"/>
      <c r="H190" s="2">
        <f>SUM(OSRRefH22_10x_0)</f>
        <v>-12487.910000000003</v>
      </c>
      <c r="I190" s="2"/>
      <c r="J190" s="6">
        <f t="shared" si="37"/>
        <v>-1.4836645138049935E-2</v>
      </c>
      <c r="K190" s="2"/>
      <c r="L190" s="2">
        <f t="shared" si="38"/>
        <v>13238.060000000003</v>
      </c>
      <c r="M190" s="2"/>
      <c r="N190" s="6">
        <f t="shared" si="39"/>
        <v>-1.060070099800527</v>
      </c>
      <c r="O190" s="14"/>
      <c r="P190" s="2">
        <f>SUM(OSRRefP22_10x_0)</f>
        <v>-43856.459999999992</v>
      </c>
      <c r="Q190" s="2"/>
      <c r="R190" s="6">
        <f t="shared" si="40"/>
        <v>-5.0223946107650855E-3</v>
      </c>
      <c r="S190" s="2"/>
      <c r="T190" s="2">
        <f>SUM(OSRRefT22_10x_0)</f>
        <v>-45380.26999999999</v>
      </c>
      <c r="U190" s="2"/>
      <c r="V190" s="6">
        <f t="shared" si="41"/>
        <v>-6.3687823111680062E-3</v>
      </c>
      <c r="W190" s="2"/>
      <c r="X190" s="2">
        <f t="shared" si="42"/>
        <v>1523.8099999999977</v>
      </c>
      <c r="Y190" s="2"/>
      <c r="Z190" s="6">
        <f t="shared" si="43"/>
        <v>-3.357868959351714E-2</v>
      </c>
    </row>
    <row r="191" spans="1:26" s="69" customFormat="1" ht="15" hidden="1" customHeight="1" outlineLevel="2" x14ac:dyDescent="0.3">
      <c r="A191" s="26"/>
      <c r="B191" s="12" t="str">
        <f>CONCATENATE("          ","6305"," - ","FREIGHT OUT")</f>
        <v xml:space="preserve">          6305 - FREIGHT OUT</v>
      </c>
      <c r="C191" s="12"/>
      <c r="D191" s="8">
        <v>14219.32</v>
      </c>
      <c r="E191" s="3"/>
      <c r="F191" s="7">
        <f t="shared" si="36"/>
        <v>1.1914206705217254E-2</v>
      </c>
      <c r="G191" s="3"/>
      <c r="H191" s="8">
        <v>22694.03</v>
      </c>
      <c r="I191" s="3"/>
      <c r="J191" s="7">
        <f t="shared" si="37"/>
        <v>2.6962339563806854E-2</v>
      </c>
      <c r="K191" s="3"/>
      <c r="L191" s="8">
        <f t="shared" si="38"/>
        <v>-8474.7099999999991</v>
      </c>
      <c r="M191" s="3"/>
      <c r="N191" s="7">
        <f t="shared" si="39"/>
        <v>-0.37343345364397595</v>
      </c>
      <c r="O191" s="12"/>
      <c r="P191" s="8">
        <v>126459.31</v>
      </c>
      <c r="Q191" s="3"/>
      <c r="R191" s="7">
        <f t="shared" si="40"/>
        <v>1.4481984114200539E-2</v>
      </c>
      <c r="S191" s="3"/>
      <c r="T191" s="8">
        <v>203529.51</v>
      </c>
      <c r="U191" s="3"/>
      <c r="V191" s="7">
        <f t="shared" si="41"/>
        <v>2.8563848189724128E-2</v>
      </c>
      <c r="W191" s="3"/>
      <c r="X191" s="8">
        <f t="shared" si="42"/>
        <v>-77070.200000000012</v>
      </c>
      <c r="Y191" s="3"/>
      <c r="Z191" s="7">
        <f t="shared" si="43"/>
        <v>-0.37866842994905264</v>
      </c>
    </row>
    <row r="192" spans="1:26" s="69" customFormat="1" ht="15" hidden="1" customHeight="1" outlineLevel="2" x14ac:dyDescent="0.3">
      <c r="A192" s="26"/>
      <c r="B192" s="12" t="str">
        <f>CONCATENATE("          ","6307"," - ","POSTAGE")</f>
        <v xml:space="preserve">          6307 - POSTAGE</v>
      </c>
      <c r="C192" s="12"/>
      <c r="D192" s="8">
        <v>-13469.17</v>
      </c>
      <c r="E192" s="3"/>
      <c r="F192" s="7">
        <f t="shared" si="36"/>
        <v>-1.1285664541462679E-2</v>
      </c>
      <c r="G192" s="3"/>
      <c r="H192" s="8">
        <v>-35181.94</v>
      </c>
      <c r="I192" s="3"/>
      <c r="J192" s="7">
        <f t="shared" si="37"/>
        <v>-4.1798984701856785E-2</v>
      </c>
      <c r="K192" s="3"/>
      <c r="L192" s="8">
        <f t="shared" si="38"/>
        <v>21712.770000000004</v>
      </c>
      <c r="M192" s="3"/>
      <c r="N192" s="7">
        <f t="shared" si="39"/>
        <v>-0.6171567002842937</v>
      </c>
      <c r="O192" s="12"/>
      <c r="P192" s="8">
        <v>-170315.77</v>
      </c>
      <c r="Q192" s="3"/>
      <c r="R192" s="7">
        <f t="shared" si="40"/>
        <v>-1.9504378724965625E-2</v>
      </c>
      <c r="S192" s="3"/>
      <c r="T192" s="8">
        <v>-248909.78</v>
      </c>
      <c r="U192" s="3"/>
      <c r="V192" s="7">
        <f t="shared" si="41"/>
        <v>-3.4932630500892133E-2</v>
      </c>
      <c r="W192" s="3"/>
      <c r="X192" s="8">
        <f t="shared" si="42"/>
        <v>78594.010000000009</v>
      </c>
      <c r="Y192" s="3"/>
      <c r="Z192" s="7">
        <f t="shared" si="43"/>
        <v>-0.31575300094676878</v>
      </c>
    </row>
    <row r="193" spans="1:26" s="68" customFormat="1" ht="15" customHeight="1" outlineLevel="1" collapsed="1" x14ac:dyDescent="0.3">
      <c r="A193" s="25"/>
      <c r="B193" s="14" t="str">
        <f>CONCATENATE("     ","General                                           ")</f>
        <v xml:space="preserve">     General                                           </v>
      </c>
      <c r="C193" s="14"/>
      <c r="D193" s="2">
        <f>SUM(OSRRefD22_11x_0)</f>
        <v>778.61</v>
      </c>
      <c r="E193" s="2"/>
      <c r="F193" s="6">
        <f t="shared" si="36"/>
        <v>6.5238847446637445E-4</v>
      </c>
      <c r="G193" s="2"/>
      <c r="H193" s="2">
        <f>SUM(OSRRefH22_11x_0)</f>
        <v>93.84</v>
      </c>
      <c r="I193" s="2"/>
      <c r="J193" s="6">
        <f t="shared" si="37"/>
        <v>1.1148949501995174E-4</v>
      </c>
      <c r="K193" s="2"/>
      <c r="L193" s="2">
        <f t="shared" si="38"/>
        <v>684.77</v>
      </c>
      <c r="M193" s="2"/>
      <c r="N193" s="6">
        <f t="shared" si="39"/>
        <v>7.2972080136402386</v>
      </c>
      <c r="O193" s="14"/>
      <c r="P193" s="2">
        <f>SUM(OSRRefP22_11x_0)</f>
        <v>6725.06</v>
      </c>
      <c r="Q193" s="2"/>
      <c r="R193" s="6">
        <f t="shared" si="40"/>
        <v>7.7014663520657742E-4</v>
      </c>
      <c r="S193" s="2"/>
      <c r="T193" s="2">
        <f>SUM(OSRRefT22_11x_0)</f>
        <v>2573.48</v>
      </c>
      <c r="U193" s="2"/>
      <c r="V193" s="6">
        <f t="shared" si="41"/>
        <v>3.6116871720121198E-4</v>
      </c>
      <c r="W193" s="2"/>
      <c r="X193" s="2">
        <f t="shared" si="42"/>
        <v>4151.58</v>
      </c>
      <c r="Y193" s="2"/>
      <c r="Z193" s="6">
        <f t="shared" si="43"/>
        <v>1.6132163451823989</v>
      </c>
    </row>
    <row r="194" spans="1:26" s="69" customFormat="1" ht="15" hidden="1" customHeight="1" outlineLevel="2" x14ac:dyDescent="0.3">
      <c r="A194" s="26"/>
      <c r="B194" s="12" t="str">
        <f>CONCATENATE("          ","6279"," - ","GENERAL EXPENSE")</f>
        <v xml:space="preserve">          6279 - GENERAL EXPENSE</v>
      </c>
      <c r="C194" s="12"/>
      <c r="D194" s="8">
        <v>778.61</v>
      </c>
      <c r="E194" s="3"/>
      <c r="F194" s="7">
        <f t="shared" si="36"/>
        <v>6.5238847446637445E-4</v>
      </c>
      <c r="G194" s="3"/>
      <c r="H194" s="8">
        <v>93.84</v>
      </c>
      <c r="I194" s="3"/>
      <c r="J194" s="7">
        <f t="shared" si="37"/>
        <v>1.1148949501995174E-4</v>
      </c>
      <c r="K194" s="3"/>
      <c r="L194" s="8">
        <f t="shared" si="38"/>
        <v>684.77</v>
      </c>
      <c r="M194" s="3"/>
      <c r="N194" s="7">
        <f t="shared" si="39"/>
        <v>7.2972080136402386</v>
      </c>
      <c r="O194" s="12"/>
      <c r="P194" s="8">
        <v>6725.06</v>
      </c>
      <c r="Q194" s="3"/>
      <c r="R194" s="7">
        <f t="shared" si="40"/>
        <v>7.7014663520657742E-4</v>
      </c>
      <c r="S194" s="3"/>
      <c r="T194" s="8">
        <v>2573.48</v>
      </c>
      <c r="U194" s="3"/>
      <c r="V194" s="7">
        <f t="shared" si="41"/>
        <v>3.6116871720121198E-4</v>
      </c>
      <c r="W194" s="3"/>
      <c r="X194" s="8">
        <f t="shared" si="42"/>
        <v>4151.58</v>
      </c>
      <c r="Y194" s="3"/>
      <c r="Z194" s="7">
        <f t="shared" si="43"/>
        <v>1.6132163451823989</v>
      </c>
    </row>
    <row r="195" spans="1:26" s="68" customFormat="1" ht="15" customHeight="1" outlineLevel="1" collapsed="1" x14ac:dyDescent="0.3">
      <c r="A195" s="25"/>
      <c r="B195" s="14" t="str">
        <f>CONCATENATE("     ","Insurance                                         ")</f>
        <v xml:space="preserve">     Insurance                                         </v>
      </c>
      <c r="C195" s="14"/>
      <c r="D195" s="2">
        <f>SUM(OSRRefD22_12x_0)</f>
        <v>5494.57</v>
      </c>
      <c r="E195" s="2"/>
      <c r="F195" s="6">
        <f t="shared" si="36"/>
        <v>4.6038377880437019E-3</v>
      </c>
      <c r="G195" s="2"/>
      <c r="H195" s="2">
        <f>SUM(OSRRefH22_12x_0)</f>
        <v>4044.74</v>
      </c>
      <c r="I195" s="2"/>
      <c r="J195" s="6">
        <f t="shared" si="37"/>
        <v>4.8054776224104815E-3</v>
      </c>
      <c r="K195" s="2"/>
      <c r="L195" s="2">
        <f t="shared" si="38"/>
        <v>1449.83</v>
      </c>
      <c r="M195" s="2"/>
      <c r="N195" s="6">
        <f t="shared" si="39"/>
        <v>0.35844825625380122</v>
      </c>
      <c r="O195" s="14"/>
      <c r="P195" s="2">
        <f>SUM(OSRRefP22_12x_0)</f>
        <v>54945.7</v>
      </c>
      <c r="Q195" s="2"/>
      <c r="R195" s="6">
        <f t="shared" si="40"/>
        <v>6.2923224438250422E-3</v>
      </c>
      <c r="S195" s="2"/>
      <c r="T195" s="2">
        <f>SUM(OSRRefT22_12x_0)</f>
        <v>40447.4</v>
      </c>
      <c r="U195" s="2"/>
      <c r="V195" s="6">
        <f t="shared" si="41"/>
        <v>5.6764908109347275E-3</v>
      </c>
      <c r="W195" s="2"/>
      <c r="X195" s="2">
        <f t="shared" si="42"/>
        <v>14498.299999999996</v>
      </c>
      <c r="Y195" s="2"/>
      <c r="Z195" s="6">
        <f t="shared" si="43"/>
        <v>0.35844825625380111</v>
      </c>
    </row>
    <row r="196" spans="1:26" s="69" customFormat="1" ht="15" hidden="1" customHeight="1" outlineLevel="2" x14ac:dyDescent="0.3">
      <c r="A196" s="26"/>
      <c r="B196" s="12" t="str">
        <f>CONCATENATE("          ","6314"," - ","LIABILITY INSURANCE")</f>
        <v xml:space="preserve">          6314 - LIABILITY INSURANCE</v>
      </c>
      <c r="C196" s="12"/>
      <c r="D196" s="8">
        <v>5494.57</v>
      </c>
      <c r="E196" s="3"/>
      <c r="F196" s="7">
        <f t="shared" si="36"/>
        <v>4.6038377880437019E-3</v>
      </c>
      <c r="G196" s="3"/>
      <c r="H196" s="8">
        <v>4044.74</v>
      </c>
      <c r="I196" s="3"/>
      <c r="J196" s="7">
        <f t="shared" si="37"/>
        <v>4.8054776224104815E-3</v>
      </c>
      <c r="K196" s="3"/>
      <c r="L196" s="8">
        <f t="shared" si="38"/>
        <v>1449.83</v>
      </c>
      <c r="M196" s="3"/>
      <c r="N196" s="7">
        <f t="shared" si="39"/>
        <v>0.35844825625380122</v>
      </c>
      <c r="O196" s="12"/>
      <c r="P196" s="8">
        <v>54945.7</v>
      </c>
      <c r="Q196" s="3"/>
      <c r="R196" s="7">
        <f t="shared" si="40"/>
        <v>6.2923224438250422E-3</v>
      </c>
      <c r="S196" s="3"/>
      <c r="T196" s="8">
        <v>40447.4</v>
      </c>
      <c r="U196" s="3"/>
      <c r="V196" s="7">
        <f t="shared" si="41"/>
        <v>5.6764908109347275E-3</v>
      </c>
      <c r="W196" s="3"/>
      <c r="X196" s="8">
        <f t="shared" si="42"/>
        <v>14498.299999999996</v>
      </c>
      <c r="Y196" s="3"/>
      <c r="Z196" s="7">
        <f t="shared" si="43"/>
        <v>0.35844825625380111</v>
      </c>
    </row>
    <row r="197" spans="1:26" s="68" customFormat="1" ht="15" customHeight="1" outlineLevel="1" collapsed="1" x14ac:dyDescent="0.3">
      <c r="A197" s="25"/>
      <c r="B197" s="14" t="str">
        <f>CONCATENATE("     ","Inventory Adjustment                              ")</f>
        <v xml:space="preserve">     Inventory Adjustment                              </v>
      </c>
      <c r="C197" s="14"/>
      <c r="D197" s="2">
        <f>SUM(OSRRefD22_13x_0)</f>
        <v>6200</v>
      </c>
      <c r="E197" s="2"/>
      <c r="F197" s="6">
        <f t="shared" si="36"/>
        <v>5.1949095717901406E-3</v>
      </c>
      <c r="G197" s="2"/>
      <c r="H197" s="2">
        <f>SUM(OSRRefH22_13x_0)</f>
        <v>3350</v>
      </c>
      <c r="I197" s="2"/>
      <c r="J197" s="6">
        <f t="shared" si="37"/>
        <v>3.9800704211086779E-3</v>
      </c>
      <c r="K197" s="2"/>
      <c r="L197" s="2">
        <f t="shared" si="38"/>
        <v>2850</v>
      </c>
      <c r="M197" s="2"/>
      <c r="N197" s="6">
        <f t="shared" si="39"/>
        <v>0.85074626865671643</v>
      </c>
      <c r="O197" s="14"/>
      <c r="P197" s="2">
        <f>SUM(OSRRefP22_13x_0)</f>
        <v>63640</v>
      </c>
      <c r="Q197" s="2"/>
      <c r="R197" s="6">
        <f t="shared" si="40"/>
        <v>7.2879843249794921E-3</v>
      </c>
      <c r="S197" s="2"/>
      <c r="T197" s="2">
        <f>SUM(OSRRefT22_13x_0)</f>
        <v>38500</v>
      </c>
      <c r="U197" s="2"/>
      <c r="V197" s="6">
        <f t="shared" si="41"/>
        <v>5.4031877505349418E-3</v>
      </c>
      <c r="W197" s="2"/>
      <c r="X197" s="2">
        <f t="shared" si="42"/>
        <v>25140</v>
      </c>
      <c r="Y197" s="2"/>
      <c r="Z197" s="6">
        <f t="shared" si="43"/>
        <v>0.652987012987013</v>
      </c>
    </row>
    <row r="198" spans="1:26" s="69" customFormat="1" ht="15" hidden="1" customHeight="1" outlineLevel="2" x14ac:dyDescent="0.3">
      <c r="A198" s="26"/>
      <c r="B198" s="12" t="str">
        <f>CONCATENATE("          ","6408"," - ","INVENTORY ADJUSTMENT")</f>
        <v xml:space="preserve">          6408 - INVENTORY ADJUSTMENT</v>
      </c>
      <c r="C198" s="12"/>
      <c r="D198" s="8">
        <v>6200</v>
      </c>
      <c r="E198" s="3"/>
      <c r="F198" s="7">
        <f t="shared" si="36"/>
        <v>5.1949095717901406E-3</v>
      </c>
      <c r="G198" s="3"/>
      <c r="H198" s="8">
        <v>3350</v>
      </c>
      <c r="I198" s="3"/>
      <c r="J198" s="7">
        <f t="shared" si="37"/>
        <v>3.9800704211086779E-3</v>
      </c>
      <c r="K198" s="3"/>
      <c r="L198" s="8">
        <f t="shared" si="38"/>
        <v>2850</v>
      </c>
      <c r="M198" s="3"/>
      <c r="N198" s="7">
        <f t="shared" si="39"/>
        <v>0.85074626865671643</v>
      </c>
      <c r="O198" s="12"/>
      <c r="P198" s="8">
        <v>63640</v>
      </c>
      <c r="Q198" s="3"/>
      <c r="R198" s="7">
        <f t="shared" si="40"/>
        <v>7.2879843249794921E-3</v>
      </c>
      <c r="S198" s="3"/>
      <c r="T198" s="8">
        <v>38500</v>
      </c>
      <c r="U198" s="3"/>
      <c r="V198" s="7">
        <f t="shared" si="41"/>
        <v>5.4031877505349418E-3</v>
      </c>
      <c r="W198" s="3"/>
      <c r="X198" s="8">
        <f t="shared" si="42"/>
        <v>25140</v>
      </c>
      <c r="Y198" s="3"/>
      <c r="Z198" s="7">
        <f t="shared" si="43"/>
        <v>0.652987012987013</v>
      </c>
    </row>
    <row r="199" spans="1:26" s="69" customFormat="1" ht="15" hidden="1" customHeight="1" outlineLevel="2" x14ac:dyDescent="0.3">
      <c r="A199" s="26"/>
      <c r="B199" s="12" t="str">
        <f>CONCATENATE("          ","7741"," - ","INV. SHRINKAGE-LOGO GIFTS")</f>
        <v xml:space="preserve">          7741 - INV. SHRINKAGE-LOGO GIFTS</v>
      </c>
      <c r="C199" s="12"/>
      <c r="D199" s="8"/>
      <c r="E199" s="3"/>
      <c r="F199" s="7">
        <f t="shared" si="36"/>
        <v>0</v>
      </c>
      <c r="G199" s="3"/>
      <c r="H199" s="8"/>
      <c r="I199" s="3"/>
      <c r="J199" s="7">
        <f t="shared" si="37"/>
        <v>0</v>
      </c>
      <c r="K199" s="3"/>
      <c r="L199" s="8">
        <f t="shared" si="38"/>
        <v>0</v>
      </c>
      <c r="M199" s="3"/>
      <c r="N199" s="7">
        <f t="shared" si="39"/>
        <v>0</v>
      </c>
      <c r="O199" s="12"/>
      <c r="P199" s="8"/>
      <c r="Q199" s="3"/>
      <c r="R199" s="7">
        <f t="shared" si="40"/>
        <v>0</v>
      </c>
      <c r="S199" s="3"/>
      <c r="T199" s="8">
        <v>0</v>
      </c>
      <c r="U199" s="3"/>
      <c r="V199" s="7">
        <f t="shared" si="41"/>
        <v>0</v>
      </c>
      <c r="W199" s="3"/>
      <c r="X199" s="8">
        <f t="shared" si="42"/>
        <v>0</v>
      </c>
      <c r="Y199" s="3"/>
      <c r="Z199" s="7">
        <f t="shared" si="43"/>
        <v>0</v>
      </c>
    </row>
    <row r="200" spans="1:26" s="68" customFormat="1" ht="15" customHeight="1" outlineLevel="1" collapsed="1" x14ac:dyDescent="0.3">
      <c r="A200" s="25"/>
      <c r="B200" s="14" t="str">
        <f>CONCATENATE("     ","Professional Services                             ")</f>
        <v xml:space="preserve">     Professional Services                             </v>
      </c>
      <c r="C200" s="14"/>
      <c r="D200" s="2">
        <f>SUM(OSRRefD22_14x_0)</f>
        <v>0</v>
      </c>
      <c r="E200" s="2"/>
      <c r="F200" s="6">
        <f t="shared" si="36"/>
        <v>0</v>
      </c>
      <c r="G200" s="2"/>
      <c r="H200" s="2">
        <f>SUM(OSRRefH22_14x_0)</f>
        <v>0</v>
      </c>
      <c r="I200" s="2"/>
      <c r="J200" s="6">
        <f t="shared" si="37"/>
        <v>0</v>
      </c>
      <c r="K200" s="2"/>
      <c r="L200" s="2">
        <f t="shared" si="38"/>
        <v>0</v>
      </c>
      <c r="M200" s="2"/>
      <c r="N200" s="6">
        <f t="shared" si="39"/>
        <v>0</v>
      </c>
      <c r="O200" s="14"/>
      <c r="P200" s="2">
        <f>SUM(OSRRefP22_14x_0)</f>
        <v>9626.5300000000007</v>
      </c>
      <c r="Q200" s="2"/>
      <c r="R200" s="6">
        <f t="shared" si="40"/>
        <v>1.1024198576986932E-3</v>
      </c>
      <c r="S200" s="2"/>
      <c r="T200" s="2">
        <f>SUM(OSRRefT22_14x_0)</f>
        <v>0</v>
      </c>
      <c r="U200" s="2"/>
      <c r="V200" s="6">
        <f t="shared" si="41"/>
        <v>0</v>
      </c>
      <c r="W200" s="2"/>
      <c r="X200" s="2">
        <f t="shared" si="42"/>
        <v>9626.5300000000007</v>
      </c>
      <c r="Y200" s="2"/>
      <c r="Z200" s="6">
        <f t="shared" si="43"/>
        <v>0</v>
      </c>
    </row>
    <row r="201" spans="1:26" s="69" customFormat="1" ht="15" hidden="1" customHeight="1" outlineLevel="2" x14ac:dyDescent="0.3">
      <c r="A201" s="26"/>
      <c r="B201" s="12" t="str">
        <f>CONCATENATE("          ","6336"," - ","PROFESSIONAL SERVICES")</f>
        <v xml:space="preserve">          6336 - PROFESSIONAL SERVICES</v>
      </c>
      <c r="C201" s="12"/>
      <c r="D201" s="8"/>
      <c r="E201" s="3"/>
      <c r="F201" s="7">
        <f t="shared" si="36"/>
        <v>0</v>
      </c>
      <c r="G201" s="3"/>
      <c r="H201" s="8"/>
      <c r="I201" s="3"/>
      <c r="J201" s="7">
        <f t="shared" si="37"/>
        <v>0</v>
      </c>
      <c r="K201" s="3"/>
      <c r="L201" s="8">
        <f t="shared" si="38"/>
        <v>0</v>
      </c>
      <c r="M201" s="3"/>
      <c r="N201" s="7">
        <f t="shared" si="39"/>
        <v>0</v>
      </c>
      <c r="O201" s="12"/>
      <c r="P201" s="8">
        <v>9626.5300000000007</v>
      </c>
      <c r="Q201" s="3"/>
      <c r="R201" s="7">
        <f t="shared" si="40"/>
        <v>1.1024198576986932E-3</v>
      </c>
      <c r="S201" s="3"/>
      <c r="T201" s="8"/>
      <c r="U201" s="3"/>
      <c r="V201" s="7">
        <f t="shared" si="41"/>
        <v>0</v>
      </c>
      <c r="W201" s="3"/>
      <c r="X201" s="8">
        <f t="shared" si="42"/>
        <v>9626.5300000000007</v>
      </c>
      <c r="Y201" s="3"/>
      <c r="Z201" s="7">
        <f t="shared" si="43"/>
        <v>0</v>
      </c>
    </row>
    <row r="202" spans="1:26" s="68" customFormat="1" ht="15" customHeight="1" outlineLevel="1" collapsed="1" x14ac:dyDescent="0.3">
      <c r="A202" s="25"/>
      <c r="B202" s="14" t="str">
        <f>CONCATENATE("     ","Rent                                              ")</f>
        <v xml:space="preserve">     Rent                                              </v>
      </c>
      <c r="C202" s="14"/>
      <c r="D202" s="2">
        <f>SUM(OSRRefD22_15x_0)</f>
        <v>6100</v>
      </c>
      <c r="E202" s="2"/>
      <c r="F202" s="6">
        <f t="shared" si="36"/>
        <v>5.1111207077290093E-3</v>
      </c>
      <c r="G202" s="2"/>
      <c r="H202" s="2">
        <f>SUM(OSRRefH22_15x_0)</f>
        <v>6100</v>
      </c>
      <c r="I202" s="2"/>
      <c r="J202" s="6">
        <f t="shared" si="37"/>
        <v>7.2472924085859505E-3</v>
      </c>
      <c r="K202" s="2"/>
      <c r="L202" s="2">
        <f t="shared" si="38"/>
        <v>0</v>
      </c>
      <c r="M202" s="2"/>
      <c r="N202" s="6">
        <f t="shared" si="39"/>
        <v>0</v>
      </c>
      <c r="O202" s="14"/>
      <c r="P202" s="2">
        <f>SUM(OSRRefP22_15x_0)</f>
        <v>61000</v>
      </c>
      <c r="Q202" s="2"/>
      <c r="R202" s="6">
        <f t="shared" si="40"/>
        <v>6.9856543655523106E-3</v>
      </c>
      <c r="S202" s="2"/>
      <c r="T202" s="2">
        <f>SUM(OSRRefT22_15x_0)</f>
        <v>61000</v>
      </c>
      <c r="U202" s="2"/>
      <c r="V202" s="6">
        <f t="shared" si="41"/>
        <v>8.560894877470946E-3</v>
      </c>
      <c r="W202" s="2"/>
      <c r="X202" s="2">
        <f t="shared" si="42"/>
        <v>0</v>
      </c>
      <c r="Y202" s="2"/>
      <c r="Z202" s="6">
        <f t="shared" si="43"/>
        <v>0</v>
      </c>
    </row>
    <row r="203" spans="1:26" s="69" customFormat="1" ht="15" hidden="1" customHeight="1" outlineLevel="2" x14ac:dyDescent="0.3">
      <c r="A203" s="26"/>
      <c r="B203" s="12" t="str">
        <f>CONCATENATE("          ","6273"," - ","RENT")</f>
        <v xml:space="preserve">          6273 - RENT</v>
      </c>
      <c r="C203" s="12"/>
      <c r="D203" s="8">
        <v>6100</v>
      </c>
      <c r="E203" s="3"/>
      <c r="F203" s="7">
        <f t="shared" si="36"/>
        <v>5.1111207077290093E-3</v>
      </c>
      <c r="G203" s="3"/>
      <c r="H203" s="8">
        <v>6100</v>
      </c>
      <c r="I203" s="3"/>
      <c r="J203" s="7">
        <f t="shared" si="37"/>
        <v>7.2472924085859505E-3</v>
      </c>
      <c r="K203" s="3"/>
      <c r="L203" s="8">
        <f t="shared" si="38"/>
        <v>0</v>
      </c>
      <c r="M203" s="3"/>
      <c r="N203" s="7">
        <f t="shared" si="39"/>
        <v>0</v>
      </c>
      <c r="O203" s="12"/>
      <c r="P203" s="8">
        <v>61000</v>
      </c>
      <c r="Q203" s="3"/>
      <c r="R203" s="7">
        <f t="shared" si="40"/>
        <v>6.9856543655523106E-3</v>
      </c>
      <c r="S203" s="3"/>
      <c r="T203" s="8">
        <v>61000</v>
      </c>
      <c r="U203" s="3"/>
      <c r="V203" s="7">
        <f t="shared" si="41"/>
        <v>8.560894877470946E-3</v>
      </c>
      <c r="W203" s="3"/>
      <c r="X203" s="8">
        <f t="shared" si="42"/>
        <v>0</v>
      </c>
      <c r="Y203" s="3"/>
      <c r="Z203" s="7">
        <f t="shared" si="43"/>
        <v>0</v>
      </c>
    </row>
    <row r="204" spans="1:26" s="68" customFormat="1" ht="15" customHeight="1" outlineLevel="1" collapsed="1" x14ac:dyDescent="0.3">
      <c r="A204" s="25"/>
      <c r="B204" s="14" t="str">
        <f>CONCATENATE("     ","Repair and Maintenance                            ")</f>
        <v xml:space="preserve">     Repair and Maintenance                            </v>
      </c>
      <c r="C204" s="14"/>
      <c r="D204" s="2">
        <f>SUM(OSRRefD22_16x_0)</f>
        <v>6647.7800000000007</v>
      </c>
      <c r="E204" s="2"/>
      <c r="F204" s="6">
        <f t="shared" si="36"/>
        <v>5.5700993472830749E-3</v>
      </c>
      <c r="G204" s="2"/>
      <c r="H204" s="2">
        <f>SUM(OSRRefH22_16x_0)</f>
        <v>2485.83</v>
      </c>
      <c r="I204" s="2"/>
      <c r="J204" s="6">
        <f t="shared" si="37"/>
        <v>2.953366702956592E-3</v>
      </c>
      <c r="K204" s="2"/>
      <c r="L204" s="2">
        <f t="shared" si="38"/>
        <v>4161.9500000000007</v>
      </c>
      <c r="M204" s="2"/>
      <c r="N204" s="6">
        <f t="shared" si="39"/>
        <v>1.6742697610053787</v>
      </c>
      <c r="O204" s="14"/>
      <c r="P204" s="2">
        <f>SUM(OSRRefP22_16x_0)</f>
        <v>138560.46</v>
      </c>
      <c r="Q204" s="2"/>
      <c r="R204" s="6">
        <f t="shared" si="40"/>
        <v>1.5867794791671084E-2</v>
      </c>
      <c r="S204" s="2"/>
      <c r="T204" s="2">
        <f>SUM(OSRRefT22_16x_0)</f>
        <v>134465.69</v>
      </c>
      <c r="U204" s="2"/>
      <c r="V204" s="6">
        <f t="shared" si="41"/>
        <v>1.8871256339616331E-2</v>
      </c>
      <c r="W204" s="2"/>
      <c r="X204" s="2">
        <f t="shared" si="42"/>
        <v>4094.7699999999895</v>
      </c>
      <c r="Y204" s="2"/>
      <c r="Z204" s="6">
        <f t="shared" si="43"/>
        <v>3.0452154746686604E-2</v>
      </c>
    </row>
    <row r="205" spans="1:26" s="69" customFormat="1" ht="15" hidden="1" customHeight="1" outlineLevel="2" x14ac:dyDescent="0.3">
      <c r="A205" s="26"/>
      <c r="B205" s="12" t="str">
        <f>CONCATENATE("          ","6371"," - ","COMPUTER SOFTWARE MAINTENANCE")</f>
        <v xml:space="preserve">          6371 - COMPUTER SOFTWARE MAINTENANCE</v>
      </c>
      <c r="C205" s="12"/>
      <c r="D205" s="8"/>
      <c r="E205" s="3"/>
      <c r="F205" s="7">
        <f t="shared" si="36"/>
        <v>0</v>
      </c>
      <c r="G205" s="3"/>
      <c r="H205" s="8"/>
      <c r="I205" s="3"/>
      <c r="J205" s="7">
        <f t="shared" si="37"/>
        <v>0</v>
      </c>
      <c r="K205" s="3"/>
      <c r="L205" s="8">
        <f t="shared" si="38"/>
        <v>0</v>
      </c>
      <c r="M205" s="3"/>
      <c r="N205" s="7">
        <f t="shared" si="39"/>
        <v>0</v>
      </c>
      <c r="O205" s="12"/>
      <c r="P205" s="8">
        <v>64061</v>
      </c>
      <c r="Q205" s="3"/>
      <c r="R205" s="7">
        <f t="shared" si="40"/>
        <v>7.336196791994206E-3</v>
      </c>
      <c r="S205" s="3"/>
      <c r="T205" s="8">
        <v>61317.72</v>
      </c>
      <c r="U205" s="3"/>
      <c r="V205" s="7">
        <f t="shared" si="41"/>
        <v>8.6054845089540612E-3</v>
      </c>
      <c r="W205" s="3"/>
      <c r="X205" s="8">
        <f t="shared" si="42"/>
        <v>2743.2799999999988</v>
      </c>
      <c r="Y205" s="3"/>
      <c r="Z205" s="7">
        <f t="shared" si="43"/>
        <v>4.4738780241665846E-2</v>
      </c>
    </row>
    <row r="206" spans="1:26" s="69" customFormat="1" ht="15" hidden="1" customHeight="1" outlineLevel="2" x14ac:dyDescent="0.3">
      <c r="A206" s="26"/>
      <c r="B206" s="12" t="str">
        <f>CONCATENATE("          ","6372"," - ","COMPUTER HARDWARE MAINTENANCE")</f>
        <v xml:space="preserve">          6372 - COMPUTER HARDWARE MAINTENANCE</v>
      </c>
      <c r="C206" s="12"/>
      <c r="D206" s="8"/>
      <c r="E206" s="3"/>
      <c r="F206" s="7">
        <f t="shared" si="36"/>
        <v>0</v>
      </c>
      <c r="G206" s="3"/>
      <c r="H206" s="8"/>
      <c r="I206" s="3"/>
      <c r="J206" s="7">
        <f t="shared" si="37"/>
        <v>0</v>
      </c>
      <c r="K206" s="3"/>
      <c r="L206" s="8">
        <f t="shared" si="38"/>
        <v>0</v>
      </c>
      <c r="M206" s="3"/>
      <c r="N206" s="7">
        <f t="shared" si="39"/>
        <v>0</v>
      </c>
      <c r="O206" s="12"/>
      <c r="P206" s="8"/>
      <c r="Q206" s="3"/>
      <c r="R206" s="7">
        <f t="shared" si="40"/>
        <v>0</v>
      </c>
      <c r="S206" s="3"/>
      <c r="T206" s="8">
        <v>-1.1499999999999999</v>
      </c>
      <c r="U206" s="3"/>
      <c r="V206" s="7">
        <f t="shared" si="41"/>
        <v>-1.6139391982117355E-7</v>
      </c>
      <c r="W206" s="3"/>
      <c r="X206" s="8">
        <f t="shared" si="42"/>
        <v>1.1499999999999999</v>
      </c>
      <c r="Y206" s="3"/>
      <c r="Z206" s="7">
        <f t="shared" si="43"/>
        <v>-1</v>
      </c>
    </row>
    <row r="207" spans="1:26" s="69" customFormat="1" ht="15" hidden="1" customHeight="1" outlineLevel="2" x14ac:dyDescent="0.3">
      <c r="A207" s="26"/>
      <c r="B207" s="12" t="str">
        <f>CONCATENATE("          ","6373"," - ","MAINTENANCE CONTRACTS")</f>
        <v xml:space="preserve">          6373 - MAINTENANCE CONTRACTS</v>
      </c>
      <c r="C207" s="12"/>
      <c r="D207" s="8">
        <v>800.18</v>
      </c>
      <c r="E207" s="3"/>
      <c r="F207" s="7">
        <f t="shared" si="36"/>
        <v>6.7046173244436039E-4</v>
      </c>
      <c r="G207" s="3"/>
      <c r="H207" s="8">
        <v>1429</v>
      </c>
      <c r="I207" s="3"/>
      <c r="J207" s="7">
        <f t="shared" si="37"/>
        <v>1.6977673527654629E-3</v>
      </c>
      <c r="K207" s="3"/>
      <c r="L207" s="8">
        <f t="shared" si="38"/>
        <v>-628.82000000000005</v>
      </c>
      <c r="M207" s="3"/>
      <c r="N207" s="7">
        <f t="shared" si="39"/>
        <v>-0.44004198740377892</v>
      </c>
      <c r="O207" s="12"/>
      <c r="P207" s="8">
        <v>22371.7</v>
      </c>
      <c r="Q207" s="3"/>
      <c r="R207" s="7">
        <f t="shared" si="40"/>
        <v>2.5619830126201084E-3</v>
      </c>
      <c r="S207" s="3"/>
      <c r="T207" s="8">
        <v>46118.58</v>
      </c>
      <c r="U207" s="3"/>
      <c r="V207" s="7">
        <f t="shared" si="41"/>
        <v>6.4723986111185905E-3</v>
      </c>
      <c r="W207" s="3"/>
      <c r="X207" s="8">
        <f t="shared" si="42"/>
        <v>-23746.880000000001</v>
      </c>
      <c r="Y207" s="3"/>
      <c r="Z207" s="7">
        <f t="shared" si="43"/>
        <v>-0.51490917543428272</v>
      </c>
    </row>
    <row r="208" spans="1:26" s="69" customFormat="1" ht="15" hidden="1" customHeight="1" outlineLevel="2" x14ac:dyDescent="0.3">
      <c r="A208" s="26"/>
      <c r="B208" s="12" t="str">
        <f>CONCATENATE("          ","6375"," - ","OUTSIDE REPAIRS &amp; MAINTENANCE")</f>
        <v xml:space="preserve">          6375 - OUTSIDE REPAIRS &amp; MAINTENANCE</v>
      </c>
      <c r="C208" s="12"/>
      <c r="D208" s="8">
        <v>5847.6</v>
      </c>
      <c r="E208" s="3"/>
      <c r="F208" s="7">
        <f t="shared" si="36"/>
        <v>4.8996376148387139E-3</v>
      </c>
      <c r="G208" s="3"/>
      <c r="H208" s="8">
        <v>1056.83</v>
      </c>
      <c r="I208" s="3"/>
      <c r="J208" s="7">
        <f t="shared" si="37"/>
        <v>1.2555993501911294E-3</v>
      </c>
      <c r="K208" s="3"/>
      <c r="L208" s="8">
        <f t="shared" si="38"/>
        <v>4790.7700000000004</v>
      </c>
      <c r="M208" s="3"/>
      <c r="N208" s="7">
        <f t="shared" si="39"/>
        <v>4.5331510271282998</v>
      </c>
      <c r="O208" s="12"/>
      <c r="P208" s="8">
        <v>52127.76</v>
      </c>
      <c r="Q208" s="3"/>
      <c r="R208" s="7">
        <f t="shared" si="40"/>
        <v>5.9696149870567721E-3</v>
      </c>
      <c r="S208" s="3"/>
      <c r="T208" s="8">
        <v>27030.54</v>
      </c>
      <c r="U208" s="3"/>
      <c r="V208" s="7">
        <f t="shared" si="41"/>
        <v>3.7935346134635004E-3</v>
      </c>
      <c r="W208" s="3"/>
      <c r="X208" s="8">
        <f t="shared" si="42"/>
        <v>25097.22</v>
      </c>
      <c r="Y208" s="3"/>
      <c r="Z208" s="7">
        <f t="shared" si="43"/>
        <v>0.9284764566301672</v>
      </c>
    </row>
    <row r="209" spans="1:26" s="68" customFormat="1" ht="15" customHeight="1" outlineLevel="1" collapsed="1" x14ac:dyDescent="0.3">
      <c r="A209" s="25"/>
      <c r="B209" s="14" t="str">
        <f>CONCATENATE("     ","Royalty &amp; Commissions                             ")</f>
        <v xml:space="preserve">     Royalty &amp; Commissions                             </v>
      </c>
      <c r="C209" s="14"/>
      <c r="D209" s="2">
        <f>SUM(OSRRefD22_17x_0)</f>
        <v>28886.6</v>
      </c>
      <c r="E209" s="2"/>
      <c r="F209" s="6">
        <f t="shared" si="36"/>
        <v>2.4203754005882754E-2</v>
      </c>
      <c r="G209" s="2"/>
      <c r="H209" s="2">
        <f>SUM(OSRRefH22_17x_0)</f>
        <v>11531.75</v>
      </c>
      <c r="I209" s="2"/>
      <c r="J209" s="6">
        <f t="shared" si="37"/>
        <v>1.3700649874214923E-2</v>
      </c>
      <c r="K209" s="2"/>
      <c r="L209" s="2">
        <f t="shared" si="38"/>
        <v>17354.849999999999</v>
      </c>
      <c r="M209" s="2"/>
      <c r="N209" s="6">
        <f t="shared" si="39"/>
        <v>1.5049623864547876</v>
      </c>
      <c r="O209" s="14"/>
      <c r="P209" s="2">
        <f>SUM(OSRRefP22_17x_0)</f>
        <v>81622.53</v>
      </c>
      <c r="Q209" s="2"/>
      <c r="R209" s="6">
        <f t="shared" si="40"/>
        <v>9.3473243118348259E-3</v>
      </c>
      <c r="S209" s="2"/>
      <c r="T209" s="2">
        <f>SUM(OSRRefT22_17x_0)</f>
        <v>48392.95</v>
      </c>
      <c r="U209" s="2"/>
      <c r="V209" s="6">
        <f t="shared" si="41"/>
        <v>6.7915894714870098E-3</v>
      </c>
      <c r="W209" s="2"/>
      <c r="X209" s="2">
        <f t="shared" si="42"/>
        <v>33229.58</v>
      </c>
      <c r="Y209" s="2"/>
      <c r="Z209" s="6">
        <f t="shared" si="43"/>
        <v>0.68666159016964257</v>
      </c>
    </row>
    <row r="210" spans="1:26" s="69" customFormat="1" ht="15" hidden="1" customHeight="1" outlineLevel="2" x14ac:dyDescent="0.3">
      <c r="A210" s="26"/>
      <c r="B210" s="12" t="str">
        <f>CONCATENATE("          ","6253"," - ","ROYALTY DUE ATHLETICS-LRG")</f>
        <v xml:space="preserve">          6253 - ROYALTY DUE ATHLETICS-LRG</v>
      </c>
      <c r="C210" s="12"/>
      <c r="D210" s="8">
        <v>15944.33</v>
      </c>
      <c r="E210" s="3"/>
      <c r="F210" s="7">
        <f t="shared" si="36"/>
        <v>1.3359572989158176E-2</v>
      </c>
      <c r="G210" s="3"/>
      <c r="H210" s="8">
        <v>8961.48</v>
      </c>
      <c r="I210" s="3"/>
      <c r="J210" s="7">
        <f t="shared" si="37"/>
        <v>1.0646961635031937E-2</v>
      </c>
      <c r="K210" s="3"/>
      <c r="L210" s="8">
        <f t="shared" si="38"/>
        <v>6982.85</v>
      </c>
      <c r="M210" s="3"/>
      <c r="N210" s="7">
        <f t="shared" si="39"/>
        <v>0.77920722916304008</v>
      </c>
      <c r="O210" s="12"/>
      <c r="P210" s="8">
        <v>55165.49</v>
      </c>
      <c r="Q210" s="3"/>
      <c r="R210" s="7">
        <f t="shared" si="40"/>
        <v>6.3174925581365952E-3</v>
      </c>
      <c r="S210" s="3"/>
      <c r="T210" s="8">
        <v>35159.06</v>
      </c>
      <c r="U210" s="3"/>
      <c r="V210" s="7">
        <f t="shared" si="41"/>
        <v>4.9343117483720269E-3</v>
      </c>
      <c r="W210" s="3"/>
      <c r="X210" s="8">
        <f t="shared" si="42"/>
        <v>20006.43</v>
      </c>
      <c r="Y210" s="3"/>
      <c r="Z210" s="7">
        <f t="shared" si="43"/>
        <v>0.56902630502635743</v>
      </c>
    </row>
    <row r="211" spans="1:26" s="69" customFormat="1" ht="15" hidden="1" customHeight="1" outlineLevel="2" x14ac:dyDescent="0.3">
      <c r="A211" s="26"/>
      <c r="B211" s="12" t="str">
        <f>CONCATENATE("          ","6254"," - ","ROYALTY &amp; COMMISSIONS")</f>
        <v xml:space="preserve">          6254 - ROYALTY &amp; COMMISSIONS</v>
      </c>
      <c r="C211" s="12"/>
      <c r="D211" s="8">
        <v>10897.24</v>
      </c>
      <c r="E211" s="3"/>
      <c r="F211" s="7">
        <f t="shared" si="36"/>
        <v>9.1306736100152247E-3</v>
      </c>
      <c r="G211" s="3"/>
      <c r="H211" s="8"/>
      <c r="I211" s="3"/>
      <c r="J211" s="7">
        <f t="shared" si="37"/>
        <v>0</v>
      </c>
      <c r="K211" s="3"/>
      <c r="L211" s="8">
        <f t="shared" si="38"/>
        <v>10897.24</v>
      </c>
      <c r="M211" s="3"/>
      <c r="N211" s="7">
        <f t="shared" si="39"/>
        <v>0</v>
      </c>
      <c r="O211" s="12"/>
      <c r="P211" s="8">
        <v>14406.39</v>
      </c>
      <c r="Q211" s="3"/>
      <c r="R211" s="7">
        <f t="shared" si="40"/>
        <v>1.6498042818909695E-3</v>
      </c>
      <c r="S211" s="3"/>
      <c r="T211" s="8"/>
      <c r="U211" s="3"/>
      <c r="V211" s="7">
        <f t="shared" si="41"/>
        <v>0</v>
      </c>
      <c r="W211" s="3"/>
      <c r="X211" s="8">
        <f t="shared" si="42"/>
        <v>14406.39</v>
      </c>
      <c r="Y211" s="3"/>
      <c r="Z211" s="7">
        <f t="shared" si="43"/>
        <v>0</v>
      </c>
    </row>
    <row r="212" spans="1:26" s="69" customFormat="1" ht="15" hidden="1" customHeight="1" outlineLevel="2" x14ac:dyDescent="0.3">
      <c r="A212" s="26"/>
      <c r="B212" s="12" t="str">
        <f>CONCATENATE("          ","6259"," - ","ROYALTY &amp; COMMISSIONS")</f>
        <v xml:space="preserve">          6259 - ROYALTY &amp; COMMISSIONS</v>
      </c>
      <c r="C212" s="12"/>
      <c r="D212" s="8">
        <v>2045.03</v>
      </c>
      <c r="E212" s="3"/>
      <c r="F212" s="7">
        <f t="shared" si="36"/>
        <v>1.7135074067093534E-3</v>
      </c>
      <c r="G212" s="3"/>
      <c r="H212" s="8">
        <v>2570.27</v>
      </c>
      <c r="I212" s="3"/>
      <c r="J212" s="7">
        <f t="shared" si="37"/>
        <v>3.0536882391829852E-3</v>
      </c>
      <c r="K212" s="3"/>
      <c r="L212" s="8">
        <f t="shared" si="38"/>
        <v>-525.24</v>
      </c>
      <c r="M212" s="3"/>
      <c r="N212" s="7">
        <f t="shared" si="39"/>
        <v>-0.20435207196131147</v>
      </c>
      <c r="O212" s="12"/>
      <c r="P212" s="8">
        <v>12050.65</v>
      </c>
      <c r="Q212" s="3"/>
      <c r="R212" s="7">
        <f t="shared" si="40"/>
        <v>1.3800274718072615E-3</v>
      </c>
      <c r="S212" s="3"/>
      <c r="T212" s="8">
        <v>13233.89</v>
      </c>
      <c r="U212" s="3"/>
      <c r="V212" s="7">
        <f t="shared" si="41"/>
        <v>1.8572777231149831E-3</v>
      </c>
      <c r="W212" s="3"/>
      <c r="X212" s="8">
        <f t="shared" si="42"/>
        <v>-1183.2399999999998</v>
      </c>
      <c r="Y212" s="3"/>
      <c r="Z212" s="7">
        <f t="shared" si="43"/>
        <v>-8.940984094623726E-2</v>
      </c>
    </row>
    <row r="213" spans="1:26" s="68" customFormat="1" ht="15" customHeight="1" outlineLevel="1" collapsed="1" x14ac:dyDescent="0.3">
      <c r="A213" s="25"/>
      <c r="B213" s="14" t="str">
        <f>CONCATENATE("     ","Services                                          ")</f>
        <v xml:space="preserve">     Services                                          </v>
      </c>
      <c r="C213" s="14"/>
      <c r="D213" s="2">
        <f>SUM(OSRRefD22_18x_0)</f>
        <v>4617.1299999999992</v>
      </c>
      <c r="E213" s="2"/>
      <c r="F213" s="6">
        <f t="shared" si="36"/>
        <v>3.8686407792257109E-3</v>
      </c>
      <c r="G213" s="2"/>
      <c r="H213" s="2">
        <f>SUM(OSRRefH22_18x_0)</f>
        <v>4006.32</v>
      </c>
      <c r="I213" s="2"/>
      <c r="J213" s="6">
        <f t="shared" si="37"/>
        <v>4.7598315610436169E-3</v>
      </c>
      <c r="K213" s="2"/>
      <c r="L213" s="2">
        <f t="shared" si="38"/>
        <v>610.80999999999904</v>
      </c>
      <c r="M213" s="2"/>
      <c r="N213" s="6">
        <f t="shared" si="39"/>
        <v>0.15246161065516459</v>
      </c>
      <c r="O213" s="14"/>
      <c r="P213" s="2">
        <f>SUM(OSRRefP22_18x_0)</f>
        <v>56510.759999999995</v>
      </c>
      <c r="Q213" s="2"/>
      <c r="R213" s="6">
        <f t="shared" si="40"/>
        <v>6.4715514310603088E-3</v>
      </c>
      <c r="S213" s="2"/>
      <c r="T213" s="2">
        <f>SUM(OSRRefT22_18x_0)</f>
        <v>40143.980000000003</v>
      </c>
      <c r="U213" s="2"/>
      <c r="V213" s="6">
        <f t="shared" si="41"/>
        <v>5.6339080777589529E-3</v>
      </c>
      <c r="W213" s="2"/>
      <c r="X213" s="2">
        <f t="shared" si="42"/>
        <v>16366.779999999992</v>
      </c>
      <c r="Y213" s="2"/>
      <c r="Z213" s="6">
        <f t="shared" si="43"/>
        <v>0.40770197673474307</v>
      </c>
    </row>
    <row r="214" spans="1:26" s="69" customFormat="1" ht="15" hidden="1" customHeight="1" outlineLevel="2" x14ac:dyDescent="0.3">
      <c r="A214" s="26"/>
      <c r="B214" s="12" t="str">
        <f>CONCATENATE("          ","6282"," - ","JANITORIAL/EXTERMINATOR EXPENS")</f>
        <v xml:space="preserve">          6282 - JANITORIAL/EXTERMINATOR EXPENS</v>
      </c>
      <c r="C214" s="12"/>
      <c r="D214" s="8">
        <v>209.65</v>
      </c>
      <c r="E214" s="3"/>
      <c r="F214" s="7">
        <f t="shared" si="36"/>
        <v>1.7566335350416176E-4</v>
      </c>
      <c r="G214" s="3"/>
      <c r="H214" s="8"/>
      <c r="I214" s="3"/>
      <c r="J214" s="7">
        <f t="shared" si="37"/>
        <v>0</v>
      </c>
      <c r="K214" s="3"/>
      <c r="L214" s="8">
        <f t="shared" si="38"/>
        <v>209.65</v>
      </c>
      <c r="M214" s="3"/>
      <c r="N214" s="7">
        <f t="shared" si="39"/>
        <v>0</v>
      </c>
      <c r="O214" s="12"/>
      <c r="P214" s="8">
        <v>2963.28</v>
      </c>
      <c r="Q214" s="3"/>
      <c r="R214" s="7">
        <f t="shared" si="40"/>
        <v>3.3935163718612873E-4</v>
      </c>
      <c r="S214" s="3"/>
      <c r="T214" s="8">
        <v>7406.12</v>
      </c>
      <c r="U214" s="3"/>
      <c r="V214" s="7">
        <f t="shared" si="41"/>
        <v>1.0393936847530349E-3</v>
      </c>
      <c r="W214" s="3"/>
      <c r="X214" s="8">
        <f t="shared" si="42"/>
        <v>-4442.84</v>
      </c>
      <c r="Y214" s="3"/>
      <c r="Z214" s="7">
        <f t="shared" si="43"/>
        <v>-0.59988766047539066</v>
      </c>
    </row>
    <row r="215" spans="1:26" s="69" customFormat="1" ht="15" hidden="1" customHeight="1" outlineLevel="2" x14ac:dyDescent="0.3">
      <c r="A215" s="26"/>
      <c r="B215" s="12" t="str">
        <f>CONCATENATE("          ","6283"," - ","PLANT SERVICE")</f>
        <v xml:space="preserve">          6283 - PLANT SERVICE</v>
      </c>
      <c r="C215" s="12"/>
      <c r="D215" s="8"/>
      <c r="E215" s="3"/>
      <c r="F215" s="7">
        <f t="shared" ref="F215:F239" si="44">IF(D$12=0,0,D215/D$12)</f>
        <v>0</v>
      </c>
      <c r="G215" s="3"/>
      <c r="H215" s="8"/>
      <c r="I215" s="3"/>
      <c r="J215" s="7">
        <f t="shared" ref="J215:J239" si="45">IF(H$12=0,0,H215/H$12)</f>
        <v>0</v>
      </c>
      <c r="K215" s="3"/>
      <c r="L215" s="8">
        <f t="shared" ref="L215:L239" si="46">+D215-H215</f>
        <v>0</v>
      </c>
      <c r="M215" s="3"/>
      <c r="N215" s="7">
        <f t="shared" ref="N215:N239" si="47">IF(H215=0,0,L215/H215)</f>
        <v>0</v>
      </c>
      <c r="O215" s="12"/>
      <c r="P215" s="8"/>
      <c r="Q215" s="3"/>
      <c r="R215" s="7">
        <f t="shared" ref="R215:R239" si="48">IF(P$12=0,0,P215/P$12)</f>
        <v>0</v>
      </c>
      <c r="S215" s="3"/>
      <c r="T215" s="8">
        <v>171.31</v>
      </c>
      <c r="U215" s="3"/>
      <c r="V215" s="7">
        <f t="shared" ref="V215:V239" si="49">IF(T$12=0,0,T215/T$12)</f>
        <v>2.4042080351795866E-5</v>
      </c>
      <c r="W215" s="3"/>
      <c r="X215" s="8">
        <f t="shared" ref="X215:X239" si="50">+P215-T215</f>
        <v>-171.31</v>
      </c>
      <c r="Y215" s="3"/>
      <c r="Z215" s="7">
        <f t="shared" ref="Z215:Z239" si="51">IF(T215=0,0,X215/T215)</f>
        <v>-1</v>
      </c>
    </row>
    <row r="216" spans="1:26" s="69" customFormat="1" ht="15" hidden="1" customHeight="1" outlineLevel="2" x14ac:dyDescent="0.3">
      <c r="A216" s="26"/>
      <c r="B216" s="12" t="str">
        <f>CONCATENATE("          ","6284"," - ","TRASH REMOVAL EXPENSE")</f>
        <v xml:space="preserve">          6284 - TRASH REMOVAL EXPENSE</v>
      </c>
      <c r="C216" s="12"/>
      <c r="D216" s="8"/>
      <c r="E216" s="3"/>
      <c r="F216" s="7">
        <f t="shared" si="44"/>
        <v>0</v>
      </c>
      <c r="G216" s="3"/>
      <c r="H216" s="8">
        <v>142.57</v>
      </c>
      <c r="I216" s="3"/>
      <c r="J216" s="7">
        <f t="shared" si="45"/>
        <v>1.69384668638049E-4</v>
      </c>
      <c r="K216" s="3"/>
      <c r="L216" s="8">
        <f t="shared" si="46"/>
        <v>-142.57</v>
      </c>
      <c r="M216" s="3"/>
      <c r="N216" s="7">
        <f t="shared" si="47"/>
        <v>-1</v>
      </c>
      <c r="O216" s="12"/>
      <c r="P216" s="8">
        <v>1340.17</v>
      </c>
      <c r="Q216" s="3"/>
      <c r="R216" s="7">
        <f t="shared" si="48"/>
        <v>1.5347482641118426E-4</v>
      </c>
      <c r="S216" s="3"/>
      <c r="T216" s="8">
        <v>1440.72</v>
      </c>
      <c r="U216" s="3"/>
      <c r="V216" s="7">
        <f t="shared" si="49"/>
        <v>2.0219430275196626E-4</v>
      </c>
      <c r="W216" s="3"/>
      <c r="X216" s="8">
        <f t="shared" si="50"/>
        <v>-100.54999999999995</v>
      </c>
      <c r="Y216" s="3"/>
      <c r="Z216" s="7">
        <f t="shared" si="51"/>
        <v>-6.9791493142317695E-2</v>
      </c>
    </row>
    <row r="217" spans="1:26" s="69" customFormat="1" ht="15" hidden="1" customHeight="1" outlineLevel="2" x14ac:dyDescent="0.3">
      <c r="A217" s="26"/>
      <c r="B217" s="12" t="str">
        <f>CONCATENATE("          ","6285"," - ","JANITORIAL SERVICES")</f>
        <v xml:space="preserve">          6285 - JANITORIAL SERVICES</v>
      </c>
      <c r="C217" s="12"/>
      <c r="D217" s="8">
        <v>4407.4799999999996</v>
      </c>
      <c r="E217" s="3"/>
      <c r="F217" s="7">
        <f t="shared" si="44"/>
        <v>3.6929774257215492E-3</v>
      </c>
      <c r="G217" s="3"/>
      <c r="H217" s="8">
        <v>3863.75</v>
      </c>
      <c r="I217" s="3"/>
      <c r="J217" s="7">
        <f t="shared" si="45"/>
        <v>4.5904468924055685E-3</v>
      </c>
      <c r="K217" s="3"/>
      <c r="L217" s="8">
        <f t="shared" si="46"/>
        <v>543.72999999999956</v>
      </c>
      <c r="M217" s="3"/>
      <c r="N217" s="7">
        <f t="shared" si="47"/>
        <v>0.14072597864768671</v>
      </c>
      <c r="O217" s="12"/>
      <c r="P217" s="8">
        <v>52207.31</v>
      </c>
      <c r="Q217" s="3"/>
      <c r="R217" s="7">
        <f t="shared" si="48"/>
        <v>5.9787249674629964E-3</v>
      </c>
      <c r="S217" s="3"/>
      <c r="T217" s="8">
        <v>31125.83</v>
      </c>
      <c r="U217" s="3"/>
      <c r="V217" s="7">
        <f t="shared" si="49"/>
        <v>4.3682780099021561E-3</v>
      </c>
      <c r="W217" s="3"/>
      <c r="X217" s="8">
        <f t="shared" si="50"/>
        <v>21081.479999999996</v>
      </c>
      <c r="Y217" s="3"/>
      <c r="Z217" s="7">
        <f t="shared" si="51"/>
        <v>0.67729856521095166</v>
      </c>
    </row>
    <row r="218" spans="1:26" s="68" customFormat="1" ht="15" customHeight="1" outlineLevel="1" collapsed="1" x14ac:dyDescent="0.3">
      <c r="A218" s="25"/>
      <c r="B218" s="14" t="str">
        <f>CONCATENATE("     ","Subscriptions &amp; Dues                              ")</f>
        <v xml:space="preserve">     Subscriptions &amp; Dues                              </v>
      </c>
      <c r="C218" s="14"/>
      <c r="D218" s="2">
        <f>SUM(OSRRefD22_19x_0)</f>
        <v>2418.29</v>
      </c>
      <c r="E218" s="2"/>
      <c r="F218" s="6">
        <f t="shared" si="44"/>
        <v>2.0262577207039319E-3</v>
      </c>
      <c r="G218" s="2"/>
      <c r="H218" s="2">
        <f>SUM(OSRRefH22_19x_0)</f>
        <v>2485.8000000000002</v>
      </c>
      <c r="I218" s="2"/>
      <c r="J218" s="6">
        <f t="shared" si="45"/>
        <v>2.9533310605349109E-3</v>
      </c>
      <c r="K218" s="2"/>
      <c r="L218" s="2">
        <f t="shared" si="46"/>
        <v>-67.510000000000218</v>
      </c>
      <c r="M218" s="2"/>
      <c r="N218" s="6">
        <f t="shared" si="47"/>
        <v>-2.7158258910612364E-2</v>
      </c>
      <c r="O218" s="14"/>
      <c r="P218" s="2">
        <f>SUM(OSRRefP22_19x_0)</f>
        <v>4895.9400000000005</v>
      </c>
      <c r="Q218" s="2"/>
      <c r="R218" s="6">
        <f t="shared" si="48"/>
        <v>5.6067778089315048E-4</v>
      </c>
      <c r="S218" s="2"/>
      <c r="T218" s="2">
        <f>SUM(OSRRefT22_19x_0)</f>
        <v>6820.1299999999992</v>
      </c>
      <c r="U218" s="2"/>
      <c r="V218" s="6">
        <f t="shared" si="49"/>
        <v>9.5715436033911336E-4</v>
      </c>
      <c r="W218" s="2"/>
      <c r="X218" s="2">
        <f t="shared" si="50"/>
        <v>-1924.1899999999987</v>
      </c>
      <c r="Y218" s="2"/>
      <c r="Z218" s="6">
        <f t="shared" si="51"/>
        <v>-0.28213391826841994</v>
      </c>
    </row>
    <row r="219" spans="1:26" s="69" customFormat="1" ht="15" hidden="1" customHeight="1" outlineLevel="2" x14ac:dyDescent="0.3">
      <c r="A219" s="26"/>
      <c r="B219" s="12" t="str">
        <f>CONCATENATE("          ","6258"," - ","MEMBERSHIP DUES")</f>
        <v xml:space="preserve">          6258 - MEMBERSHIP DUES</v>
      </c>
      <c r="C219" s="12"/>
      <c r="D219" s="8">
        <v>510.65</v>
      </c>
      <c r="E219" s="3"/>
      <c r="F219" s="7">
        <f t="shared" si="44"/>
        <v>4.2786783432816695E-4</v>
      </c>
      <c r="G219" s="3"/>
      <c r="H219" s="8">
        <v>328.71</v>
      </c>
      <c r="I219" s="3"/>
      <c r="J219" s="7">
        <f t="shared" si="45"/>
        <v>3.9053401436496516E-4</v>
      </c>
      <c r="K219" s="3"/>
      <c r="L219" s="8">
        <f t="shared" si="46"/>
        <v>181.94</v>
      </c>
      <c r="M219" s="3"/>
      <c r="N219" s="7">
        <f t="shared" si="47"/>
        <v>0.55349700343768071</v>
      </c>
      <c r="O219" s="12"/>
      <c r="P219" s="8">
        <v>2988.3</v>
      </c>
      <c r="Q219" s="3"/>
      <c r="R219" s="7">
        <f t="shared" si="48"/>
        <v>3.4221690066524541E-4</v>
      </c>
      <c r="S219" s="3"/>
      <c r="T219" s="8">
        <v>2435.23</v>
      </c>
      <c r="U219" s="3"/>
      <c r="V219" s="7">
        <f t="shared" si="49"/>
        <v>3.4176636118792741E-4</v>
      </c>
      <c r="W219" s="3"/>
      <c r="X219" s="8">
        <f t="shared" si="50"/>
        <v>553.07000000000016</v>
      </c>
      <c r="Y219" s="3"/>
      <c r="Z219" s="7">
        <f t="shared" si="51"/>
        <v>0.22711201816666193</v>
      </c>
    </row>
    <row r="220" spans="1:26" s="69" customFormat="1" ht="15" hidden="1" customHeight="1" outlineLevel="2" x14ac:dyDescent="0.3">
      <c r="A220" s="26"/>
      <c r="B220" s="12" t="str">
        <f>CONCATENATE("          ","6275"," - ","SUBSCRIPTIONS")</f>
        <v xml:space="preserve">          6275 - SUBSCRIPTIONS</v>
      </c>
      <c r="C220" s="12"/>
      <c r="D220" s="8">
        <v>1907.64</v>
      </c>
      <c r="E220" s="3"/>
      <c r="F220" s="7">
        <f t="shared" si="44"/>
        <v>1.5983898863757651E-3</v>
      </c>
      <c r="G220" s="3"/>
      <c r="H220" s="8">
        <v>2157.09</v>
      </c>
      <c r="I220" s="3"/>
      <c r="J220" s="7">
        <f t="shared" si="45"/>
        <v>2.5627970461699458E-3</v>
      </c>
      <c r="K220" s="3"/>
      <c r="L220" s="8">
        <f t="shared" si="46"/>
        <v>-249.45000000000005</v>
      </c>
      <c r="M220" s="3"/>
      <c r="N220" s="7">
        <f t="shared" si="47"/>
        <v>-0.11564190645731055</v>
      </c>
      <c r="O220" s="12"/>
      <c r="P220" s="8">
        <v>1907.64</v>
      </c>
      <c r="Q220" s="3"/>
      <c r="R220" s="7">
        <f t="shared" si="48"/>
        <v>2.1846088022790507E-4</v>
      </c>
      <c r="S220" s="3"/>
      <c r="T220" s="8">
        <v>4384.8999999999996</v>
      </c>
      <c r="U220" s="3"/>
      <c r="V220" s="7">
        <f t="shared" si="49"/>
        <v>6.1538799915118606E-4</v>
      </c>
      <c r="W220" s="3"/>
      <c r="X220" s="8">
        <f t="shared" si="50"/>
        <v>-2477.2599999999993</v>
      </c>
      <c r="Y220" s="3"/>
      <c r="Z220" s="7">
        <f t="shared" si="51"/>
        <v>-0.56495245045497033</v>
      </c>
    </row>
    <row r="221" spans="1:26" s="68" customFormat="1" ht="15" customHeight="1" outlineLevel="1" collapsed="1" x14ac:dyDescent="0.3">
      <c r="A221" s="25"/>
      <c r="B221" s="14" t="str">
        <f>CONCATENATE("     ","Supplies                                          ")</f>
        <v xml:space="preserve">     Supplies                                          </v>
      </c>
      <c r="C221" s="14"/>
      <c r="D221" s="2">
        <f>SUM(OSRRefD22_20x_0)</f>
        <v>12834.929999999998</v>
      </c>
      <c r="E221" s="2"/>
      <c r="F221" s="6">
        <f t="shared" si="44"/>
        <v>1.0754242050041357E-2</v>
      </c>
      <c r="G221" s="2"/>
      <c r="H221" s="2">
        <f>SUM(OSRRefH22_20x_0)</f>
        <v>8711.98</v>
      </c>
      <c r="I221" s="2"/>
      <c r="J221" s="6">
        <f t="shared" si="45"/>
        <v>1.0350535494713545E-2</v>
      </c>
      <c r="K221" s="2"/>
      <c r="L221" s="2">
        <f t="shared" si="46"/>
        <v>4122.9499999999989</v>
      </c>
      <c r="M221" s="2"/>
      <c r="N221" s="6">
        <f t="shared" si="47"/>
        <v>0.47325062729712408</v>
      </c>
      <c r="O221" s="14"/>
      <c r="P221" s="2">
        <f>SUM(OSRRefP22_20x_0)</f>
        <v>102744.42</v>
      </c>
      <c r="Q221" s="2"/>
      <c r="R221" s="6">
        <f t="shared" si="48"/>
        <v>1.1766180428018689E-2</v>
      </c>
      <c r="S221" s="2"/>
      <c r="T221" s="2">
        <f>SUM(OSRRefT22_20x_0)</f>
        <v>115528.34</v>
      </c>
      <c r="U221" s="2"/>
      <c r="V221" s="6">
        <f t="shared" si="49"/>
        <v>1.6213540559159374E-2</v>
      </c>
      <c r="W221" s="2"/>
      <c r="X221" s="2">
        <f t="shared" si="50"/>
        <v>-12783.919999999998</v>
      </c>
      <c r="Y221" s="2"/>
      <c r="Z221" s="6">
        <f t="shared" si="51"/>
        <v>-0.11065613857171322</v>
      </c>
    </row>
    <row r="222" spans="1:26" s="69" customFormat="1" ht="15" hidden="1" customHeight="1" outlineLevel="2" x14ac:dyDescent="0.3">
      <c r="A222" s="26"/>
      <c r="B222" s="12" t="str">
        <f>CONCATENATE("          ","6234"," - ","EXPENDABLE SUPPLIES &amp; EQUIPMEN")</f>
        <v xml:space="preserve">          6234 - EXPENDABLE SUPPLIES &amp; EQUIPMEN</v>
      </c>
      <c r="C222" s="12"/>
      <c r="D222" s="8">
        <v>4993.3100000000004</v>
      </c>
      <c r="E222" s="3"/>
      <c r="F222" s="7">
        <f t="shared" si="44"/>
        <v>4.1838377280508758E-3</v>
      </c>
      <c r="G222" s="3"/>
      <c r="H222" s="8">
        <v>53</v>
      </c>
      <c r="I222" s="3"/>
      <c r="J222" s="7">
        <f t="shared" si="45"/>
        <v>6.2968278304107432E-5</v>
      </c>
      <c r="K222" s="3"/>
      <c r="L222" s="8">
        <f t="shared" si="46"/>
        <v>4940.3100000000004</v>
      </c>
      <c r="M222" s="3"/>
      <c r="N222" s="7">
        <f t="shared" si="47"/>
        <v>93.213396226415099</v>
      </c>
      <c r="O222" s="12"/>
      <c r="P222" s="8">
        <v>10282.879999999999</v>
      </c>
      <c r="Q222" s="3"/>
      <c r="R222" s="7">
        <f t="shared" si="48"/>
        <v>1.1775843534827957E-3</v>
      </c>
      <c r="S222" s="3"/>
      <c r="T222" s="8">
        <v>1733.65</v>
      </c>
      <c r="U222" s="3"/>
      <c r="V222" s="7">
        <f t="shared" si="49"/>
        <v>2.4330484269389355E-4</v>
      </c>
      <c r="W222" s="3"/>
      <c r="X222" s="8">
        <f t="shared" si="50"/>
        <v>8549.23</v>
      </c>
      <c r="Y222" s="3"/>
      <c r="Z222" s="7">
        <f t="shared" si="51"/>
        <v>4.9313471577307988</v>
      </c>
    </row>
    <row r="223" spans="1:26" s="69" customFormat="1" ht="15" hidden="1" customHeight="1" outlineLevel="2" x14ac:dyDescent="0.3">
      <c r="A223" s="26"/>
      <c r="B223" s="12" t="str">
        <f>CONCATENATE("          ","6235"," - ","COVID-19 EXPENSES")</f>
        <v xml:space="preserve">          6235 - COVID-19 EXPENSES</v>
      </c>
      <c r="C223" s="12"/>
      <c r="D223" s="8"/>
      <c r="E223" s="3"/>
      <c r="F223" s="7">
        <f t="shared" si="44"/>
        <v>0</v>
      </c>
      <c r="G223" s="3"/>
      <c r="H223" s="8">
        <v>3407.79</v>
      </c>
      <c r="I223" s="3"/>
      <c r="J223" s="7">
        <f t="shared" si="45"/>
        <v>4.0487296060746089E-3</v>
      </c>
      <c r="K223" s="3"/>
      <c r="L223" s="8">
        <f t="shared" si="46"/>
        <v>-3407.79</v>
      </c>
      <c r="M223" s="3"/>
      <c r="N223" s="7">
        <f t="shared" si="47"/>
        <v>-1</v>
      </c>
      <c r="O223" s="12"/>
      <c r="P223" s="8">
        <v>3430.32</v>
      </c>
      <c r="Q223" s="3"/>
      <c r="R223" s="7">
        <f t="shared" si="48"/>
        <v>3.9283655546297383E-4</v>
      </c>
      <c r="S223" s="3"/>
      <c r="T223" s="8">
        <v>41737.910000000003</v>
      </c>
      <c r="U223" s="3"/>
      <c r="V223" s="7">
        <f t="shared" si="49"/>
        <v>5.8576042609072686E-3</v>
      </c>
      <c r="W223" s="3"/>
      <c r="X223" s="8">
        <f t="shared" si="50"/>
        <v>-38307.590000000004</v>
      </c>
      <c r="Y223" s="3"/>
      <c r="Z223" s="7">
        <f t="shared" si="51"/>
        <v>-0.91781284688188747</v>
      </c>
    </row>
    <row r="224" spans="1:26" s="69" customFormat="1" ht="15" hidden="1" customHeight="1" outlineLevel="2" x14ac:dyDescent="0.3">
      <c r="A224" s="26"/>
      <c r="B224" s="12" t="str">
        <f>CONCATENATE("          ","6237"," - ","JANITORIAL SUPPLIES")</f>
        <v xml:space="preserve">          6237 - JANITORIAL SUPPLIES</v>
      </c>
      <c r="C224" s="12"/>
      <c r="D224" s="8">
        <v>1406.74</v>
      </c>
      <c r="E224" s="3"/>
      <c r="F224" s="7">
        <f t="shared" si="44"/>
        <v>1.1786914662935584E-3</v>
      </c>
      <c r="G224" s="3"/>
      <c r="H224" s="8">
        <v>588.30999999999995</v>
      </c>
      <c r="I224" s="3"/>
      <c r="J224" s="7">
        <f t="shared" si="45"/>
        <v>6.9895976998281966E-4</v>
      </c>
      <c r="K224" s="3"/>
      <c r="L224" s="8">
        <f t="shared" si="46"/>
        <v>818.43000000000006</v>
      </c>
      <c r="M224" s="3"/>
      <c r="N224" s="7">
        <f t="shared" si="47"/>
        <v>1.3911543234009283</v>
      </c>
      <c r="O224" s="12"/>
      <c r="P224" s="8">
        <v>6195.9</v>
      </c>
      <c r="Q224" s="3"/>
      <c r="R224" s="7">
        <f t="shared" si="48"/>
        <v>7.0954780136927144E-4</v>
      </c>
      <c r="S224" s="3"/>
      <c r="T224" s="8">
        <v>3489.55</v>
      </c>
      <c r="U224" s="3"/>
      <c r="V224" s="7">
        <f t="shared" si="49"/>
        <v>4.8973230687997932E-4</v>
      </c>
      <c r="W224" s="3"/>
      <c r="X224" s="8">
        <f t="shared" si="50"/>
        <v>2706.3499999999995</v>
      </c>
      <c r="Y224" s="3"/>
      <c r="Z224" s="7">
        <f t="shared" si="51"/>
        <v>0.77555845309567117</v>
      </c>
    </row>
    <row r="225" spans="1:26" s="69" customFormat="1" ht="15" hidden="1" customHeight="1" outlineLevel="2" x14ac:dyDescent="0.3">
      <c r="A225" s="26"/>
      <c r="B225" s="12" t="str">
        <f>CONCATENATE("          ","6241"," - ","OFFICE EXPENSE")</f>
        <v xml:space="preserve">          6241 - OFFICE EXPENSE</v>
      </c>
      <c r="C225" s="12"/>
      <c r="D225" s="8">
        <v>3839</v>
      </c>
      <c r="E225" s="3"/>
      <c r="F225" s="7">
        <f t="shared" si="44"/>
        <v>3.2166544913068305E-3</v>
      </c>
      <c r="G225" s="3"/>
      <c r="H225" s="8">
        <v>534.11</v>
      </c>
      <c r="I225" s="3"/>
      <c r="J225" s="7">
        <f t="shared" si="45"/>
        <v>6.3456579481144953E-4</v>
      </c>
      <c r="K225" s="3"/>
      <c r="L225" s="8">
        <f t="shared" si="46"/>
        <v>3304.89</v>
      </c>
      <c r="M225" s="3"/>
      <c r="N225" s="7">
        <f t="shared" si="47"/>
        <v>6.187657973076707</v>
      </c>
      <c r="O225" s="12"/>
      <c r="P225" s="8">
        <v>19026.79</v>
      </c>
      <c r="Q225" s="3"/>
      <c r="R225" s="7">
        <f t="shared" si="48"/>
        <v>2.1789275184581481E-3</v>
      </c>
      <c r="S225" s="3"/>
      <c r="T225" s="8">
        <v>12297.75</v>
      </c>
      <c r="U225" s="3"/>
      <c r="V225" s="7">
        <f t="shared" si="49"/>
        <v>1.725897458678989E-3</v>
      </c>
      <c r="W225" s="3"/>
      <c r="X225" s="8">
        <f t="shared" si="50"/>
        <v>6729.0400000000009</v>
      </c>
      <c r="Y225" s="3"/>
      <c r="Z225" s="7">
        <f t="shared" si="51"/>
        <v>0.54717651602935502</v>
      </c>
    </row>
    <row r="226" spans="1:26" s="69" customFormat="1" ht="15" hidden="1" customHeight="1" outlineLevel="2" x14ac:dyDescent="0.3">
      <c r="A226" s="26"/>
      <c r="B226" s="12" t="str">
        <f>CONCATENATE("          ","6243"," - ","PAPER SUPPLIES")</f>
        <v xml:space="preserve">          6243 - PAPER SUPPLIES</v>
      </c>
      <c r="C226" s="12"/>
      <c r="D226" s="8">
        <v>410.22</v>
      </c>
      <c r="E226" s="3"/>
      <c r="F226" s="7">
        <f t="shared" si="44"/>
        <v>3.4371867815157284E-4</v>
      </c>
      <c r="G226" s="3"/>
      <c r="H226" s="8">
        <v>199.93</v>
      </c>
      <c r="I226" s="3"/>
      <c r="J226" s="7">
        <f t="shared" si="45"/>
        <v>2.3753297889321132E-4</v>
      </c>
      <c r="K226" s="3"/>
      <c r="L226" s="8">
        <f t="shared" si="46"/>
        <v>210.29000000000002</v>
      </c>
      <c r="M226" s="3"/>
      <c r="N226" s="7">
        <f t="shared" si="47"/>
        <v>1.0518181363477217</v>
      </c>
      <c r="O226" s="12"/>
      <c r="P226" s="8">
        <v>7245.36</v>
      </c>
      <c r="Q226" s="3"/>
      <c r="R226" s="7">
        <f t="shared" si="48"/>
        <v>8.2973083137701778E-4</v>
      </c>
      <c r="S226" s="3"/>
      <c r="T226" s="8">
        <v>6682.58</v>
      </c>
      <c r="U226" s="3"/>
      <c r="V226" s="7">
        <f t="shared" si="49"/>
        <v>9.3785024410311137E-4</v>
      </c>
      <c r="W226" s="3"/>
      <c r="X226" s="8">
        <f t="shared" si="50"/>
        <v>562.77999999999975</v>
      </c>
      <c r="Y226" s="3"/>
      <c r="Z226" s="7">
        <f t="shared" si="51"/>
        <v>8.421597646417997E-2</v>
      </c>
    </row>
    <row r="227" spans="1:26" s="69" customFormat="1" ht="15" hidden="1" customHeight="1" outlineLevel="2" x14ac:dyDescent="0.3">
      <c r="A227" s="26"/>
      <c r="B227" s="12" t="str">
        <f>CONCATENATE("          ","6245"," - ","PRINTING")</f>
        <v xml:space="preserve">          6245 - PRINTING</v>
      </c>
      <c r="C227" s="12"/>
      <c r="D227" s="8">
        <v>-45.84</v>
      </c>
      <c r="E227" s="3"/>
      <c r="F227" s="7">
        <f t="shared" si="44"/>
        <v>-3.8408815285622591E-5</v>
      </c>
      <c r="G227" s="3"/>
      <c r="H227" s="8">
        <v>1766.38</v>
      </c>
      <c r="I227" s="3"/>
      <c r="J227" s="7">
        <f t="shared" si="45"/>
        <v>2.0986020269964018E-3</v>
      </c>
      <c r="K227" s="3"/>
      <c r="L227" s="8">
        <f t="shared" si="46"/>
        <v>-1812.22</v>
      </c>
      <c r="M227" s="3"/>
      <c r="N227" s="7">
        <f t="shared" si="47"/>
        <v>-1.0259513807900904</v>
      </c>
      <c r="O227" s="12"/>
      <c r="P227" s="8">
        <v>6940.68</v>
      </c>
      <c r="Q227" s="3"/>
      <c r="R227" s="7">
        <f t="shared" si="48"/>
        <v>7.948392056049444E-4</v>
      </c>
      <c r="S227" s="3"/>
      <c r="T227" s="8">
        <v>3120.59</v>
      </c>
      <c r="U227" s="3"/>
      <c r="V227" s="7">
        <f t="shared" si="49"/>
        <v>4.3795152369978786E-4</v>
      </c>
      <c r="W227" s="3"/>
      <c r="X227" s="8">
        <f t="shared" si="50"/>
        <v>3820.09</v>
      </c>
      <c r="Y227" s="3"/>
      <c r="Z227" s="7">
        <f t="shared" si="51"/>
        <v>1.2241563294120663</v>
      </c>
    </row>
    <row r="228" spans="1:26" s="69" customFormat="1" ht="15" hidden="1" customHeight="1" outlineLevel="2" x14ac:dyDescent="0.3">
      <c r="A228" s="26"/>
      <c r="B228" s="12" t="str">
        <f>CONCATENATE("          ","6247"," - ","STORE SUPPLIES")</f>
        <v xml:space="preserve">          6247 - STORE SUPPLIES</v>
      </c>
      <c r="C228" s="12"/>
      <c r="D228" s="8">
        <v>2231.5</v>
      </c>
      <c r="E228" s="3"/>
      <c r="F228" s="7">
        <f t="shared" si="44"/>
        <v>1.869748501524145E-3</v>
      </c>
      <c r="G228" s="3"/>
      <c r="H228" s="8">
        <v>2162.46</v>
      </c>
      <c r="I228" s="3"/>
      <c r="J228" s="7">
        <f t="shared" si="45"/>
        <v>2.5691770396509468E-3</v>
      </c>
      <c r="K228" s="3"/>
      <c r="L228" s="8">
        <f t="shared" si="46"/>
        <v>69.039999999999964</v>
      </c>
      <c r="M228" s="3"/>
      <c r="N228" s="7">
        <f t="shared" si="47"/>
        <v>3.1926602110559255E-2</v>
      </c>
      <c r="O228" s="12"/>
      <c r="P228" s="8">
        <v>49622.49</v>
      </c>
      <c r="Q228" s="3"/>
      <c r="R228" s="7">
        <f t="shared" si="48"/>
        <v>5.6827141622635387E-3</v>
      </c>
      <c r="S228" s="3"/>
      <c r="T228" s="8">
        <v>46466.31</v>
      </c>
      <c r="U228" s="3"/>
      <c r="V228" s="7">
        <f t="shared" si="49"/>
        <v>6.5211999221963437E-3</v>
      </c>
      <c r="W228" s="3"/>
      <c r="X228" s="8">
        <f t="shared" si="50"/>
        <v>3156.1800000000003</v>
      </c>
      <c r="Y228" s="3"/>
      <c r="Z228" s="7">
        <f t="shared" si="51"/>
        <v>6.7924050780016759E-2</v>
      </c>
    </row>
    <row r="229" spans="1:26" s="68" customFormat="1" ht="15" customHeight="1" outlineLevel="1" collapsed="1" x14ac:dyDescent="0.3">
      <c r="A229" s="25"/>
      <c r="B229" s="14" t="str">
        <f>CONCATENATE("     ","Telephone/Data Lines                              ")</f>
        <v xml:space="preserve">     Telephone/Data Lines                              </v>
      </c>
      <c r="C229" s="14"/>
      <c r="D229" s="2">
        <f>SUM(OSRRefD22_21x_0)</f>
        <v>2313.91</v>
      </c>
      <c r="E229" s="2"/>
      <c r="F229" s="6">
        <f t="shared" si="44"/>
        <v>1.9387989043969231E-3</v>
      </c>
      <c r="G229" s="2"/>
      <c r="H229" s="2">
        <f>SUM(OSRRefH22_21x_0)</f>
        <v>2234.06</v>
      </c>
      <c r="I229" s="2"/>
      <c r="J229" s="6">
        <f t="shared" si="45"/>
        <v>2.6542436193976275E-3</v>
      </c>
      <c r="K229" s="2"/>
      <c r="L229" s="2">
        <f t="shared" si="46"/>
        <v>79.849999999999909</v>
      </c>
      <c r="M229" s="2"/>
      <c r="N229" s="6">
        <f t="shared" si="47"/>
        <v>3.5742101823585719E-2</v>
      </c>
      <c r="O229" s="14"/>
      <c r="P229" s="2">
        <f>SUM(OSRRefP22_21x_0)</f>
        <v>20413.07</v>
      </c>
      <c r="Q229" s="2"/>
      <c r="R229" s="6">
        <f t="shared" si="48"/>
        <v>2.337682812456146E-3</v>
      </c>
      <c r="S229" s="2"/>
      <c r="T229" s="2">
        <f>SUM(OSRRefT22_21x_0)</f>
        <v>24708.98</v>
      </c>
      <c r="U229" s="2"/>
      <c r="V229" s="6">
        <f t="shared" si="49"/>
        <v>3.4677209886808534E-3</v>
      </c>
      <c r="W229" s="2"/>
      <c r="X229" s="2">
        <f t="shared" si="50"/>
        <v>-4295.91</v>
      </c>
      <c r="Y229" s="2"/>
      <c r="Z229" s="6">
        <f t="shared" si="51"/>
        <v>-0.17386027266200385</v>
      </c>
    </row>
    <row r="230" spans="1:26" s="69" customFormat="1" ht="15" hidden="1" customHeight="1" outlineLevel="2" x14ac:dyDescent="0.3">
      <c r="A230" s="26"/>
      <c r="B230" s="12" t="str">
        <f>CONCATENATE("          ","6303"," - ","DATA PHONE LINES")</f>
        <v xml:space="preserve">          6303 - DATA PHONE LINES</v>
      </c>
      <c r="C230" s="12"/>
      <c r="D230" s="8"/>
      <c r="E230" s="3"/>
      <c r="F230" s="7">
        <f t="shared" si="44"/>
        <v>0</v>
      </c>
      <c r="G230" s="3"/>
      <c r="H230" s="8">
        <v>590</v>
      </c>
      <c r="I230" s="3"/>
      <c r="J230" s="7">
        <f t="shared" si="45"/>
        <v>7.0096762640421489E-4</v>
      </c>
      <c r="K230" s="3"/>
      <c r="L230" s="8">
        <f t="shared" si="46"/>
        <v>-590</v>
      </c>
      <c r="M230" s="3"/>
      <c r="N230" s="7">
        <f t="shared" si="47"/>
        <v>-1</v>
      </c>
      <c r="O230" s="12"/>
      <c r="P230" s="8">
        <v>295</v>
      </c>
      <c r="Q230" s="3"/>
      <c r="R230" s="7">
        <f t="shared" si="48"/>
        <v>3.3783082587507076E-5</v>
      </c>
      <c r="S230" s="3"/>
      <c r="T230" s="8">
        <v>3540</v>
      </c>
      <c r="U230" s="3"/>
      <c r="V230" s="7">
        <f t="shared" si="49"/>
        <v>4.9681258797126479E-4</v>
      </c>
      <c r="W230" s="3"/>
      <c r="X230" s="8">
        <f t="shared" si="50"/>
        <v>-3245</v>
      </c>
      <c r="Y230" s="3"/>
      <c r="Z230" s="7">
        <f t="shared" si="51"/>
        <v>-0.91666666666666663</v>
      </c>
    </row>
    <row r="231" spans="1:26" s="69" customFormat="1" ht="15" hidden="1" customHeight="1" outlineLevel="2" x14ac:dyDescent="0.3">
      <c r="A231" s="26"/>
      <c r="B231" s="12" t="str">
        <f>CONCATENATE("          ","6309"," - ","TELEPHONE")</f>
        <v xml:space="preserve">          6309 - TELEPHONE</v>
      </c>
      <c r="C231" s="12"/>
      <c r="D231" s="8">
        <v>2313.91</v>
      </c>
      <c r="E231" s="3"/>
      <c r="F231" s="7">
        <f t="shared" si="44"/>
        <v>1.9387989043969231E-3</v>
      </c>
      <c r="G231" s="3"/>
      <c r="H231" s="8">
        <v>1644.06</v>
      </c>
      <c r="I231" s="3"/>
      <c r="J231" s="7">
        <f t="shared" si="45"/>
        <v>1.9532759929934127E-3</v>
      </c>
      <c r="K231" s="3"/>
      <c r="L231" s="8">
        <f t="shared" si="46"/>
        <v>669.84999999999991</v>
      </c>
      <c r="M231" s="3"/>
      <c r="N231" s="7">
        <f t="shared" si="47"/>
        <v>0.40743646825541641</v>
      </c>
      <c r="O231" s="12"/>
      <c r="P231" s="8">
        <v>20118.07</v>
      </c>
      <c r="Q231" s="3"/>
      <c r="R231" s="7">
        <f t="shared" si="48"/>
        <v>2.3038997298686389E-3</v>
      </c>
      <c r="S231" s="3"/>
      <c r="T231" s="8">
        <v>21168.98</v>
      </c>
      <c r="U231" s="3"/>
      <c r="V231" s="7">
        <f t="shared" si="49"/>
        <v>2.9709084007095887E-3</v>
      </c>
      <c r="W231" s="3"/>
      <c r="X231" s="8">
        <f t="shared" si="50"/>
        <v>-1050.9099999999999</v>
      </c>
      <c r="Y231" s="3"/>
      <c r="Z231" s="7">
        <f t="shared" si="51"/>
        <v>-4.964386569404855E-2</v>
      </c>
    </row>
    <row r="232" spans="1:26" s="68" customFormat="1" ht="15" customHeight="1" outlineLevel="1" collapsed="1" x14ac:dyDescent="0.3">
      <c r="A232" s="25"/>
      <c r="B232" s="14" t="str">
        <f>CONCATENATE("     ","Training                                          ")</f>
        <v xml:space="preserve">     Training                                          </v>
      </c>
      <c r="C232" s="14"/>
      <c r="D232" s="2">
        <f>SUM(OSRRefD22_22x_0)</f>
        <v>125</v>
      </c>
      <c r="E232" s="2"/>
      <c r="F232" s="6">
        <f t="shared" si="44"/>
        <v>1.0473608007641412E-4</v>
      </c>
      <c r="G232" s="2"/>
      <c r="H232" s="2">
        <f>SUM(OSRRefH22_22x_0)</f>
        <v>0</v>
      </c>
      <c r="I232" s="2"/>
      <c r="J232" s="6">
        <f t="shared" si="45"/>
        <v>0</v>
      </c>
      <c r="K232" s="2"/>
      <c r="L232" s="2">
        <f t="shared" si="46"/>
        <v>125</v>
      </c>
      <c r="M232" s="2"/>
      <c r="N232" s="6">
        <f t="shared" si="47"/>
        <v>0</v>
      </c>
      <c r="O232" s="14"/>
      <c r="P232" s="2">
        <f>SUM(OSRRefP22_22x_0)</f>
        <v>1219</v>
      </c>
      <c r="Q232" s="2"/>
      <c r="R232" s="6">
        <f t="shared" si="48"/>
        <v>1.3959856838702075E-4</v>
      </c>
      <c r="S232" s="2"/>
      <c r="T232" s="2">
        <f>SUM(OSRRefT22_22x_0)</f>
        <v>995.63</v>
      </c>
      <c r="U232" s="2"/>
      <c r="V232" s="6">
        <f t="shared" si="49"/>
        <v>1.3972924207961309E-4</v>
      </c>
      <c r="W232" s="2"/>
      <c r="X232" s="2">
        <f t="shared" si="50"/>
        <v>223.37</v>
      </c>
      <c r="Y232" s="2"/>
      <c r="Z232" s="6">
        <f t="shared" si="51"/>
        <v>0.22435041129736952</v>
      </c>
    </row>
    <row r="233" spans="1:26" s="69" customFormat="1" ht="15" hidden="1" customHeight="1" outlineLevel="2" x14ac:dyDescent="0.3">
      <c r="A233" s="26"/>
      <c r="B233" s="12" t="str">
        <f>CONCATENATE("          ","6376"," - ","TRAINING")</f>
        <v xml:space="preserve">          6376 - TRAINING</v>
      </c>
      <c r="C233" s="12"/>
      <c r="D233" s="8">
        <v>125</v>
      </c>
      <c r="E233" s="3"/>
      <c r="F233" s="7">
        <f t="shared" si="44"/>
        <v>1.0473608007641412E-4</v>
      </c>
      <c r="G233" s="3"/>
      <c r="H233" s="8"/>
      <c r="I233" s="3"/>
      <c r="J233" s="7">
        <f t="shared" si="45"/>
        <v>0</v>
      </c>
      <c r="K233" s="3"/>
      <c r="L233" s="8">
        <f t="shared" si="46"/>
        <v>125</v>
      </c>
      <c r="M233" s="3"/>
      <c r="N233" s="7">
        <f t="shared" si="47"/>
        <v>0</v>
      </c>
      <c r="O233" s="12"/>
      <c r="P233" s="8">
        <v>1219</v>
      </c>
      <c r="Q233" s="3"/>
      <c r="R233" s="7">
        <f t="shared" si="48"/>
        <v>1.3959856838702075E-4</v>
      </c>
      <c r="S233" s="3"/>
      <c r="T233" s="8">
        <v>995.63</v>
      </c>
      <c r="U233" s="3"/>
      <c r="V233" s="7">
        <f t="shared" si="49"/>
        <v>1.3972924207961309E-4</v>
      </c>
      <c r="W233" s="3"/>
      <c r="X233" s="8">
        <f t="shared" si="50"/>
        <v>223.37</v>
      </c>
      <c r="Y233" s="3"/>
      <c r="Z233" s="7">
        <f t="shared" si="51"/>
        <v>0.22435041129736952</v>
      </c>
    </row>
    <row r="234" spans="1:26" s="68" customFormat="1" ht="15" customHeight="1" outlineLevel="1" collapsed="1" x14ac:dyDescent="0.3">
      <c r="A234" s="25"/>
      <c r="B234" s="14" t="str">
        <f>CONCATENATE("     ","Travel                                            ")</f>
        <v xml:space="preserve">     Travel                                            </v>
      </c>
      <c r="C234" s="14"/>
      <c r="D234" s="2">
        <f>SUM(OSRRefD22_23x_0)</f>
        <v>149.41</v>
      </c>
      <c r="E234" s="2"/>
      <c r="F234" s="6">
        <f t="shared" si="44"/>
        <v>1.2518894179373627E-4</v>
      </c>
      <c r="G234" s="2"/>
      <c r="H234" s="2">
        <f>SUM(OSRRefH22_23x_0)</f>
        <v>69.069999999999993</v>
      </c>
      <c r="I234" s="2"/>
      <c r="J234" s="6">
        <f t="shared" si="45"/>
        <v>8.2060735518201897E-5</v>
      </c>
      <c r="K234" s="2"/>
      <c r="L234" s="2">
        <f t="shared" si="46"/>
        <v>80.34</v>
      </c>
      <c r="M234" s="2"/>
      <c r="N234" s="6">
        <f t="shared" si="47"/>
        <v>1.1631678007818158</v>
      </c>
      <c r="O234" s="14"/>
      <c r="P234" s="2">
        <f>SUM(OSRRefP22_23x_0)</f>
        <v>1284.98</v>
      </c>
      <c r="Q234" s="2"/>
      <c r="R234" s="6">
        <f t="shared" si="48"/>
        <v>1.4715452699421981E-4</v>
      </c>
      <c r="S234" s="2"/>
      <c r="T234" s="2">
        <f>SUM(OSRRefT22_23x_0)</f>
        <v>972.4</v>
      </c>
      <c r="U234" s="2"/>
      <c r="V234" s="6">
        <f t="shared" si="49"/>
        <v>1.3646908489922538E-4</v>
      </c>
      <c r="W234" s="2"/>
      <c r="X234" s="2">
        <f t="shared" si="50"/>
        <v>312.58000000000004</v>
      </c>
      <c r="Y234" s="2"/>
      <c r="Z234" s="6">
        <f t="shared" si="51"/>
        <v>0.32145207733443032</v>
      </c>
    </row>
    <row r="235" spans="1:26" s="69" customFormat="1" ht="15" hidden="1" customHeight="1" outlineLevel="2" x14ac:dyDescent="0.3">
      <c r="A235" s="26"/>
      <c r="B235" s="12" t="str">
        <f>CONCATENATE("          ","6292"," - ","TRAVEL/CONFERENCE")</f>
        <v xml:space="preserve">          6292 - TRAVEL/CONFERENCE</v>
      </c>
      <c r="C235" s="12"/>
      <c r="D235" s="8"/>
      <c r="E235" s="3"/>
      <c r="F235" s="7">
        <f t="shared" si="44"/>
        <v>0</v>
      </c>
      <c r="G235" s="3"/>
      <c r="H235" s="8"/>
      <c r="I235" s="3"/>
      <c r="J235" s="7">
        <f t="shared" si="45"/>
        <v>0</v>
      </c>
      <c r="K235" s="3"/>
      <c r="L235" s="8">
        <f t="shared" si="46"/>
        <v>0</v>
      </c>
      <c r="M235" s="3"/>
      <c r="N235" s="7">
        <f t="shared" si="47"/>
        <v>0</v>
      </c>
      <c r="O235" s="12"/>
      <c r="P235" s="8">
        <v>495</v>
      </c>
      <c r="Q235" s="3"/>
      <c r="R235" s="7">
        <f t="shared" si="48"/>
        <v>5.6686867392596617E-5</v>
      </c>
      <c r="S235" s="3"/>
      <c r="T235" s="8">
        <v>299.16000000000003</v>
      </c>
      <c r="U235" s="3"/>
      <c r="V235" s="7">
        <f t="shared" si="49"/>
        <v>4.1984873959741121E-5</v>
      </c>
      <c r="W235" s="3"/>
      <c r="X235" s="8">
        <f t="shared" si="50"/>
        <v>195.83999999999997</v>
      </c>
      <c r="Y235" s="3"/>
      <c r="Z235" s="7">
        <f t="shared" si="51"/>
        <v>0.65463297232250284</v>
      </c>
    </row>
    <row r="236" spans="1:26" s="69" customFormat="1" ht="15" hidden="1" customHeight="1" outlineLevel="2" x14ac:dyDescent="0.3">
      <c r="A236" s="26"/>
      <c r="B236" s="12" t="str">
        <f>CONCATENATE("          ","6294"," - ","TRAVEL OPERATIONAL")</f>
        <v xml:space="preserve">          6294 - TRAVEL OPERATIONAL</v>
      </c>
      <c r="C236" s="12"/>
      <c r="D236" s="8"/>
      <c r="E236" s="3"/>
      <c r="F236" s="7">
        <f t="shared" si="44"/>
        <v>0</v>
      </c>
      <c r="G236" s="3"/>
      <c r="H236" s="8">
        <v>69.069999999999993</v>
      </c>
      <c r="I236" s="3"/>
      <c r="J236" s="7">
        <f t="shared" si="45"/>
        <v>8.2060735518201897E-5</v>
      </c>
      <c r="K236" s="3"/>
      <c r="L236" s="8">
        <f t="shared" si="46"/>
        <v>-69.069999999999993</v>
      </c>
      <c r="M236" s="3"/>
      <c r="N236" s="7">
        <f t="shared" si="47"/>
        <v>-1</v>
      </c>
      <c r="O236" s="12"/>
      <c r="P236" s="8">
        <v>403.48</v>
      </c>
      <c r="Q236" s="3"/>
      <c r="R236" s="7">
        <f t="shared" si="48"/>
        <v>4.6206095465787644E-5</v>
      </c>
      <c r="S236" s="3"/>
      <c r="T236" s="8">
        <v>613.35</v>
      </c>
      <c r="U236" s="3"/>
      <c r="V236" s="7">
        <f t="shared" si="49"/>
        <v>8.6079096280275487E-5</v>
      </c>
      <c r="W236" s="3"/>
      <c r="X236" s="8">
        <f t="shared" si="50"/>
        <v>-209.87</v>
      </c>
      <c r="Y236" s="3"/>
      <c r="Z236" s="7">
        <f t="shared" si="51"/>
        <v>-0.34217004972690956</v>
      </c>
    </row>
    <row r="237" spans="1:26" s="69" customFormat="1" ht="15" hidden="1" customHeight="1" outlineLevel="2" x14ac:dyDescent="0.3">
      <c r="A237" s="26"/>
      <c r="B237" s="12" t="str">
        <f>CONCATENATE("          ","6298"," - ","VEHICLE MILEAGE")</f>
        <v xml:space="preserve">          6298 - VEHICLE MILEAGE</v>
      </c>
      <c r="C237" s="12"/>
      <c r="D237" s="8">
        <v>149.41</v>
      </c>
      <c r="E237" s="3"/>
      <c r="F237" s="7">
        <f t="shared" si="44"/>
        <v>1.2518894179373627E-4</v>
      </c>
      <c r="G237" s="3"/>
      <c r="H237" s="8"/>
      <c r="I237" s="3"/>
      <c r="J237" s="7">
        <f t="shared" si="45"/>
        <v>0</v>
      </c>
      <c r="K237" s="3"/>
      <c r="L237" s="8">
        <f t="shared" si="46"/>
        <v>149.41</v>
      </c>
      <c r="M237" s="3"/>
      <c r="N237" s="7">
        <f t="shared" si="47"/>
        <v>0</v>
      </c>
      <c r="O237" s="12"/>
      <c r="P237" s="8">
        <v>386.5</v>
      </c>
      <c r="Q237" s="3"/>
      <c r="R237" s="7">
        <f t="shared" si="48"/>
        <v>4.4261564135835541E-5</v>
      </c>
      <c r="S237" s="3"/>
      <c r="T237" s="8">
        <v>59.89</v>
      </c>
      <c r="U237" s="3"/>
      <c r="V237" s="7">
        <f t="shared" si="49"/>
        <v>8.40511465920877E-6</v>
      </c>
      <c r="W237" s="3"/>
      <c r="X237" s="8">
        <f t="shared" si="50"/>
        <v>326.61</v>
      </c>
      <c r="Y237" s="3"/>
      <c r="Z237" s="7">
        <f t="shared" si="51"/>
        <v>5.4534980798129906</v>
      </c>
    </row>
    <row r="238" spans="1:26" s="68" customFormat="1" ht="15" customHeight="1" outlineLevel="1" collapsed="1" x14ac:dyDescent="0.3">
      <c r="A238" s="25"/>
      <c r="B238" s="14" t="str">
        <f>CONCATENATE("     ","Utilities                                         ")</f>
        <v xml:space="preserve">     Utilities                                         </v>
      </c>
      <c r="C238" s="14"/>
      <c r="D238" s="2">
        <f>SUM(OSRRefD22_24x_0)</f>
        <v>6254.32</v>
      </c>
      <c r="E238" s="2"/>
      <c r="F238" s="6">
        <f t="shared" si="44"/>
        <v>5.2404236827481463E-3</v>
      </c>
      <c r="G238" s="2"/>
      <c r="H238" s="2">
        <f>SUM(OSRRefH22_24x_0)</f>
        <v>6161.93</v>
      </c>
      <c r="I238" s="2"/>
      <c r="J238" s="6">
        <f t="shared" si="45"/>
        <v>7.3208702477439392E-3</v>
      </c>
      <c r="K238" s="2"/>
      <c r="L238" s="2">
        <f t="shared" si="46"/>
        <v>92.389999999999418</v>
      </c>
      <c r="M238" s="2"/>
      <c r="N238" s="6">
        <f t="shared" si="47"/>
        <v>1.4993678928517431E-2</v>
      </c>
      <c r="O238" s="14"/>
      <c r="P238" s="2">
        <f>SUM(OSRRefP22_24x_0)</f>
        <v>55287.22</v>
      </c>
      <c r="Q238" s="2"/>
      <c r="R238" s="6">
        <f t="shared" si="48"/>
        <v>6.3314329467582132E-3</v>
      </c>
      <c r="S238" s="2"/>
      <c r="T238" s="2">
        <f>SUM(OSRRefT22_24x_0)</f>
        <v>58679.55</v>
      </c>
      <c r="U238" s="2"/>
      <c r="V238" s="6">
        <f t="shared" si="49"/>
        <v>8.2352370329065623E-3</v>
      </c>
      <c r="W238" s="2"/>
      <c r="X238" s="2">
        <f t="shared" si="50"/>
        <v>-3392.3300000000017</v>
      </c>
      <c r="Y238" s="2"/>
      <c r="Z238" s="6">
        <f t="shared" si="51"/>
        <v>-5.781111136673682E-2</v>
      </c>
    </row>
    <row r="239" spans="1:26" s="69" customFormat="1" ht="15" hidden="1" customHeight="1" outlineLevel="2" x14ac:dyDescent="0.3">
      <c r="A239" s="26"/>
      <c r="B239" s="12" t="str">
        <f>CONCATENATE("          ","6274"," - ","UTILITIES")</f>
        <v xml:space="preserve">          6274 - UTILITIES</v>
      </c>
      <c r="C239" s="12"/>
      <c r="D239" s="8">
        <v>6254.32</v>
      </c>
      <c r="E239" s="3"/>
      <c r="F239" s="7">
        <f t="shared" si="44"/>
        <v>5.2404236827481463E-3</v>
      </c>
      <c r="G239" s="3"/>
      <c r="H239" s="8">
        <v>6161.93</v>
      </c>
      <c r="I239" s="3"/>
      <c r="J239" s="7">
        <f t="shared" si="45"/>
        <v>7.3208702477439392E-3</v>
      </c>
      <c r="K239" s="3"/>
      <c r="L239" s="8">
        <f t="shared" si="46"/>
        <v>92.389999999999418</v>
      </c>
      <c r="M239" s="3"/>
      <c r="N239" s="7">
        <f t="shared" si="47"/>
        <v>1.4993678928517431E-2</v>
      </c>
      <c r="O239" s="12"/>
      <c r="P239" s="8">
        <v>55287.22</v>
      </c>
      <c r="Q239" s="3"/>
      <c r="R239" s="7">
        <f t="shared" si="48"/>
        <v>6.3314329467582132E-3</v>
      </c>
      <c r="S239" s="3"/>
      <c r="T239" s="8">
        <v>58679.55</v>
      </c>
      <c r="U239" s="3"/>
      <c r="V239" s="7">
        <f t="shared" si="49"/>
        <v>8.2352370329065623E-3</v>
      </c>
      <c r="W239" s="3"/>
      <c r="X239" s="8">
        <f t="shared" si="50"/>
        <v>-3392.3300000000017</v>
      </c>
      <c r="Y239" s="3"/>
      <c r="Z239" s="7">
        <f t="shared" si="51"/>
        <v>-5.781111136673682E-2</v>
      </c>
    </row>
    <row r="240" spans="1:26" s="64" customFormat="1" ht="15" customHeight="1" x14ac:dyDescent="0.3">
      <c r="A240" s="36"/>
      <c r="B240" s="36"/>
      <c r="C240" s="36"/>
      <c r="D240" s="2"/>
      <c r="E240" s="2"/>
      <c r="F240" s="6"/>
      <c r="G240" s="2"/>
      <c r="H240" s="2"/>
      <c r="I240" s="2"/>
      <c r="J240" s="6"/>
      <c r="K240" s="2"/>
      <c r="L240" s="2"/>
      <c r="M240" s="2"/>
      <c r="N240" s="6"/>
      <c r="O240" s="36"/>
      <c r="P240" s="2"/>
      <c r="Q240" s="2"/>
      <c r="R240" s="6"/>
      <c r="S240" s="2"/>
      <c r="T240" s="2"/>
      <c r="U240" s="2"/>
      <c r="V240" s="6"/>
      <c r="W240" s="2"/>
      <c r="X240" s="2"/>
      <c r="Y240" s="2"/>
      <c r="Z240" s="6"/>
    </row>
    <row r="241" spans="1:26" s="62" customFormat="1" ht="15" customHeight="1" collapsed="1" x14ac:dyDescent="0.3">
      <c r="A241" s="11"/>
      <c r="B241" s="27" t="s">
        <v>290</v>
      </c>
      <c r="C241" s="11"/>
      <c r="D241" s="5">
        <f>SUM(OSRRefD25x_0)</f>
        <v>56550.91</v>
      </c>
      <c r="E241" s="5"/>
      <c r="F241" s="13">
        <f t="shared" ref="F241:F248" si="52">IF(D$12=0,0,D241/D$12)</f>
        <v>4.7383365105232708E-2</v>
      </c>
      <c r="G241" s="5"/>
      <c r="H241" s="5">
        <f>SUM(OSRRefH25x_0)</f>
        <v>7587.3200000000006</v>
      </c>
      <c r="I241" s="5"/>
      <c r="J241" s="13">
        <f t="shared" ref="J241:J248" si="53">IF(H$12=0,0,H241/H$12)</f>
        <v>9.0143486291003865E-3</v>
      </c>
      <c r="K241" s="5"/>
      <c r="L241" s="5">
        <f t="shared" ref="L241:L248" si="54">+D241-H241</f>
        <v>48963.590000000004</v>
      </c>
      <c r="M241" s="5"/>
      <c r="N241" s="13">
        <f t="shared" ref="N241:N248" si="55">IF(H241=0,0,L241/H241)</f>
        <v>6.4533445274484267</v>
      </c>
      <c r="O241" s="11"/>
      <c r="P241" s="5">
        <f>SUM(OSRRefP25x_0)</f>
        <v>970799.19000000018</v>
      </c>
      <c r="Q241" s="5"/>
      <c r="R241" s="13">
        <f t="shared" ref="R241:R248" si="56">IF(P$12=0,0,P241/P$12)</f>
        <v>0.1111748786835762</v>
      </c>
      <c r="S241" s="5"/>
      <c r="T241" s="5">
        <f>SUM(OSRRefT25x_0)</f>
        <v>996729.42999999993</v>
      </c>
      <c r="U241" s="5"/>
      <c r="V241" s="13">
        <f t="shared" ref="V241:V248" si="57">IF(T$12=0,0,T241/T$12)</f>
        <v>0.13988353887723828</v>
      </c>
      <c r="W241" s="5"/>
      <c r="X241" s="5">
        <f t="shared" ref="X241:X248" si="58">+P241-T241</f>
        <v>-25930.239999999758</v>
      </c>
      <c r="Y241" s="5"/>
      <c r="Z241" s="13">
        <f t="shared" ref="Z241:Z248" si="59">IF(T241=0,0,X241/T241)</f>
        <v>-2.6015324941293005E-2</v>
      </c>
    </row>
    <row r="242" spans="1:26" s="69" customFormat="1" ht="15" hidden="1" customHeight="1" outlineLevel="1" x14ac:dyDescent="0.3">
      <c r="A242" s="42"/>
      <c r="B242" s="12" t="str">
        <f>CONCATENATE("          ","4098"," - ","TAXABLE SALES-GRAD RENTALS")</f>
        <v xml:space="preserve">          4098 - TAXABLE SALES-GRAD RENTALS</v>
      </c>
      <c r="C242" s="12"/>
      <c r="D242" s="3">
        <f>0</f>
        <v>0</v>
      </c>
      <c r="E242" s="3"/>
      <c r="F242" s="20">
        <f t="shared" si="52"/>
        <v>0</v>
      </c>
      <c r="G242" s="3"/>
      <c r="H242" s="3">
        <f>--49.95</f>
        <v>49.95</v>
      </c>
      <c r="I242" s="3"/>
      <c r="J242" s="20">
        <f t="shared" si="53"/>
        <v>5.9344632099814466E-5</v>
      </c>
      <c r="K242" s="3"/>
      <c r="L242" s="3">
        <f t="shared" si="54"/>
        <v>-49.95</v>
      </c>
      <c r="M242" s="3"/>
      <c r="N242" s="20">
        <f t="shared" si="55"/>
        <v>-1</v>
      </c>
      <c r="O242" s="12"/>
      <c r="P242" s="3">
        <f>0</f>
        <v>0</v>
      </c>
      <c r="Q242" s="3"/>
      <c r="R242" s="20">
        <f t="shared" si="56"/>
        <v>0</v>
      </c>
      <c r="S242" s="3"/>
      <c r="T242" s="3">
        <f>--49.95</f>
        <v>49.95</v>
      </c>
      <c r="U242" s="3"/>
      <c r="V242" s="20">
        <f t="shared" si="57"/>
        <v>7.0101098217979304E-6</v>
      </c>
      <c r="W242" s="3"/>
      <c r="X242" s="3">
        <f t="shared" si="58"/>
        <v>-49.95</v>
      </c>
      <c r="Y242" s="3"/>
      <c r="Z242" s="20">
        <f t="shared" si="59"/>
        <v>-1</v>
      </c>
    </row>
    <row r="243" spans="1:26" s="69" customFormat="1" ht="15" hidden="1" customHeight="1" outlineLevel="1" x14ac:dyDescent="0.3">
      <c r="A243" s="42"/>
      <c r="B243" s="12" t="str">
        <f>CONCATENATE("          ","4187"," - ","NON-TAXABLE SALES-COMPUTER REP")</f>
        <v xml:space="preserve">          4187 - NON-TAXABLE SALES-COMPUTER REP</v>
      </c>
      <c r="C243" s="12"/>
      <c r="D243" s="3">
        <f>0</f>
        <v>0</v>
      </c>
      <c r="E243" s="3"/>
      <c r="F243" s="20">
        <f t="shared" si="52"/>
        <v>0</v>
      </c>
      <c r="G243" s="3"/>
      <c r="H243" s="3">
        <f>--1700.99</f>
        <v>1700.99</v>
      </c>
      <c r="I243" s="3"/>
      <c r="J243" s="20">
        <f t="shared" si="53"/>
        <v>2.020913428537806E-3</v>
      </c>
      <c r="K243" s="3"/>
      <c r="L243" s="3">
        <f t="shared" si="54"/>
        <v>-1700.99</v>
      </c>
      <c r="M243" s="3"/>
      <c r="N243" s="20">
        <f t="shared" si="55"/>
        <v>-1</v>
      </c>
      <c r="O243" s="12"/>
      <c r="P243" s="3">
        <f>0</f>
        <v>0</v>
      </c>
      <c r="Q243" s="3"/>
      <c r="R243" s="20">
        <f t="shared" si="56"/>
        <v>0</v>
      </c>
      <c r="S243" s="3"/>
      <c r="T243" s="3">
        <f>--3315.96</f>
        <v>3315.96</v>
      </c>
      <c r="U243" s="3"/>
      <c r="V243" s="20">
        <f t="shared" si="57"/>
        <v>4.6537024553932064E-4</v>
      </c>
      <c r="W243" s="3"/>
      <c r="X243" s="3">
        <f t="shared" si="58"/>
        <v>-3315.96</v>
      </c>
      <c r="Y243" s="3"/>
      <c r="Z243" s="20">
        <f t="shared" si="59"/>
        <v>-1</v>
      </c>
    </row>
    <row r="244" spans="1:26" s="69" customFormat="1" ht="15" hidden="1" customHeight="1" outlineLevel="1" x14ac:dyDescent="0.3">
      <c r="A244" s="42"/>
      <c r="B244" s="12" t="str">
        <f>CONCATENATE("          ","9087"," - ","")</f>
        <v xml:space="preserve">          9087 - </v>
      </c>
      <c r="C244" s="12"/>
      <c r="D244" s="3">
        <f>--1264.22</f>
        <v>1264.22</v>
      </c>
      <c r="E244" s="3"/>
      <c r="F244" s="20">
        <f t="shared" si="52"/>
        <v>1.0592755772336341E-3</v>
      </c>
      <c r="G244" s="3"/>
      <c r="H244" s="3">
        <f>0</f>
        <v>0</v>
      </c>
      <c r="I244" s="3"/>
      <c r="J244" s="20">
        <f t="shared" si="53"/>
        <v>0</v>
      </c>
      <c r="K244" s="3"/>
      <c r="L244" s="3">
        <f t="shared" si="54"/>
        <v>1264.22</v>
      </c>
      <c r="M244" s="3"/>
      <c r="N244" s="20">
        <f t="shared" si="55"/>
        <v>0</v>
      </c>
      <c r="O244" s="12"/>
      <c r="P244" s="3">
        <f>--1996</f>
        <v>1996</v>
      </c>
      <c r="Q244" s="3"/>
      <c r="R244" s="20">
        <f t="shared" si="56"/>
        <v>2.2857977235479361E-4</v>
      </c>
      <c r="S244" s="3"/>
      <c r="T244" s="3">
        <f>0</f>
        <v>0</v>
      </c>
      <c r="U244" s="3"/>
      <c r="V244" s="20">
        <f t="shared" si="57"/>
        <v>0</v>
      </c>
      <c r="W244" s="3"/>
      <c r="X244" s="3">
        <f t="shared" si="58"/>
        <v>1996</v>
      </c>
      <c r="Y244" s="3"/>
      <c r="Z244" s="20">
        <f t="shared" si="59"/>
        <v>0</v>
      </c>
    </row>
    <row r="245" spans="1:26" s="69" customFormat="1" ht="15" hidden="1" customHeight="1" outlineLevel="1" x14ac:dyDescent="0.3">
      <c r="A245" s="42"/>
      <c r="B245" s="12" t="str">
        <f>CONCATENATE("          ","9150"," - ","MISC. INCOME")</f>
        <v xml:space="preserve">          9150 - MISC. INCOME</v>
      </c>
      <c r="C245" s="12"/>
      <c r="D245" s="3">
        <f>--53793.78</f>
        <v>53793.78</v>
      </c>
      <c r="E245" s="3"/>
      <c r="F245" s="20">
        <f t="shared" si="52"/>
        <v>4.5073197197544032E-2</v>
      </c>
      <c r="G245" s="3"/>
      <c r="H245" s="3">
        <f>--5286.34</f>
        <v>5286.34</v>
      </c>
      <c r="I245" s="3"/>
      <c r="J245" s="20">
        <f t="shared" si="53"/>
        <v>6.2805986477384021E-3</v>
      </c>
      <c r="K245" s="3"/>
      <c r="L245" s="3">
        <f t="shared" si="54"/>
        <v>48507.44</v>
      </c>
      <c r="M245" s="3"/>
      <c r="N245" s="20">
        <f t="shared" si="55"/>
        <v>9.1759970035979528</v>
      </c>
      <c r="O245" s="12"/>
      <c r="P245" s="3">
        <f>--384333.36</f>
        <v>384333.36</v>
      </c>
      <c r="Q245" s="3"/>
      <c r="R245" s="20">
        <f t="shared" si="56"/>
        <v>4.4013442854285038E-2</v>
      </c>
      <c r="S245" s="3"/>
      <c r="T245" s="3">
        <f>--347040</f>
        <v>347040</v>
      </c>
      <c r="U245" s="3"/>
      <c r="V245" s="20">
        <f t="shared" si="57"/>
        <v>4.8704474725860938E-2</v>
      </c>
      <c r="W245" s="3"/>
      <c r="X245" s="3">
        <f t="shared" si="58"/>
        <v>37293.359999999986</v>
      </c>
      <c r="Y245" s="3"/>
      <c r="Z245" s="20">
        <f t="shared" si="59"/>
        <v>0.10746127247579526</v>
      </c>
    </row>
    <row r="246" spans="1:26" s="69" customFormat="1" ht="15" hidden="1" customHeight="1" outlineLevel="1" x14ac:dyDescent="0.3">
      <c r="A246" s="42"/>
      <c r="B246" s="12" t="str">
        <f>CONCATENATE("          ","9151"," - ","MISC. INCOME")</f>
        <v xml:space="preserve">          9151 - MISC. INCOME</v>
      </c>
      <c r="C246" s="12"/>
      <c r="D246" s="3">
        <f>0</f>
        <v>0</v>
      </c>
      <c r="E246" s="3"/>
      <c r="F246" s="20">
        <f t="shared" si="52"/>
        <v>0</v>
      </c>
      <c r="G246" s="3"/>
      <c r="H246" s="3">
        <f>0</f>
        <v>0</v>
      </c>
      <c r="I246" s="3"/>
      <c r="J246" s="20">
        <f t="shared" si="53"/>
        <v>0</v>
      </c>
      <c r="K246" s="3"/>
      <c r="L246" s="3">
        <f t="shared" si="54"/>
        <v>0</v>
      </c>
      <c r="M246" s="3"/>
      <c r="N246" s="20">
        <f t="shared" si="55"/>
        <v>0</v>
      </c>
      <c r="O246" s="12"/>
      <c r="P246" s="3">
        <f>--323761.7</f>
        <v>323761.7</v>
      </c>
      <c r="Q246" s="3"/>
      <c r="R246" s="20">
        <f t="shared" si="56"/>
        <v>3.7076841524649795E-2</v>
      </c>
      <c r="S246" s="3"/>
      <c r="T246" s="3">
        <f>--295628.46</f>
        <v>295628.46000000002</v>
      </c>
      <c r="U246" s="3"/>
      <c r="V246" s="20">
        <f t="shared" si="57"/>
        <v>4.1489248669649585E-2</v>
      </c>
      <c r="W246" s="3"/>
      <c r="X246" s="3">
        <f t="shared" si="58"/>
        <v>28133.239999999991</v>
      </c>
      <c r="Y246" s="3"/>
      <c r="Z246" s="20">
        <f t="shared" si="59"/>
        <v>9.5164180065748699E-2</v>
      </c>
    </row>
    <row r="247" spans="1:26" s="69" customFormat="1" ht="15" hidden="1" customHeight="1" outlineLevel="1" x14ac:dyDescent="0.3">
      <c r="A247" s="42"/>
      <c r="B247" s="12" t="str">
        <f>CONCATENATE("          ","9152"," - ","MISC. INCOME")</f>
        <v xml:space="preserve">          9152 - MISC. INCOME</v>
      </c>
      <c r="C247" s="12"/>
      <c r="D247" s="3">
        <f>-496.09</f>
        <v>-496.09</v>
      </c>
      <c r="E247" s="3"/>
      <c r="F247" s="20">
        <f t="shared" si="52"/>
        <v>-4.1566817572086625E-4</v>
      </c>
      <c r="G247" s="3"/>
      <c r="H247" s="3">
        <f>--505.94</f>
        <v>505.94</v>
      </c>
      <c r="I247" s="3"/>
      <c r="J247" s="20">
        <f t="shared" si="53"/>
        <v>6.0109756085245506E-4</v>
      </c>
      <c r="K247" s="3"/>
      <c r="L247" s="3">
        <f t="shared" si="54"/>
        <v>-1002.03</v>
      </c>
      <c r="M247" s="3"/>
      <c r="N247" s="20">
        <f t="shared" si="55"/>
        <v>-1.9805312882950548</v>
      </c>
      <c r="O247" s="12"/>
      <c r="P247" s="3">
        <f>--3888.43</f>
        <v>3888.43</v>
      </c>
      <c r="Q247" s="3"/>
      <c r="R247" s="20">
        <f t="shared" si="56"/>
        <v>4.452988197482716E-4</v>
      </c>
      <c r="S247" s="3"/>
      <c r="T247" s="3">
        <f>--4216.5</f>
        <v>4216.5</v>
      </c>
      <c r="U247" s="3"/>
      <c r="V247" s="20">
        <f t="shared" si="57"/>
        <v>5.917543155878073E-4</v>
      </c>
      <c r="W247" s="3"/>
      <c r="X247" s="3">
        <f t="shared" si="58"/>
        <v>-328.07000000000016</v>
      </c>
      <c r="Y247" s="3"/>
      <c r="Z247" s="20">
        <f t="shared" si="59"/>
        <v>-7.7806237400687817E-2</v>
      </c>
    </row>
    <row r="248" spans="1:26" s="69" customFormat="1" ht="15" hidden="1" customHeight="1" outlineLevel="1" x14ac:dyDescent="0.3">
      <c r="A248" s="42"/>
      <c r="B248" s="12" t="str">
        <f>CONCATENATE("          ","9163"," - ","MISC. INCOME")</f>
        <v xml:space="preserve">          9163 - MISC. INCOME</v>
      </c>
      <c r="C248" s="12"/>
      <c r="D248" s="3">
        <f>--1989</f>
        <v>1989</v>
      </c>
      <c r="E248" s="3"/>
      <c r="F248" s="20">
        <f t="shared" si="52"/>
        <v>1.6665605061759014E-3</v>
      </c>
      <c r="G248" s="3"/>
      <c r="H248" s="3">
        <f>--44.1</f>
        <v>44.1</v>
      </c>
      <c r="I248" s="3"/>
      <c r="J248" s="20">
        <f t="shared" si="53"/>
        <v>5.2394359871908267E-5</v>
      </c>
      <c r="K248" s="3"/>
      <c r="L248" s="3">
        <f t="shared" si="54"/>
        <v>1944.9</v>
      </c>
      <c r="M248" s="3"/>
      <c r="N248" s="20">
        <f t="shared" si="55"/>
        <v>44.102040816326529</v>
      </c>
      <c r="O248" s="12"/>
      <c r="P248" s="3">
        <f>--256819.7</f>
        <v>256819.7</v>
      </c>
      <c r="Q248" s="3"/>
      <c r="R248" s="20">
        <f t="shared" si="56"/>
        <v>2.9410715712538275E-2</v>
      </c>
      <c r="S248" s="3"/>
      <c r="T248" s="3">
        <f>--346478.56</f>
        <v>346478.56</v>
      </c>
      <c r="U248" s="3"/>
      <c r="V248" s="20">
        <f t="shared" si="57"/>
        <v>4.8625680810778851E-2</v>
      </c>
      <c r="W248" s="3"/>
      <c r="X248" s="3">
        <f t="shared" si="58"/>
        <v>-89658.859999999986</v>
      </c>
      <c r="Y248" s="3"/>
      <c r="Z248" s="20">
        <f t="shared" si="59"/>
        <v>-0.25877174045054907</v>
      </c>
    </row>
    <row r="249" spans="1:26" ht="15" customHeight="1" x14ac:dyDescent="0.3">
      <c r="A249" s="10"/>
      <c r="B249" s="11"/>
      <c r="C249" s="11"/>
      <c r="D249" s="4"/>
      <c r="E249" s="4"/>
      <c r="F249" s="9"/>
      <c r="G249" s="4"/>
      <c r="H249" s="4"/>
      <c r="I249" s="4"/>
      <c r="J249" s="9"/>
      <c r="K249" s="4"/>
      <c r="L249" s="4"/>
      <c r="M249" s="4"/>
      <c r="N249" s="9"/>
      <c r="O249" s="11"/>
      <c r="P249" s="4"/>
      <c r="Q249" s="4"/>
      <c r="R249" s="9"/>
      <c r="S249" s="4"/>
      <c r="T249" s="4"/>
      <c r="U249" s="4"/>
      <c r="V249" s="9"/>
      <c r="W249" s="4"/>
      <c r="X249" s="4"/>
      <c r="Y249" s="4"/>
      <c r="Z249" s="9"/>
    </row>
    <row r="250" spans="1:26" s="62" customFormat="1" ht="15" customHeight="1" x14ac:dyDescent="0.3">
      <c r="A250" s="11"/>
      <c r="B250" s="28" t="s">
        <v>291</v>
      </c>
      <c r="C250" s="28"/>
      <c r="D250" s="21">
        <f>+D149-D151+D241</f>
        <v>198589.15999999971</v>
      </c>
      <c r="E250" s="15"/>
      <c r="F250" s="23">
        <f>IF(D$12=0,0,D250/D$12)</f>
        <v>0.1663956013125423</v>
      </c>
      <c r="G250" s="15"/>
      <c r="H250" s="21">
        <f>+H149-H151+H241</f>
        <v>-12527.7599999999</v>
      </c>
      <c r="I250" s="15"/>
      <c r="J250" s="23">
        <f>IF(H$12=0,0,H250/H$12)</f>
        <v>-1.4883990154850164E-2</v>
      </c>
      <c r="K250" s="16"/>
      <c r="L250" s="21">
        <f>+D250-H250</f>
        <v>211116.91999999961</v>
      </c>
      <c r="M250" s="16"/>
      <c r="N250" s="23">
        <f>IF(H250=0,0,L250/H250)</f>
        <v>-16.851928836440138</v>
      </c>
      <c r="O250" s="27"/>
      <c r="P250" s="21">
        <f>+P149-P151+P241</f>
        <v>868513.8600000029</v>
      </c>
      <c r="Q250" s="15"/>
      <c r="R250" s="23">
        <f>IF(P$12=0,0,P250/P$12)</f>
        <v>9.946127274838866E-2</v>
      </c>
      <c r="S250" s="15"/>
      <c r="T250" s="21">
        <f>+T149-T151+T241</f>
        <v>168032.72999999695</v>
      </c>
      <c r="U250" s="15"/>
      <c r="V250" s="23">
        <f>IF(T$12=0,0,T250/T$12)</f>
        <v>2.3582139959089057E-2</v>
      </c>
      <c r="W250" s="16"/>
      <c r="X250" s="21">
        <f>+P250-T250</f>
        <v>700481.13000000594</v>
      </c>
      <c r="Y250" s="16"/>
      <c r="Z250" s="23">
        <f>IF(T250=0,0,X250/T250)</f>
        <v>4.1687183800442842</v>
      </c>
    </row>
    <row r="251" spans="1:26" ht="15" customHeight="1" x14ac:dyDescent="0.3">
      <c r="A251" s="10"/>
      <c r="B251" s="11"/>
      <c r="C251" s="10"/>
      <c r="D251" s="4"/>
      <c r="E251" s="4"/>
      <c r="F251" s="9"/>
      <c r="G251" s="4"/>
      <c r="H251" s="4"/>
      <c r="I251" s="4"/>
      <c r="J251" s="9"/>
      <c r="K251" s="4"/>
      <c r="L251" s="4"/>
      <c r="M251" s="4"/>
      <c r="N251" s="9"/>
      <c r="P251" s="4"/>
      <c r="Q251" s="4"/>
      <c r="R251" s="9"/>
      <c r="S251" s="4"/>
      <c r="T251" s="4"/>
      <c r="U251" s="4"/>
      <c r="V251" s="9"/>
      <c r="W251" s="4"/>
      <c r="X251" s="4"/>
      <c r="Y251" s="4"/>
      <c r="Z251" s="9"/>
    </row>
    <row r="252" spans="1:26" s="62" customFormat="1" ht="15" customHeight="1" x14ac:dyDescent="0.3">
      <c r="A252" s="48"/>
      <c r="B252" s="11" t="s">
        <v>292</v>
      </c>
      <c r="C252" s="11"/>
      <c r="D252" s="5">
        <v>89489.39</v>
      </c>
      <c r="E252" s="5"/>
      <c r="F252" s="13">
        <f>IF(D$12=0,0,D252/D$12)</f>
        <v>7.4982143336235624E-2</v>
      </c>
      <c r="G252" s="5"/>
      <c r="H252" s="5">
        <v>195644.15</v>
      </c>
      <c r="I252" s="5"/>
      <c r="J252" s="13">
        <f>IF(H$12=0,0,H252/H$12)</f>
        <v>0.23244104312774605</v>
      </c>
      <c r="K252" s="5"/>
      <c r="L252" s="5">
        <f>+D252-H252</f>
        <v>-106154.76</v>
      </c>
      <c r="M252" s="5"/>
      <c r="N252" s="13">
        <f>IF(H252=0,0,L252/H252)</f>
        <v>-0.54259102559417183</v>
      </c>
      <c r="O252" s="11"/>
      <c r="P252" s="5">
        <v>989215.36</v>
      </c>
      <c r="Q252" s="5"/>
      <c r="R252" s="13">
        <f>IF(P$12=0,0,P252/P$12)</f>
        <v>0.11328387865664591</v>
      </c>
      <c r="S252" s="5"/>
      <c r="T252" s="5">
        <v>1490667.48</v>
      </c>
      <c r="U252" s="5"/>
      <c r="V252" s="13">
        <f>IF(T$12=0,0,T252/T$12)</f>
        <v>0.20920405891056595</v>
      </c>
      <c r="W252" s="5"/>
      <c r="X252" s="5">
        <f>+P252-T252</f>
        <v>-501452.12</v>
      </c>
      <c r="Y252" s="5"/>
      <c r="Z252" s="13">
        <f>IF(T252=0,0,X252/T252)</f>
        <v>-0.33639435134118578</v>
      </c>
    </row>
    <row r="253" spans="1:26" ht="15" customHeight="1" x14ac:dyDescent="0.3">
      <c r="A253" s="10"/>
      <c r="B253" s="11"/>
      <c r="C253" s="11"/>
      <c r="D253" s="4"/>
      <c r="E253" s="4"/>
      <c r="F253" s="9"/>
      <c r="G253" s="4"/>
      <c r="H253" s="4"/>
      <c r="I253" s="4"/>
      <c r="J253" s="9"/>
      <c r="K253" s="4"/>
      <c r="L253" s="4"/>
      <c r="M253" s="4"/>
      <c r="N253" s="9"/>
      <c r="O253" s="11"/>
      <c r="P253" s="4"/>
      <c r="Q253" s="4"/>
      <c r="R253" s="9"/>
      <c r="S253" s="4"/>
      <c r="T253" s="4"/>
      <c r="U253" s="4"/>
      <c r="V253" s="9"/>
      <c r="W253" s="4"/>
      <c r="X253" s="4"/>
      <c r="Y253" s="4"/>
      <c r="Z253" s="9"/>
    </row>
    <row r="254" spans="1:26" s="62" customFormat="1" ht="15" customHeight="1" x14ac:dyDescent="0.3">
      <c r="A254" s="11"/>
      <c r="B254" s="28" t="s">
        <v>293</v>
      </c>
      <c r="C254" s="28"/>
      <c r="D254" s="34">
        <f>+D250-D252</f>
        <v>109099.76999999971</v>
      </c>
      <c r="E254" s="15"/>
      <c r="F254" s="30">
        <f>IF(D$12=0,0,D254/D$12)</f>
        <v>9.1413457976306664E-2</v>
      </c>
      <c r="G254" s="15"/>
      <c r="H254" s="34">
        <f>+H250-H252</f>
        <v>-208171.90999999989</v>
      </c>
      <c r="I254" s="15"/>
      <c r="J254" s="30">
        <f>IF(H$12=0,0,H254/H$12)</f>
        <v>-0.2473250332825962</v>
      </c>
      <c r="K254" s="16"/>
      <c r="L254" s="34">
        <f>D254-H254</f>
        <v>317271.67999999959</v>
      </c>
      <c r="M254" s="16"/>
      <c r="N254" s="30">
        <f>IF(H254=0,0,L254/H254)</f>
        <v>-1.5240849738084248</v>
      </c>
      <c r="O254" s="27"/>
      <c r="P254" s="34">
        <f>+P250-P252</f>
        <v>-120701.49999999709</v>
      </c>
      <c r="Q254" s="15"/>
      <c r="R254" s="30">
        <f>IF(P$12=0,0,P254/P$12)</f>
        <v>-1.3822605908257244E-2</v>
      </c>
      <c r="S254" s="15"/>
      <c r="T254" s="34">
        <f>+T250-T252</f>
        <v>-1322634.750000003</v>
      </c>
      <c r="U254" s="15"/>
      <c r="V254" s="30">
        <f>IF(T$12=0,0,T254/T$12)</f>
        <v>-0.18562191895147689</v>
      </c>
      <c r="W254" s="16"/>
      <c r="X254" s="34">
        <f>P254-T254</f>
        <v>1201933.2500000061</v>
      </c>
      <c r="Y254" s="16"/>
      <c r="Z254" s="30">
        <f>IF(T254=0,0,X254/T254)</f>
        <v>-0.90874162349053911</v>
      </c>
    </row>
    <row r="255" spans="1:26" ht="15" customHeight="1" x14ac:dyDescent="0.3">
      <c r="A255" s="10"/>
      <c r="B255" s="10"/>
      <c r="C255" s="10"/>
      <c r="D255" s="4"/>
      <c r="E255" s="4"/>
      <c r="F255" s="9"/>
      <c r="G255" s="4"/>
      <c r="H255" s="4"/>
      <c r="I255" s="4"/>
      <c r="J255" s="9"/>
      <c r="K255" s="4"/>
      <c r="L255" s="4"/>
      <c r="M255" s="4"/>
      <c r="N255" s="9"/>
      <c r="P255" s="4"/>
      <c r="Q255" s="4"/>
      <c r="R255" s="9"/>
      <c r="S255" s="4"/>
      <c r="T255" s="4"/>
      <c r="U255" s="4"/>
      <c r="V255" s="9"/>
      <c r="W255" s="4"/>
      <c r="X255" s="4"/>
      <c r="Y255" s="4"/>
      <c r="Z255" s="9"/>
    </row>
    <row r="256" spans="1:26" ht="15" customHeight="1" x14ac:dyDescent="0.3">
      <c r="A256" s="10"/>
      <c r="B256" s="10"/>
      <c r="C256" s="10"/>
      <c r="D256" s="4"/>
      <c r="E256" s="4"/>
      <c r="F256" s="9"/>
      <c r="G256" s="4"/>
      <c r="H256" s="4"/>
      <c r="I256" s="4"/>
      <c r="J256" s="9"/>
      <c r="K256" s="4"/>
      <c r="L256" s="4"/>
      <c r="M256" s="4"/>
      <c r="N256" s="9"/>
      <c r="P256" s="4"/>
      <c r="Q256" s="4"/>
      <c r="R256" s="9"/>
      <c r="S256" s="4"/>
      <c r="T256" s="4"/>
      <c r="U256" s="4"/>
      <c r="V256" s="9"/>
      <c r="W256" s="4"/>
      <c r="X256" s="4"/>
      <c r="Y256" s="4"/>
      <c r="Z256" s="9"/>
    </row>
    <row r="257" spans="1:26" s="62" customFormat="1" ht="15" customHeight="1" x14ac:dyDescent="0.3">
      <c r="A257" s="11"/>
      <c r="B257" s="28" t="s">
        <v>296</v>
      </c>
      <c r="C257" s="28"/>
      <c r="D257" s="29">
        <f>SUM(D254:D256)</f>
        <v>109099.76999999971</v>
      </c>
      <c r="E257" s="15"/>
      <c r="F257" s="35">
        <f>IF(D$12=0,0,D257/D$12)</f>
        <v>9.1413457976306664E-2</v>
      </c>
      <c r="G257" s="15"/>
      <c r="H257" s="29">
        <f>SUM(H254:H256)</f>
        <v>-208171.90999999989</v>
      </c>
      <c r="I257" s="15"/>
      <c r="J257" s="35">
        <f>IF(H$12=0,0,H257/H$12)</f>
        <v>-0.2473250332825962</v>
      </c>
      <c r="K257" s="16"/>
      <c r="L257" s="29">
        <f>+D257-H257</f>
        <v>317271.67999999959</v>
      </c>
      <c r="M257" s="16"/>
      <c r="N257" s="35">
        <f>IF(H257=0,0,L257/H257)</f>
        <v>-1.5240849738084248</v>
      </c>
      <c r="O257" s="27"/>
      <c r="P257" s="29">
        <f>SUM(P254:P256)</f>
        <v>-120701.49999999709</v>
      </c>
      <c r="Q257" s="15"/>
      <c r="R257" s="35">
        <f>IF(P$12=0,0,P257/P$12)</f>
        <v>-1.3822605908257244E-2</v>
      </c>
      <c r="S257" s="15"/>
      <c r="T257" s="29">
        <f>SUM(T254:T256)</f>
        <v>-1322634.750000003</v>
      </c>
      <c r="U257" s="15"/>
      <c r="V257" s="35">
        <f>IF(T$12=0,0,T257/T$12)</f>
        <v>-0.18562191895147689</v>
      </c>
      <c r="W257" s="16"/>
      <c r="X257" s="29">
        <f>+P257-T257</f>
        <v>1201933.2500000061</v>
      </c>
      <c r="Y257" s="16"/>
      <c r="Z257" s="35">
        <f>IF(T257=0,0,X257/T257)</f>
        <v>-0.90874162349053911</v>
      </c>
    </row>
    <row r="258" spans="1:26" ht="15" customHeight="1" x14ac:dyDescent="0.3">
      <c r="A258" s="10"/>
      <c r="C258" s="10"/>
      <c r="D258" s="18"/>
      <c r="E258" s="18"/>
      <c r="G258" s="18"/>
      <c r="H258" s="18"/>
      <c r="I258" s="18"/>
      <c r="J258" s="40"/>
      <c r="K258" s="18"/>
      <c r="L258" s="18"/>
      <c r="M258" s="18"/>
      <c r="P258" s="18"/>
      <c r="Q258" s="18"/>
      <c r="R258" s="40"/>
      <c r="S258" s="18"/>
      <c r="T258" s="18"/>
      <c r="U258" s="18"/>
      <c r="V258" s="40"/>
      <c r="W258" s="18"/>
      <c r="X258" s="18"/>
    </row>
    <row r="259" spans="1:26" ht="15" customHeight="1" x14ac:dyDescent="0.3">
      <c r="A259" s="10"/>
      <c r="B259" s="56">
        <v>44694.890818865744</v>
      </c>
      <c r="D259" s="18"/>
      <c r="E259" s="18"/>
      <c r="G259" s="18"/>
      <c r="H259" s="18"/>
      <c r="I259" s="18"/>
      <c r="J259" s="40"/>
      <c r="K259" s="18"/>
      <c r="L259" s="18"/>
      <c r="M259" s="18"/>
      <c r="P259" s="18"/>
      <c r="Q259" s="18"/>
      <c r="R259" s="40"/>
      <c r="S259" s="18"/>
      <c r="T259" s="18"/>
      <c r="U259" s="18"/>
      <c r="V259" s="40"/>
      <c r="W259" s="18"/>
      <c r="X259" s="18"/>
    </row>
    <row r="260" spans="1:26" ht="15" customHeight="1" x14ac:dyDescent="0.3">
      <c r="A260" s="10"/>
      <c r="B260" s="52" t="s">
        <v>297</v>
      </c>
      <c r="D260" s="18"/>
      <c r="E260" s="18"/>
      <c r="G260" s="18"/>
      <c r="H260" s="18"/>
      <c r="I260" s="18"/>
      <c r="J260" s="40"/>
      <c r="K260" s="18"/>
      <c r="L260" s="18"/>
      <c r="M260" s="18"/>
      <c r="P260" s="18"/>
      <c r="Q260" s="18"/>
      <c r="R260" s="40"/>
      <c r="S260" s="18"/>
      <c r="T260" s="18"/>
      <c r="U260" s="18"/>
      <c r="V260" s="40"/>
      <c r="W260" s="18"/>
      <c r="X260" s="18"/>
    </row>
    <row r="261" spans="1:26" ht="15" customHeight="1" x14ac:dyDescent="0.3">
      <c r="A261" s="10"/>
      <c r="B261" s="58"/>
      <c r="D261" s="18"/>
      <c r="E261" s="18"/>
      <c r="G261" s="18"/>
      <c r="H261" s="18"/>
      <c r="I261" s="18"/>
      <c r="J261" s="40"/>
      <c r="K261" s="18"/>
      <c r="L261" s="18"/>
      <c r="M261" s="18"/>
      <c r="P261" s="18"/>
      <c r="Q261" s="18"/>
      <c r="R261" s="40"/>
      <c r="S261" s="18"/>
      <c r="T261" s="18"/>
      <c r="U261" s="18"/>
      <c r="V261" s="40"/>
      <c r="W261" s="18"/>
      <c r="X261" s="18"/>
    </row>
    <row r="262" spans="1:26" ht="15" customHeight="1" x14ac:dyDescent="0.3">
      <c r="D262" s="18"/>
      <c r="E262" s="18"/>
      <c r="G262" s="18"/>
      <c r="H262" s="18"/>
      <c r="I262" s="18"/>
      <c r="J262" s="40"/>
      <c r="K262" s="18"/>
      <c r="L262" s="18"/>
      <c r="M262" s="18"/>
      <c r="P262" s="18"/>
      <c r="Q262" s="18"/>
      <c r="R262" s="40"/>
      <c r="S262" s="18"/>
      <c r="T262" s="18"/>
      <c r="U262" s="18"/>
      <c r="V262" s="40"/>
      <c r="W262" s="18"/>
      <c r="X26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7FC72-BE69-1C75-A052-16BE334B2191}">
  <sheetPr>
    <tabColor rgb="FF92D050"/>
    <outlinePr summaryBelow="0" summaryRight="0"/>
  </sheetPr>
  <dimension ref="A2:Z11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","301"," - ","Bookstore Operations")</f>
        <v>Department 301 - Bookstore Operations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","5501"," - ","FREIGHT-IN-NEW TEXT")</f>
        <v xml:space="preserve">          5501 - FREIGHT-IN-NEW TEXT</v>
      </c>
      <c r="C16" s="12"/>
      <c r="D16" s="3"/>
      <c r="E16" s="3"/>
      <c r="F16" s="20">
        <f>IF(D$12=0,0,D16/D$12)</f>
        <v>0</v>
      </c>
      <c r="G16" s="3"/>
      <c r="H16" s="3">
        <v>0</v>
      </c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0</v>
      </c>
      <c r="U16" s="3"/>
      <c r="V16" s="20">
        <f>IF(T$12=0,0,T16/T$12)</f>
        <v>0</v>
      </c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>
        <f>D12-D14</f>
        <v>0</v>
      </c>
      <c r="E18" s="15"/>
      <c r="F18" s="23">
        <f>IF(D$12=0,0,D18/D$12)</f>
        <v>0</v>
      </c>
      <c r="G18" s="15"/>
      <c r="H18" s="21">
        <f>H12-H14</f>
        <v>0</v>
      </c>
      <c r="I18" s="15"/>
      <c r="J18" s="23">
        <f>IF(H$12=0,0,H18/H$12)</f>
        <v>0</v>
      </c>
      <c r="K18" s="16"/>
      <c r="L18" s="21">
        <f>+D18-H18</f>
        <v>0</v>
      </c>
      <c r="M18" s="16"/>
      <c r="N18" s="23">
        <f>IF(H18=0,0,L18/H18)</f>
        <v>0</v>
      </c>
      <c r="O18" s="27"/>
      <c r="P18" s="21">
        <f>P12-P14</f>
        <v>0</v>
      </c>
      <c r="Q18" s="15"/>
      <c r="R18" s="23">
        <f>IF(P$12=0,0,P18/P$12)</f>
        <v>0</v>
      </c>
      <c r="S18" s="15"/>
      <c r="T18" s="21">
        <f>T12-T14</f>
        <v>0</v>
      </c>
      <c r="U18" s="15"/>
      <c r="V18" s="23">
        <f>IF(T$12=0,0,T18/T$12)</f>
        <v>0</v>
      </c>
      <c r="W18" s="16"/>
      <c r="X18" s="21">
        <f>+P18-T18</f>
        <v>0</v>
      </c>
      <c r="Y18" s="16"/>
      <c r="Z18" s="23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cm="1">
        <f t="array" ref="D20">SUM(OSRRefD22x_0)</f>
        <v>126578.33999999998</v>
      </c>
      <c r="E20" s="22"/>
      <c r="F20" s="32">
        <f t="shared" ref="F20:F51" si="0">IF(D$12=0,0,D20/D$12)</f>
        <v>0</v>
      </c>
      <c r="G20" s="22"/>
      <c r="H20" s="22" cm="1">
        <f t="array" ref="H20">SUM(OSRRefH22x_0)</f>
        <v>106222.93</v>
      </c>
      <c r="I20" s="22"/>
      <c r="J20" s="32">
        <f t="shared" ref="J20:J51" si="1">IF(H$12=0,0,H20/H$12)</f>
        <v>0</v>
      </c>
      <c r="K20" s="5"/>
      <c r="L20" s="22">
        <f t="shared" ref="L20:L51" si="2">+D20-H20</f>
        <v>20355.409999999989</v>
      </c>
      <c r="M20" s="5"/>
      <c r="N20" s="32">
        <f t="shared" ref="N20:N51" si="3">IF(H20=0,0,L20/H20)</f>
        <v>0.19162915201077574</v>
      </c>
      <c r="O20" s="11"/>
      <c r="P20" s="22" cm="1">
        <f t="array" ref="P20">SUM(OSRRefP22x_0)</f>
        <v>1419523.5100000002</v>
      </c>
      <c r="Q20" s="22"/>
      <c r="R20" s="32">
        <f t="shared" ref="R20:R51" si="4">IF(P$12=0,0,P20/P$12)</f>
        <v>0</v>
      </c>
      <c r="S20" s="22"/>
      <c r="T20" s="22" cm="1">
        <f t="array" ref="T20">SUM(OSRRefT22x_0)</f>
        <v>1201638.8499999999</v>
      </c>
      <c r="U20" s="22"/>
      <c r="V20" s="32">
        <f t="shared" ref="V20:V51" si="5">IF(T$12=0,0,T20/T$12)</f>
        <v>0</v>
      </c>
      <c r="W20" s="5"/>
      <c r="X20" s="22">
        <f t="shared" ref="X20:X51" si="6">+P20-T20</f>
        <v>217884.66000000038</v>
      </c>
      <c r="Y20" s="5"/>
      <c r="Z20" s="32">
        <f t="shared" ref="Z20:Z51" si="7">IF(T20=0,0,X20/T20)</f>
        <v>0.18132291578289134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16249.02</v>
      </c>
      <c r="E21" s="2"/>
      <c r="F21" s="6">
        <f t="shared" si="0"/>
        <v>0</v>
      </c>
      <c r="G21" s="2"/>
      <c r="H21" s="2">
        <f>SUM(OSRRefH22_0x_0)</f>
        <v>13022.909999999998</v>
      </c>
      <c r="I21" s="2"/>
      <c r="J21" s="6">
        <f t="shared" si="1"/>
        <v>0</v>
      </c>
      <c r="K21" s="2"/>
      <c r="L21" s="2">
        <f t="shared" si="2"/>
        <v>3226.1100000000024</v>
      </c>
      <c r="M21" s="2"/>
      <c r="N21" s="6">
        <f t="shared" si="3"/>
        <v>0.24772573871738365</v>
      </c>
      <c r="O21" s="14"/>
      <c r="P21" s="2">
        <f>SUM(OSRRefP22_0x_0)</f>
        <v>145184.68999999997</v>
      </c>
      <c r="Q21" s="2"/>
      <c r="R21" s="6">
        <f t="shared" si="4"/>
        <v>0</v>
      </c>
      <c r="S21" s="2"/>
      <c r="T21" s="2">
        <f>SUM(OSRRefT22_0x_0)</f>
        <v>98326.489999999976</v>
      </c>
      <c r="U21" s="2"/>
      <c r="V21" s="6">
        <f t="shared" si="5"/>
        <v>0</v>
      </c>
      <c r="W21" s="2"/>
      <c r="X21" s="2">
        <f t="shared" si="6"/>
        <v>46858.2</v>
      </c>
      <c r="Y21" s="2"/>
      <c r="Z21" s="6">
        <f t="shared" si="7"/>
        <v>0.476557232949127</v>
      </c>
    </row>
    <row r="22" spans="1:26" s="69" customFormat="1" ht="15" hidden="1" customHeight="1" outlineLevel="2" x14ac:dyDescent="0.3">
      <c r="A22" s="26"/>
      <c r="B22" s="12" t="str">
        <f>CONCATENATE("          ","6111"," - ","F.I.C.A.")</f>
        <v xml:space="preserve">          6111 - F.I.C.A.</v>
      </c>
      <c r="C22" s="12"/>
      <c r="D22" s="8">
        <v>3076.42</v>
      </c>
      <c r="E22" s="3"/>
      <c r="F22" s="7">
        <f t="shared" si="0"/>
        <v>0</v>
      </c>
      <c r="G22" s="3"/>
      <c r="H22" s="8">
        <v>2383.34</v>
      </c>
      <c r="I22" s="3"/>
      <c r="J22" s="7">
        <f t="shared" si="1"/>
        <v>0</v>
      </c>
      <c r="K22" s="3"/>
      <c r="L22" s="8">
        <f t="shared" si="2"/>
        <v>693.07999999999993</v>
      </c>
      <c r="M22" s="3"/>
      <c r="N22" s="7">
        <f t="shared" si="3"/>
        <v>0.29080198377067473</v>
      </c>
      <c r="O22" s="12"/>
      <c r="P22" s="8">
        <v>25988.43</v>
      </c>
      <c r="Q22" s="3"/>
      <c r="R22" s="7">
        <f t="shared" si="4"/>
        <v>0</v>
      </c>
      <c r="S22" s="3"/>
      <c r="T22" s="8">
        <v>23262.799999999999</v>
      </c>
      <c r="U22" s="3"/>
      <c r="V22" s="7">
        <f t="shared" si="5"/>
        <v>0</v>
      </c>
      <c r="W22" s="3"/>
      <c r="X22" s="8">
        <f t="shared" si="6"/>
        <v>2725.630000000001</v>
      </c>
      <c r="Y22" s="3"/>
      <c r="Z22" s="7">
        <f t="shared" si="7"/>
        <v>0.11716689306532323</v>
      </c>
    </row>
    <row r="23" spans="1:26" s="69" customFormat="1" ht="15" hidden="1" customHeight="1" outlineLevel="2" x14ac:dyDescent="0.3">
      <c r="A23" s="26"/>
      <c r="B23" s="12" t="str">
        <f>CONCATENATE("          ","6112"," - ","COMPENSATION INSURANCE")</f>
        <v xml:space="preserve">          6112 - COMPENSATION INSURANCE</v>
      </c>
      <c r="C23" s="12"/>
      <c r="D23" s="8">
        <v>681.55</v>
      </c>
      <c r="E23" s="3"/>
      <c r="F23" s="7">
        <f t="shared" si="0"/>
        <v>0</v>
      </c>
      <c r="G23" s="3"/>
      <c r="H23" s="8">
        <v>459.67</v>
      </c>
      <c r="I23" s="3"/>
      <c r="J23" s="7">
        <f t="shared" si="1"/>
        <v>0</v>
      </c>
      <c r="K23" s="3"/>
      <c r="L23" s="8">
        <f t="shared" si="2"/>
        <v>221.87999999999994</v>
      </c>
      <c r="M23" s="3"/>
      <c r="N23" s="7">
        <f t="shared" si="3"/>
        <v>0.48269410664172108</v>
      </c>
      <c r="O23" s="12"/>
      <c r="P23" s="8">
        <v>7611.33</v>
      </c>
      <c r="Q23" s="3"/>
      <c r="R23" s="7">
        <f t="shared" si="4"/>
        <v>0</v>
      </c>
      <c r="S23" s="3"/>
      <c r="T23" s="8">
        <v>6874.05</v>
      </c>
      <c r="U23" s="3"/>
      <c r="V23" s="7">
        <f t="shared" si="5"/>
        <v>0</v>
      </c>
      <c r="W23" s="3"/>
      <c r="X23" s="8">
        <f t="shared" si="6"/>
        <v>737.27999999999975</v>
      </c>
      <c r="Y23" s="3"/>
      <c r="Z23" s="7">
        <f t="shared" si="7"/>
        <v>0.10725554803936541</v>
      </c>
    </row>
    <row r="24" spans="1:26" s="69" customFormat="1" ht="15" hidden="1" customHeight="1" outlineLevel="2" x14ac:dyDescent="0.3">
      <c r="A24" s="26"/>
      <c r="B24" s="12" t="str">
        <f>CONCATENATE("          ","6113"," - ","GROUP INSURANCE")</f>
        <v xml:space="preserve">          6113 - GROUP INSURANCE</v>
      </c>
      <c r="C24" s="12"/>
      <c r="D24" s="8">
        <v>4880.57</v>
      </c>
      <c r="E24" s="3"/>
      <c r="F24" s="7">
        <f t="shared" si="0"/>
        <v>0</v>
      </c>
      <c r="G24" s="3"/>
      <c r="H24" s="8">
        <v>5096.28</v>
      </c>
      <c r="I24" s="3"/>
      <c r="J24" s="7">
        <f t="shared" si="1"/>
        <v>0</v>
      </c>
      <c r="K24" s="3"/>
      <c r="L24" s="8">
        <f t="shared" si="2"/>
        <v>-215.71000000000004</v>
      </c>
      <c r="M24" s="3"/>
      <c r="N24" s="7">
        <f t="shared" si="3"/>
        <v>-4.2326952208277417E-2</v>
      </c>
      <c r="O24" s="12"/>
      <c r="P24" s="8">
        <v>51923.360000000001</v>
      </c>
      <c r="Q24" s="3"/>
      <c r="R24" s="7">
        <f t="shared" si="4"/>
        <v>0</v>
      </c>
      <c r="S24" s="3"/>
      <c r="T24" s="8">
        <v>30236.85</v>
      </c>
      <c r="U24" s="3"/>
      <c r="V24" s="7">
        <f t="shared" si="5"/>
        <v>0</v>
      </c>
      <c r="W24" s="3"/>
      <c r="X24" s="8">
        <f t="shared" si="6"/>
        <v>21686.510000000002</v>
      </c>
      <c r="Y24" s="3"/>
      <c r="Z24" s="7">
        <f t="shared" si="7"/>
        <v>0.71722120525120847</v>
      </c>
    </row>
    <row r="25" spans="1:26" s="69" customFormat="1" ht="15" hidden="1" customHeight="1" outlineLevel="2" x14ac:dyDescent="0.3">
      <c r="A25" s="26"/>
      <c r="B25" s="12" t="str">
        <f>CONCATENATE("          ","6114"," - ","STATE UNEMPLOYMENT INSURANCE")</f>
        <v xml:space="preserve">          6114 - STATE UNEMPLOYMENT INSURANCE</v>
      </c>
      <c r="C25" s="12"/>
      <c r="D25" s="8">
        <v>121.82</v>
      </c>
      <c r="E25" s="3"/>
      <c r="F25" s="7">
        <f t="shared" si="0"/>
        <v>0</v>
      </c>
      <c r="G25" s="3"/>
      <c r="H25" s="8">
        <v>64.599999999999994</v>
      </c>
      <c r="I25" s="3"/>
      <c r="J25" s="7">
        <f t="shared" si="1"/>
        <v>0</v>
      </c>
      <c r="K25" s="3"/>
      <c r="L25" s="8">
        <f t="shared" si="2"/>
        <v>57.22</v>
      </c>
      <c r="M25" s="3"/>
      <c r="N25" s="7">
        <f t="shared" si="3"/>
        <v>0.88575851393188865</v>
      </c>
      <c r="O25" s="12"/>
      <c r="P25" s="8">
        <v>1358.59</v>
      </c>
      <c r="Q25" s="3"/>
      <c r="R25" s="7">
        <f t="shared" si="4"/>
        <v>0</v>
      </c>
      <c r="S25" s="3"/>
      <c r="T25" s="8">
        <v>1069</v>
      </c>
      <c r="U25" s="3"/>
      <c r="V25" s="7">
        <f t="shared" si="5"/>
        <v>0</v>
      </c>
      <c r="W25" s="3"/>
      <c r="X25" s="8">
        <f t="shared" si="6"/>
        <v>289.58999999999992</v>
      </c>
      <c r="Y25" s="3"/>
      <c r="Z25" s="7">
        <f t="shared" si="7"/>
        <v>0.27089803554724035</v>
      </c>
    </row>
    <row r="26" spans="1:26" s="69" customFormat="1" ht="15" hidden="1" customHeight="1" outlineLevel="2" x14ac:dyDescent="0.3">
      <c r="A26" s="26"/>
      <c r="B26" s="12" t="str">
        <f>CONCATENATE("          ","6115"," - ","P.E.R.S.")</f>
        <v xml:space="preserve">          6115 - P.E.R.S.</v>
      </c>
      <c r="C26" s="12"/>
      <c r="D26" s="8">
        <v>2252.7800000000002</v>
      </c>
      <c r="E26" s="3"/>
      <c r="F26" s="7">
        <f t="shared" si="0"/>
        <v>0</v>
      </c>
      <c r="G26" s="3"/>
      <c r="H26" s="8">
        <v>1012.09</v>
      </c>
      <c r="I26" s="3"/>
      <c r="J26" s="7">
        <f t="shared" si="1"/>
        <v>0</v>
      </c>
      <c r="K26" s="3"/>
      <c r="L26" s="8">
        <f t="shared" si="2"/>
        <v>1240.69</v>
      </c>
      <c r="M26" s="3"/>
      <c r="N26" s="7">
        <f t="shared" si="3"/>
        <v>1.2258692408777876</v>
      </c>
      <c r="O26" s="12"/>
      <c r="P26" s="8">
        <v>16985.64</v>
      </c>
      <c r="Q26" s="3"/>
      <c r="R26" s="7">
        <f t="shared" si="4"/>
        <v>0</v>
      </c>
      <c r="S26" s="3"/>
      <c r="T26" s="8">
        <v>12562.86</v>
      </c>
      <c r="U26" s="3"/>
      <c r="V26" s="7">
        <f t="shared" si="5"/>
        <v>0</v>
      </c>
      <c r="W26" s="3"/>
      <c r="X26" s="8">
        <f t="shared" si="6"/>
        <v>4422.7799999999988</v>
      </c>
      <c r="Y26" s="3"/>
      <c r="Z26" s="7">
        <f t="shared" si="7"/>
        <v>0.35205200089788463</v>
      </c>
    </row>
    <row r="27" spans="1:26" s="69" customFormat="1" ht="15" hidden="1" customHeight="1" outlineLevel="2" x14ac:dyDescent="0.3">
      <c r="A27" s="26"/>
      <c r="B27" s="12" t="str">
        <f>CONCATENATE("          ","6116"," - ","EDUCATIONAL BENEFITS")</f>
        <v xml:space="preserve">          6116 - EDUCATIONAL BENEFITS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401.9</v>
      </c>
      <c r="U27" s="3"/>
      <c r="V27" s="7">
        <f t="shared" si="5"/>
        <v>0</v>
      </c>
      <c r="W27" s="3"/>
      <c r="X27" s="8">
        <f t="shared" si="6"/>
        <v>-401.9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","6117"," - ","RETIREMENT STAFF HOURLY")</f>
        <v xml:space="preserve">          6117 - RETIREMENT STAFF HOURLY</v>
      </c>
      <c r="C28" s="12"/>
      <c r="D28" s="8">
        <v>476.91</v>
      </c>
      <c r="E28" s="3"/>
      <c r="F28" s="7">
        <f t="shared" si="0"/>
        <v>0</v>
      </c>
      <c r="G28" s="3"/>
      <c r="H28" s="8">
        <v>113.47</v>
      </c>
      <c r="I28" s="3"/>
      <c r="J28" s="7">
        <f t="shared" si="1"/>
        <v>0</v>
      </c>
      <c r="K28" s="3"/>
      <c r="L28" s="8">
        <f t="shared" si="2"/>
        <v>363.44000000000005</v>
      </c>
      <c r="M28" s="3"/>
      <c r="N28" s="7">
        <f t="shared" si="3"/>
        <v>3.2029611351017895</v>
      </c>
      <c r="O28" s="12"/>
      <c r="P28" s="8">
        <v>3659.86</v>
      </c>
      <c r="Q28" s="3"/>
      <c r="R28" s="7">
        <f t="shared" si="4"/>
        <v>0</v>
      </c>
      <c r="S28" s="3"/>
      <c r="T28" s="8">
        <v>1005.15</v>
      </c>
      <c r="U28" s="3"/>
      <c r="V28" s="7">
        <f t="shared" si="5"/>
        <v>0</v>
      </c>
      <c r="W28" s="3"/>
      <c r="X28" s="8">
        <f t="shared" si="6"/>
        <v>2654.71</v>
      </c>
      <c r="Y28" s="3"/>
      <c r="Z28" s="7">
        <f t="shared" si="7"/>
        <v>2.6411082922946827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2333.4</v>
      </c>
      <c r="E29" s="3"/>
      <c r="F29" s="7">
        <f t="shared" si="0"/>
        <v>0</v>
      </c>
      <c r="G29" s="3"/>
      <c r="H29" s="8">
        <v>1868.38</v>
      </c>
      <c r="I29" s="3"/>
      <c r="J29" s="7">
        <f t="shared" si="1"/>
        <v>0</v>
      </c>
      <c r="K29" s="3"/>
      <c r="L29" s="8">
        <f t="shared" si="2"/>
        <v>465.02</v>
      </c>
      <c r="M29" s="3"/>
      <c r="N29" s="7">
        <f t="shared" si="3"/>
        <v>0.24888941221807126</v>
      </c>
      <c r="O29" s="12"/>
      <c r="P29" s="8">
        <v>16352.64</v>
      </c>
      <c r="Q29" s="3"/>
      <c r="R29" s="7">
        <f t="shared" si="4"/>
        <v>0</v>
      </c>
      <c r="S29" s="3"/>
      <c r="T29" s="8">
        <v>12201.42</v>
      </c>
      <c r="U29" s="3"/>
      <c r="V29" s="7">
        <f t="shared" si="5"/>
        <v>0</v>
      </c>
      <c r="W29" s="3"/>
      <c r="X29" s="8">
        <f t="shared" si="6"/>
        <v>4151.2199999999993</v>
      </c>
      <c r="Y29" s="3"/>
      <c r="Z29" s="7">
        <f t="shared" si="7"/>
        <v>0.34022433454466772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1639.62</v>
      </c>
      <c r="E30" s="3"/>
      <c r="F30" s="7">
        <f t="shared" si="0"/>
        <v>0</v>
      </c>
      <c r="G30" s="3"/>
      <c r="H30" s="8">
        <v>1679.98</v>
      </c>
      <c r="I30" s="3"/>
      <c r="J30" s="7">
        <f t="shared" si="1"/>
        <v>0</v>
      </c>
      <c r="K30" s="3"/>
      <c r="L30" s="8">
        <f t="shared" si="2"/>
        <v>-40.360000000000127</v>
      </c>
      <c r="M30" s="3"/>
      <c r="N30" s="7">
        <f t="shared" si="3"/>
        <v>-2.40240955249468E-2</v>
      </c>
      <c r="O30" s="12"/>
      <c r="P30" s="8">
        <v>14274.13</v>
      </c>
      <c r="Q30" s="3"/>
      <c r="R30" s="7">
        <f t="shared" si="4"/>
        <v>0</v>
      </c>
      <c r="S30" s="3"/>
      <c r="T30" s="8">
        <v>8615.06</v>
      </c>
      <c r="U30" s="3"/>
      <c r="V30" s="7">
        <f t="shared" si="5"/>
        <v>0</v>
      </c>
      <c r="W30" s="3"/>
      <c r="X30" s="8">
        <f t="shared" si="6"/>
        <v>5659.07</v>
      </c>
      <c r="Y30" s="3"/>
      <c r="Z30" s="7">
        <f t="shared" si="7"/>
        <v>0.65688108962676983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785.95</v>
      </c>
      <c r="E31" s="3"/>
      <c r="F31" s="7">
        <f t="shared" si="0"/>
        <v>0</v>
      </c>
      <c r="G31" s="3"/>
      <c r="H31" s="8">
        <v>345.1</v>
      </c>
      <c r="I31" s="3"/>
      <c r="J31" s="7">
        <f t="shared" si="1"/>
        <v>0</v>
      </c>
      <c r="K31" s="3"/>
      <c r="L31" s="8">
        <f t="shared" si="2"/>
        <v>440.85</v>
      </c>
      <c r="M31" s="3"/>
      <c r="N31" s="7">
        <f t="shared" si="3"/>
        <v>1.2774558099101709</v>
      </c>
      <c r="O31" s="12"/>
      <c r="P31" s="8">
        <v>7030.71</v>
      </c>
      <c r="Q31" s="3"/>
      <c r="R31" s="7">
        <f t="shared" si="4"/>
        <v>0</v>
      </c>
      <c r="S31" s="3"/>
      <c r="T31" s="8">
        <v>2097.4</v>
      </c>
      <c r="U31" s="3"/>
      <c r="V31" s="7">
        <f t="shared" si="5"/>
        <v>0</v>
      </c>
      <c r="W31" s="3"/>
      <c r="X31" s="8">
        <f t="shared" si="6"/>
        <v>4933.3099999999995</v>
      </c>
      <c r="Y31" s="3"/>
      <c r="Z31" s="7">
        <f t="shared" si="7"/>
        <v>2.3521073710307996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56906.710000000006</v>
      </c>
      <c r="E32" s="2"/>
      <c r="F32" s="6">
        <f t="shared" si="0"/>
        <v>0</v>
      </c>
      <c r="G32" s="2"/>
      <c r="H32" s="2">
        <f>SUM(OSRRefH22_1x_0)</f>
        <v>36731.760000000002</v>
      </c>
      <c r="I32" s="2"/>
      <c r="J32" s="6">
        <f t="shared" si="1"/>
        <v>0</v>
      </c>
      <c r="K32" s="2"/>
      <c r="L32" s="2">
        <f t="shared" si="2"/>
        <v>20174.950000000004</v>
      </c>
      <c r="M32" s="2"/>
      <c r="N32" s="6">
        <f t="shared" si="3"/>
        <v>0.54925083905590155</v>
      </c>
      <c r="O32" s="14"/>
      <c r="P32" s="2">
        <f>SUM(OSRRefP22_1x_0)</f>
        <v>539390.03</v>
      </c>
      <c r="Q32" s="2"/>
      <c r="R32" s="6">
        <f t="shared" si="4"/>
        <v>0</v>
      </c>
      <c r="S32" s="2"/>
      <c r="T32" s="2">
        <f>SUM(OSRRefT22_1x_0)</f>
        <v>414704.38</v>
      </c>
      <c r="U32" s="2"/>
      <c r="V32" s="6">
        <f t="shared" si="5"/>
        <v>0</v>
      </c>
      <c r="W32" s="2"/>
      <c r="X32" s="2">
        <f t="shared" si="6"/>
        <v>124685.65000000002</v>
      </c>
      <c r="Y32" s="2"/>
      <c r="Z32" s="6">
        <f t="shared" si="7"/>
        <v>0.30066152182911599</v>
      </c>
    </row>
    <row r="33" spans="1:26" s="69" customFormat="1" ht="15" hidden="1" customHeight="1" outlineLevel="2" x14ac:dyDescent="0.3">
      <c r="A33" s="26"/>
      <c r="B33" s="12" t="str">
        <f>CONCATENATE("          ","6001"," - ","ADMINISTRATIVE SALARIES")</f>
        <v xml:space="preserve">          6001 - ADMINISTRATIVE SALARIES</v>
      </c>
      <c r="C33" s="12"/>
      <c r="D33" s="8">
        <v>2749.47</v>
      </c>
      <c r="E33" s="3"/>
      <c r="F33" s="7">
        <f t="shared" si="0"/>
        <v>0</v>
      </c>
      <c r="G33" s="3"/>
      <c r="H33" s="8">
        <v>4416.46</v>
      </c>
      <c r="I33" s="3"/>
      <c r="J33" s="7">
        <f t="shared" si="1"/>
        <v>0</v>
      </c>
      <c r="K33" s="3"/>
      <c r="L33" s="8">
        <f t="shared" si="2"/>
        <v>-1666.9900000000002</v>
      </c>
      <c r="M33" s="3"/>
      <c r="N33" s="7">
        <f t="shared" si="3"/>
        <v>-0.37744935989457623</v>
      </c>
      <c r="O33" s="12"/>
      <c r="P33" s="8">
        <v>47666.53</v>
      </c>
      <c r="Q33" s="3"/>
      <c r="R33" s="7">
        <f t="shared" si="4"/>
        <v>0</v>
      </c>
      <c r="S33" s="3"/>
      <c r="T33" s="8">
        <v>43504.11</v>
      </c>
      <c r="U33" s="3"/>
      <c r="V33" s="7">
        <f t="shared" si="5"/>
        <v>0</v>
      </c>
      <c r="W33" s="3"/>
      <c r="X33" s="8">
        <f t="shared" si="6"/>
        <v>4162.4199999999983</v>
      </c>
      <c r="Y33" s="3"/>
      <c r="Z33" s="7">
        <f t="shared" si="7"/>
        <v>9.5678776097246857E-2</v>
      </c>
    </row>
    <row r="34" spans="1:26" s="69" customFormat="1" ht="15" hidden="1" customHeight="1" outlineLevel="2" x14ac:dyDescent="0.3">
      <c r="A34" s="26"/>
      <c r="B34" s="12" t="str">
        <f>CONCATENATE("          ","6002"," - ","STAFF SALARIES")</f>
        <v xml:space="preserve">          6002 - STAFF SALARIES</v>
      </c>
      <c r="C34" s="12"/>
      <c r="D34" s="8">
        <v>14624.02</v>
      </c>
      <c r="E34" s="3"/>
      <c r="F34" s="7">
        <f t="shared" si="0"/>
        <v>0</v>
      </c>
      <c r="G34" s="3"/>
      <c r="H34" s="8">
        <v>11599.1</v>
      </c>
      <c r="I34" s="3"/>
      <c r="J34" s="7">
        <f t="shared" si="1"/>
        <v>0</v>
      </c>
      <c r="K34" s="3"/>
      <c r="L34" s="8">
        <f t="shared" si="2"/>
        <v>3024.92</v>
      </c>
      <c r="M34" s="3"/>
      <c r="N34" s="7">
        <f t="shared" si="3"/>
        <v>0.26078919916200394</v>
      </c>
      <c r="O34" s="12"/>
      <c r="P34" s="8">
        <v>113216.53</v>
      </c>
      <c r="Q34" s="3"/>
      <c r="R34" s="7">
        <f t="shared" si="4"/>
        <v>0</v>
      </c>
      <c r="S34" s="3"/>
      <c r="T34" s="8">
        <v>94263.09</v>
      </c>
      <c r="U34" s="3"/>
      <c r="V34" s="7">
        <f t="shared" si="5"/>
        <v>0</v>
      </c>
      <c r="W34" s="3"/>
      <c r="X34" s="8">
        <f t="shared" si="6"/>
        <v>18953.440000000002</v>
      </c>
      <c r="Y34" s="3"/>
      <c r="Z34" s="7">
        <f t="shared" si="7"/>
        <v>0.20106958089322133</v>
      </c>
    </row>
    <row r="35" spans="1:26" s="69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11065.16</v>
      </c>
      <c r="E35" s="3"/>
      <c r="F35" s="7">
        <f t="shared" si="0"/>
        <v>0</v>
      </c>
      <c r="G35" s="3"/>
      <c r="H35" s="8">
        <v>3582.6</v>
      </c>
      <c r="I35" s="3"/>
      <c r="J35" s="7">
        <f t="shared" si="1"/>
        <v>0</v>
      </c>
      <c r="K35" s="3"/>
      <c r="L35" s="8">
        <f t="shared" si="2"/>
        <v>7482.5599999999995</v>
      </c>
      <c r="M35" s="3"/>
      <c r="N35" s="7">
        <f t="shared" si="3"/>
        <v>2.0885837101546363</v>
      </c>
      <c r="O35" s="12"/>
      <c r="P35" s="8">
        <v>78213.13</v>
      </c>
      <c r="Q35" s="3"/>
      <c r="R35" s="7">
        <f t="shared" si="4"/>
        <v>0</v>
      </c>
      <c r="S35" s="3"/>
      <c r="T35" s="8">
        <v>28945.25</v>
      </c>
      <c r="U35" s="3"/>
      <c r="V35" s="7">
        <f t="shared" si="5"/>
        <v>0</v>
      </c>
      <c r="W35" s="3"/>
      <c r="X35" s="8">
        <f t="shared" si="6"/>
        <v>49267.880000000005</v>
      </c>
      <c r="Y35" s="3"/>
      <c r="Z35" s="7">
        <f t="shared" si="7"/>
        <v>1.7021058722933817</v>
      </c>
    </row>
    <row r="36" spans="1:26" s="69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3024.59</v>
      </c>
      <c r="E36" s="3"/>
      <c r="F36" s="7">
        <f t="shared" si="0"/>
        <v>0</v>
      </c>
      <c r="G36" s="3"/>
      <c r="H36" s="8">
        <v>6095.59</v>
      </c>
      <c r="I36" s="3"/>
      <c r="J36" s="7">
        <f t="shared" si="1"/>
        <v>0</v>
      </c>
      <c r="K36" s="3"/>
      <c r="L36" s="8">
        <f t="shared" si="2"/>
        <v>-3071</v>
      </c>
      <c r="M36" s="3"/>
      <c r="N36" s="7">
        <f t="shared" si="3"/>
        <v>-0.50380685052636409</v>
      </c>
      <c r="O36" s="12"/>
      <c r="P36" s="8">
        <v>27871.64</v>
      </c>
      <c r="Q36" s="3"/>
      <c r="R36" s="7">
        <f t="shared" si="4"/>
        <v>0</v>
      </c>
      <c r="S36" s="3"/>
      <c r="T36" s="8">
        <v>71402.38</v>
      </c>
      <c r="U36" s="3"/>
      <c r="V36" s="7">
        <f t="shared" si="5"/>
        <v>0</v>
      </c>
      <c r="W36" s="3"/>
      <c r="X36" s="8">
        <f t="shared" si="6"/>
        <v>-43530.740000000005</v>
      </c>
      <c r="Y36" s="3"/>
      <c r="Z36" s="7">
        <f t="shared" si="7"/>
        <v>-0.609653907894947</v>
      </c>
    </row>
    <row r="37" spans="1:26" s="69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8">
        <v>2482.0300000000002</v>
      </c>
      <c r="E37" s="3"/>
      <c r="F37" s="7">
        <f t="shared" si="0"/>
        <v>0</v>
      </c>
      <c r="G37" s="3"/>
      <c r="H37" s="8">
        <v>686</v>
      </c>
      <c r="I37" s="3"/>
      <c r="J37" s="7">
        <f t="shared" si="1"/>
        <v>0</v>
      </c>
      <c r="K37" s="3"/>
      <c r="L37" s="8">
        <f t="shared" si="2"/>
        <v>1796.0300000000002</v>
      </c>
      <c r="M37" s="3"/>
      <c r="N37" s="7">
        <f t="shared" si="3"/>
        <v>2.6181195335276972</v>
      </c>
      <c r="O37" s="12"/>
      <c r="P37" s="8">
        <v>17834.14</v>
      </c>
      <c r="Q37" s="3"/>
      <c r="R37" s="7">
        <f t="shared" si="4"/>
        <v>0</v>
      </c>
      <c r="S37" s="3"/>
      <c r="T37" s="8">
        <v>11466.39</v>
      </c>
      <c r="U37" s="3"/>
      <c r="V37" s="7">
        <f t="shared" si="5"/>
        <v>0</v>
      </c>
      <c r="W37" s="3"/>
      <c r="X37" s="8">
        <f t="shared" si="6"/>
        <v>6367.75</v>
      </c>
      <c r="Y37" s="3"/>
      <c r="Z37" s="7">
        <f t="shared" si="7"/>
        <v>0.55534043408605505</v>
      </c>
    </row>
    <row r="38" spans="1:26" s="69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20874.64</v>
      </c>
      <c r="E38" s="3"/>
      <c r="F38" s="7">
        <f t="shared" si="0"/>
        <v>0</v>
      </c>
      <c r="G38" s="3"/>
      <c r="H38" s="8">
        <v>10352.01</v>
      </c>
      <c r="I38" s="3"/>
      <c r="J38" s="7">
        <f t="shared" si="1"/>
        <v>0</v>
      </c>
      <c r="K38" s="3"/>
      <c r="L38" s="8">
        <f t="shared" si="2"/>
        <v>10522.63</v>
      </c>
      <c r="M38" s="3"/>
      <c r="N38" s="7">
        <f t="shared" si="3"/>
        <v>1.0164818233367239</v>
      </c>
      <c r="O38" s="12"/>
      <c r="P38" s="8">
        <v>238183.23</v>
      </c>
      <c r="Q38" s="3"/>
      <c r="R38" s="7">
        <f t="shared" si="4"/>
        <v>0</v>
      </c>
      <c r="S38" s="3"/>
      <c r="T38" s="8">
        <v>165123.16</v>
      </c>
      <c r="U38" s="3"/>
      <c r="V38" s="7">
        <f t="shared" si="5"/>
        <v>0</v>
      </c>
      <c r="W38" s="3"/>
      <c r="X38" s="8">
        <f t="shared" si="6"/>
        <v>73060.070000000007</v>
      </c>
      <c r="Y38" s="3"/>
      <c r="Z38" s="7">
        <f t="shared" si="7"/>
        <v>0.44245804162178098</v>
      </c>
    </row>
    <row r="39" spans="1:26" s="69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>
        <v>2086.8000000000002</v>
      </c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2086.8000000000002</v>
      </c>
      <c r="M39" s="3"/>
      <c r="N39" s="7">
        <f t="shared" si="3"/>
        <v>0</v>
      </c>
      <c r="O39" s="12"/>
      <c r="P39" s="8">
        <v>16404.830000000002</v>
      </c>
      <c r="Q39" s="3"/>
      <c r="R39" s="7">
        <f t="shared" si="4"/>
        <v>0</v>
      </c>
      <c r="S39" s="3"/>
      <c r="T39" s="8"/>
      <c r="U39" s="3"/>
      <c r="V39" s="7">
        <f t="shared" si="5"/>
        <v>0</v>
      </c>
      <c r="W39" s="3"/>
      <c r="X39" s="8">
        <f t="shared" si="6"/>
        <v>16404.830000000002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600</v>
      </c>
      <c r="E40" s="2"/>
      <c r="F40" s="6">
        <f t="shared" si="0"/>
        <v>0</v>
      </c>
      <c r="G40" s="2"/>
      <c r="H40" s="2">
        <f>SUM(OSRRefH22_2x_0)</f>
        <v>300</v>
      </c>
      <c r="I40" s="2"/>
      <c r="J40" s="6">
        <f t="shared" si="1"/>
        <v>0</v>
      </c>
      <c r="K40" s="2"/>
      <c r="L40" s="2">
        <f t="shared" si="2"/>
        <v>300</v>
      </c>
      <c r="M40" s="2"/>
      <c r="N40" s="6">
        <f t="shared" si="3"/>
        <v>1</v>
      </c>
      <c r="O40" s="14"/>
      <c r="P40" s="2">
        <f>SUM(OSRRefP22_2x_0)</f>
        <v>233.62</v>
      </c>
      <c r="Q40" s="2"/>
      <c r="R40" s="6">
        <f t="shared" si="4"/>
        <v>0</v>
      </c>
      <c r="S40" s="2"/>
      <c r="T40" s="2">
        <f>SUM(OSRRefT22_2x_0)</f>
        <v>525</v>
      </c>
      <c r="U40" s="2"/>
      <c r="V40" s="6">
        <f t="shared" si="5"/>
        <v>0</v>
      </c>
      <c r="W40" s="2"/>
      <c r="X40" s="2">
        <f t="shared" si="6"/>
        <v>-291.38</v>
      </c>
      <c r="Y40" s="2"/>
      <c r="Z40" s="6">
        <f t="shared" si="7"/>
        <v>-0.55500952380952384</v>
      </c>
    </row>
    <row r="41" spans="1:26" s="69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>
        <v>600</v>
      </c>
      <c r="E41" s="3"/>
      <c r="F41" s="7">
        <f t="shared" si="0"/>
        <v>0</v>
      </c>
      <c r="G41" s="3"/>
      <c r="H41" s="8">
        <v>300</v>
      </c>
      <c r="I41" s="3"/>
      <c r="J41" s="7">
        <f t="shared" si="1"/>
        <v>0</v>
      </c>
      <c r="K41" s="3"/>
      <c r="L41" s="8">
        <f t="shared" si="2"/>
        <v>300</v>
      </c>
      <c r="M41" s="3"/>
      <c r="N41" s="7">
        <f t="shared" si="3"/>
        <v>1</v>
      </c>
      <c r="O41" s="12"/>
      <c r="P41" s="8">
        <v>233.62</v>
      </c>
      <c r="Q41" s="3"/>
      <c r="R41" s="7">
        <f t="shared" si="4"/>
        <v>0</v>
      </c>
      <c r="S41" s="3"/>
      <c r="T41" s="8">
        <v>525</v>
      </c>
      <c r="U41" s="3"/>
      <c r="V41" s="7">
        <f t="shared" si="5"/>
        <v>0</v>
      </c>
      <c r="W41" s="3"/>
      <c r="X41" s="8">
        <f t="shared" si="6"/>
        <v>-291.38</v>
      </c>
      <c r="Y41" s="3"/>
      <c r="Z41" s="7">
        <f t="shared" si="7"/>
        <v>-0.55500952380952384</v>
      </c>
    </row>
    <row r="42" spans="1:26" s="68" customFormat="1" ht="15" customHeight="1" outlineLevel="1" collapsed="1" x14ac:dyDescent="0.3">
      <c r="A42" s="25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-47.16</v>
      </c>
      <c r="E42" s="2"/>
      <c r="F42" s="6">
        <f t="shared" si="0"/>
        <v>0</v>
      </c>
      <c r="G42" s="2"/>
      <c r="H42" s="2">
        <f>SUM(OSRRefH22_3x_0)</f>
        <v>-1.51</v>
      </c>
      <c r="I42" s="2"/>
      <c r="J42" s="6">
        <f t="shared" si="1"/>
        <v>0</v>
      </c>
      <c r="K42" s="2"/>
      <c r="L42" s="2">
        <f t="shared" si="2"/>
        <v>-45.65</v>
      </c>
      <c r="M42" s="2"/>
      <c r="N42" s="6">
        <f t="shared" si="3"/>
        <v>30.231788079470199</v>
      </c>
      <c r="O42" s="14"/>
      <c r="P42" s="2">
        <f>SUM(OSRRefP22_3x_0)</f>
        <v>63.68</v>
      </c>
      <c r="Q42" s="2"/>
      <c r="R42" s="6">
        <f t="shared" si="4"/>
        <v>0</v>
      </c>
      <c r="S42" s="2"/>
      <c r="T42" s="2">
        <f>SUM(OSRRefT22_3x_0)</f>
        <v>5204.7</v>
      </c>
      <c r="U42" s="2"/>
      <c r="V42" s="6">
        <f t="shared" si="5"/>
        <v>0</v>
      </c>
      <c r="W42" s="2"/>
      <c r="X42" s="2">
        <f t="shared" si="6"/>
        <v>-5141.0199999999995</v>
      </c>
      <c r="Y42" s="2"/>
      <c r="Z42" s="6">
        <f t="shared" si="7"/>
        <v>-0.98776490479758672</v>
      </c>
    </row>
    <row r="43" spans="1:26" s="69" customFormat="1" ht="15" hidden="1" customHeight="1" outlineLevel="2" x14ac:dyDescent="0.3">
      <c r="A43" s="26"/>
      <c r="B43" s="12" t="str">
        <f>CONCATENATE("          ","6272"," - ","CASH (OVER/SHORT)")</f>
        <v xml:space="preserve">          6272 - CASH (OVER/SHORT)</v>
      </c>
      <c r="C43" s="12"/>
      <c r="D43" s="8">
        <v>-47.16</v>
      </c>
      <c r="E43" s="3"/>
      <c r="F43" s="7">
        <f t="shared" si="0"/>
        <v>0</v>
      </c>
      <c r="G43" s="3"/>
      <c r="H43" s="8">
        <v>-1.51</v>
      </c>
      <c r="I43" s="3"/>
      <c r="J43" s="7">
        <f t="shared" si="1"/>
        <v>0</v>
      </c>
      <c r="K43" s="3"/>
      <c r="L43" s="8">
        <f t="shared" si="2"/>
        <v>-45.65</v>
      </c>
      <c r="M43" s="3"/>
      <c r="N43" s="7">
        <f t="shared" si="3"/>
        <v>30.231788079470199</v>
      </c>
      <c r="O43" s="12"/>
      <c r="P43" s="8">
        <v>63.68</v>
      </c>
      <c r="Q43" s="3"/>
      <c r="R43" s="7">
        <f t="shared" si="4"/>
        <v>0</v>
      </c>
      <c r="S43" s="3"/>
      <c r="T43" s="8">
        <v>-144.72</v>
      </c>
      <c r="U43" s="3"/>
      <c r="V43" s="7">
        <f t="shared" si="5"/>
        <v>0</v>
      </c>
      <c r="W43" s="3"/>
      <c r="X43" s="8">
        <f t="shared" si="6"/>
        <v>208.4</v>
      </c>
      <c r="Y43" s="3"/>
      <c r="Z43" s="7">
        <f t="shared" si="7"/>
        <v>-1.4400221116639027</v>
      </c>
    </row>
    <row r="44" spans="1:26" s="69" customFormat="1" ht="15" hidden="1" customHeight="1" outlineLevel="2" x14ac:dyDescent="0.3">
      <c r="A44" s="26"/>
      <c r="B44" s="12" t="str">
        <f>CONCATENATE("          ","6342"," - ","BAD DEBT")</f>
        <v xml:space="preserve">          6342 - BAD DEBT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5349.42</v>
      </c>
      <c r="U44" s="3"/>
      <c r="V44" s="7">
        <f t="shared" si="5"/>
        <v>0</v>
      </c>
      <c r="W44" s="3"/>
      <c r="X44" s="8">
        <f t="shared" si="6"/>
        <v>-5349.42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5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14841.75</v>
      </c>
      <c r="E45" s="2"/>
      <c r="F45" s="6">
        <f t="shared" si="0"/>
        <v>0</v>
      </c>
      <c r="G45" s="2"/>
      <c r="H45" s="2">
        <f>SUM(OSRRefH22_4x_0)</f>
        <v>4816.3999999999996</v>
      </c>
      <c r="I45" s="2"/>
      <c r="J45" s="6">
        <f t="shared" si="1"/>
        <v>0</v>
      </c>
      <c r="K45" s="2"/>
      <c r="L45" s="2">
        <f t="shared" si="2"/>
        <v>10025.35</v>
      </c>
      <c r="M45" s="2"/>
      <c r="N45" s="6">
        <f t="shared" si="3"/>
        <v>2.0815027821609502</v>
      </c>
      <c r="O45" s="14"/>
      <c r="P45" s="2">
        <f>SUM(OSRRefP22_4x_0)</f>
        <v>121434.22</v>
      </c>
      <c r="Q45" s="2"/>
      <c r="R45" s="6">
        <f t="shared" si="4"/>
        <v>0</v>
      </c>
      <c r="S45" s="2"/>
      <c r="T45" s="2">
        <f>SUM(OSRRefT22_4x_0)</f>
        <v>70803.509999999995</v>
      </c>
      <c r="U45" s="2"/>
      <c r="V45" s="6">
        <f t="shared" si="5"/>
        <v>0</v>
      </c>
      <c r="W45" s="2"/>
      <c r="X45" s="2">
        <f t="shared" si="6"/>
        <v>50630.710000000006</v>
      </c>
      <c r="Y45" s="2"/>
      <c r="Z45" s="6">
        <f t="shared" si="7"/>
        <v>0.71508757122351718</v>
      </c>
    </row>
    <row r="46" spans="1:26" s="69" customFormat="1" ht="15" hidden="1" customHeight="1" outlineLevel="2" x14ac:dyDescent="0.3">
      <c r="A46" s="26"/>
      <c r="B46" s="12" t="str">
        <f>CONCATENATE("          ","6381"," - ","BANK/CREDIT CARD FEES")</f>
        <v xml:space="preserve">          6381 - BANK/CREDIT CARD FEES</v>
      </c>
      <c r="C46" s="12"/>
      <c r="D46" s="8">
        <v>14841.75</v>
      </c>
      <c r="E46" s="3"/>
      <c r="F46" s="7">
        <f t="shared" si="0"/>
        <v>0</v>
      </c>
      <c r="G46" s="3"/>
      <c r="H46" s="8">
        <v>4816.3999999999996</v>
      </c>
      <c r="I46" s="3"/>
      <c r="J46" s="7">
        <f t="shared" si="1"/>
        <v>0</v>
      </c>
      <c r="K46" s="3"/>
      <c r="L46" s="8">
        <f t="shared" si="2"/>
        <v>10025.35</v>
      </c>
      <c r="M46" s="3"/>
      <c r="N46" s="7">
        <f t="shared" si="3"/>
        <v>2.0815027821609502</v>
      </c>
      <c r="O46" s="12"/>
      <c r="P46" s="8">
        <v>121434.22</v>
      </c>
      <c r="Q46" s="3"/>
      <c r="R46" s="7">
        <f t="shared" si="4"/>
        <v>0</v>
      </c>
      <c r="S46" s="3"/>
      <c r="T46" s="8">
        <v>70803.509999999995</v>
      </c>
      <c r="U46" s="3"/>
      <c r="V46" s="7">
        <f t="shared" si="5"/>
        <v>0</v>
      </c>
      <c r="W46" s="3"/>
      <c r="X46" s="8">
        <f t="shared" si="6"/>
        <v>50630.710000000006</v>
      </c>
      <c r="Y46" s="3"/>
      <c r="Z46" s="7">
        <f t="shared" si="7"/>
        <v>0.71508757122351718</v>
      </c>
    </row>
    <row r="47" spans="1:26" s="68" customFormat="1" ht="15" customHeight="1" outlineLevel="1" collapsed="1" x14ac:dyDescent="0.3">
      <c r="A47" s="25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16210.169999999998</v>
      </c>
      <c r="E47" s="2"/>
      <c r="F47" s="6">
        <f t="shared" si="0"/>
        <v>0</v>
      </c>
      <c r="G47" s="2"/>
      <c r="H47" s="2">
        <f>SUM(OSRRefH22_5x_0)</f>
        <v>30565.97</v>
      </c>
      <c r="I47" s="2"/>
      <c r="J47" s="6">
        <f t="shared" si="1"/>
        <v>0</v>
      </c>
      <c r="K47" s="2"/>
      <c r="L47" s="2">
        <f t="shared" si="2"/>
        <v>-14355.800000000003</v>
      </c>
      <c r="M47" s="2"/>
      <c r="N47" s="6">
        <f t="shared" si="3"/>
        <v>-0.46966610253167174</v>
      </c>
      <c r="O47" s="14"/>
      <c r="P47" s="2">
        <f>SUM(OSRRefP22_5x_0)</f>
        <v>282117.82</v>
      </c>
      <c r="Q47" s="2"/>
      <c r="R47" s="6">
        <f t="shared" si="4"/>
        <v>0</v>
      </c>
      <c r="S47" s="2"/>
      <c r="T47" s="2">
        <f>SUM(OSRRefT22_5x_0)</f>
        <v>305955.19</v>
      </c>
      <c r="U47" s="2"/>
      <c r="V47" s="6">
        <f t="shared" si="5"/>
        <v>0</v>
      </c>
      <c r="W47" s="2"/>
      <c r="X47" s="2">
        <f t="shared" si="6"/>
        <v>-23837.369999999995</v>
      </c>
      <c r="Y47" s="2"/>
      <c r="Z47" s="6">
        <f t="shared" si="7"/>
        <v>-7.7911311130234445E-2</v>
      </c>
    </row>
    <row r="48" spans="1:26" s="69" customFormat="1" ht="15" hidden="1" customHeight="1" outlineLevel="2" x14ac:dyDescent="0.3">
      <c r="A48" s="26"/>
      <c r="B48" s="12" t="str">
        <f>CONCATENATE("          ","6321"," - ","BUILDING DEPRECIATION")</f>
        <v xml:space="preserve">          6321 - BUILDING DEPRECIATION</v>
      </c>
      <c r="C48" s="12"/>
      <c r="D48" s="8">
        <v>13321.71</v>
      </c>
      <c r="E48" s="3"/>
      <c r="F48" s="7">
        <f t="shared" si="0"/>
        <v>0</v>
      </c>
      <c r="G48" s="3"/>
      <c r="H48" s="8">
        <v>16396.52</v>
      </c>
      <c r="I48" s="3"/>
      <c r="J48" s="7">
        <f t="shared" si="1"/>
        <v>0</v>
      </c>
      <c r="K48" s="3"/>
      <c r="L48" s="8">
        <f t="shared" si="2"/>
        <v>-3074.8100000000013</v>
      </c>
      <c r="M48" s="3"/>
      <c r="N48" s="7">
        <f t="shared" si="3"/>
        <v>-0.18752820720494356</v>
      </c>
      <c r="O48" s="12"/>
      <c r="P48" s="8">
        <v>152475.84</v>
      </c>
      <c r="Q48" s="3"/>
      <c r="R48" s="7">
        <f t="shared" si="4"/>
        <v>0</v>
      </c>
      <c r="S48" s="3"/>
      <c r="T48" s="8">
        <v>163965.20000000001</v>
      </c>
      <c r="U48" s="3"/>
      <c r="V48" s="7">
        <f t="shared" si="5"/>
        <v>0</v>
      </c>
      <c r="W48" s="3"/>
      <c r="X48" s="8">
        <f t="shared" si="6"/>
        <v>-11489.360000000015</v>
      </c>
      <c r="Y48" s="3"/>
      <c r="Z48" s="7">
        <f t="shared" si="7"/>
        <v>-7.007194209503001E-2</v>
      </c>
    </row>
    <row r="49" spans="1:26" s="69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2888.46</v>
      </c>
      <c r="E49" s="3"/>
      <c r="F49" s="7">
        <f t="shared" si="0"/>
        <v>0</v>
      </c>
      <c r="G49" s="3"/>
      <c r="H49" s="8">
        <v>14169.45</v>
      </c>
      <c r="I49" s="3"/>
      <c r="J49" s="7">
        <f t="shared" si="1"/>
        <v>0</v>
      </c>
      <c r="K49" s="3"/>
      <c r="L49" s="8">
        <f t="shared" si="2"/>
        <v>-11280.990000000002</v>
      </c>
      <c r="M49" s="3"/>
      <c r="N49" s="7">
        <f t="shared" si="3"/>
        <v>-0.79614875665604534</v>
      </c>
      <c r="O49" s="12"/>
      <c r="P49" s="8">
        <v>129641.98</v>
      </c>
      <c r="Q49" s="3"/>
      <c r="R49" s="7">
        <f t="shared" si="4"/>
        <v>0</v>
      </c>
      <c r="S49" s="3"/>
      <c r="T49" s="8">
        <v>141989.99</v>
      </c>
      <c r="U49" s="3"/>
      <c r="V49" s="7">
        <f t="shared" si="5"/>
        <v>0</v>
      </c>
      <c r="W49" s="3"/>
      <c r="X49" s="8">
        <f t="shared" si="6"/>
        <v>-12348.009999999995</v>
      </c>
      <c r="Y49" s="3"/>
      <c r="Z49" s="7">
        <f t="shared" si="7"/>
        <v>-8.6963947247267193E-2</v>
      </c>
    </row>
    <row r="50" spans="1:26" s="68" customFormat="1" ht="15" customHeight="1" outlineLevel="1" collapsed="1" x14ac:dyDescent="0.3">
      <c r="A50" s="25"/>
      <c r="B50" s="14" t="str">
        <f>CONCATENATE("     ","Discounts and Markdowns                           ")</f>
        <v xml:space="preserve">     Discounts and Markdowns                           </v>
      </c>
      <c r="C50" s="14"/>
      <c r="D50" s="2">
        <f>SUM(OSRRefD22_6x_0)</f>
        <v>-29.32</v>
      </c>
      <c r="E50" s="2"/>
      <c r="F50" s="6">
        <f t="shared" si="0"/>
        <v>0</v>
      </c>
      <c r="G50" s="2"/>
      <c r="H50" s="2">
        <f>SUM(OSRRefH22_6x_0)</f>
        <v>-15.43</v>
      </c>
      <c r="I50" s="2"/>
      <c r="J50" s="6">
        <f t="shared" si="1"/>
        <v>0</v>
      </c>
      <c r="K50" s="2"/>
      <c r="L50" s="2">
        <f t="shared" si="2"/>
        <v>-13.89</v>
      </c>
      <c r="M50" s="2"/>
      <c r="N50" s="6">
        <f t="shared" si="3"/>
        <v>0.90019442644199621</v>
      </c>
      <c r="O50" s="14"/>
      <c r="P50" s="2">
        <f>SUM(OSRRefP22_6x_0)</f>
        <v>2026.83</v>
      </c>
      <c r="Q50" s="2"/>
      <c r="R50" s="6">
        <f t="shared" si="4"/>
        <v>0</v>
      </c>
      <c r="S50" s="2"/>
      <c r="T50" s="2">
        <f>SUM(OSRRefT22_6x_0)</f>
        <v>-15.43</v>
      </c>
      <c r="U50" s="2"/>
      <c r="V50" s="6">
        <f t="shared" si="5"/>
        <v>0</v>
      </c>
      <c r="W50" s="2"/>
      <c r="X50" s="2">
        <f t="shared" si="6"/>
        <v>2042.26</v>
      </c>
      <c r="Y50" s="2"/>
      <c r="Z50" s="6">
        <f t="shared" si="7"/>
        <v>-132.35644847699288</v>
      </c>
    </row>
    <row r="51" spans="1:26" s="69" customFormat="1" ht="15" hidden="1" customHeight="1" outlineLevel="2" x14ac:dyDescent="0.3">
      <c r="A51" s="26"/>
      <c r="B51" s="12" t="str">
        <f>CONCATENATE("          ","6382"," - ","DISCOUNTS/MARK DOWNS")</f>
        <v xml:space="preserve">          6382 - DISCOUNTS/MARK DOWNS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2170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2170</v>
      </c>
      <c r="Y51" s="3"/>
      <c r="Z51" s="7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","9175"," - ","EARNED DISCOUNTS")</f>
        <v xml:space="preserve">          9175 - EARNED DISCOUNTS</v>
      </c>
      <c r="C52" s="12"/>
      <c r="D52" s="8">
        <v>-29.32</v>
      </c>
      <c r="E52" s="3"/>
      <c r="F52" s="7">
        <f t="shared" ref="F52:F83" si="8">IF(D$12=0,0,D52/D$12)</f>
        <v>0</v>
      </c>
      <c r="G52" s="3"/>
      <c r="H52" s="8">
        <v>-15.43</v>
      </c>
      <c r="I52" s="3"/>
      <c r="J52" s="7">
        <f t="shared" ref="J52:J83" si="9">IF(H$12=0,0,H52/H$12)</f>
        <v>0</v>
      </c>
      <c r="K52" s="3"/>
      <c r="L52" s="8">
        <f t="shared" ref="L52:L83" si="10">+D52-H52</f>
        <v>-13.89</v>
      </c>
      <c r="M52" s="3"/>
      <c r="N52" s="7">
        <f t="shared" ref="N52:N83" si="11">IF(H52=0,0,L52/H52)</f>
        <v>0.90019442644199621</v>
      </c>
      <c r="O52" s="12"/>
      <c r="P52" s="8">
        <v>-143.16999999999999</v>
      </c>
      <c r="Q52" s="3"/>
      <c r="R52" s="7">
        <f t="shared" ref="R52:R83" si="12">IF(P$12=0,0,P52/P$12)</f>
        <v>0</v>
      </c>
      <c r="S52" s="3"/>
      <c r="T52" s="8">
        <v>-15.43</v>
      </c>
      <c r="U52" s="3"/>
      <c r="V52" s="7">
        <f t="shared" ref="V52:V83" si="13">IF(T$12=0,0,T52/T$12)</f>
        <v>0</v>
      </c>
      <c r="W52" s="3"/>
      <c r="X52" s="8">
        <f t="shared" ref="X52:X83" si="14">+P52-T52</f>
        <v>-127.73999999999998</v>
      </c>
      <c r="Y52" s="3"/>
      <c r="Z52" s="7">
        <f t="shared" ref="Z52:Z83" si="15">IF(T52=0,0,X52/T52)</f>
        <v>8.2786779001944257</v>
      </c>
    </row>
    <row r="53" spans="1:26" s="68" customFormat="1" ht="15" customHeight="1" outlineLevel="1" collapsed="1" x14ac:dyDescent="0.3">
      <c r="A53" s="25"/>
      <c r="B53" s="14" t="str">
        <f>CONCATENATE("     ","Donations                                         ")</f>
        <v xml:space="preserve">     Donations                                         </v>
      </c>
      <c r="C53" s="14"/>
      <c r="D53" s="2">
        <f>SUM(OSRRefD22_7x_0)</f>
        <v>1488.53</v>
      </c>
      <c r="E53" s="2"/>
      <c r="F53" s="6">
        <f t="shared" si="8"/>
        <v>0</v>
      </c>
      <c r="G53" s="2"/>
      <c r="H53" s="2">
        <f>SUM(OSRRefH22_7x_0)</f>
        <v>360.9</v>
      </c>
      <c r="I53" s="2"/>
      <c r="J53" s="6">
        <f t="shared" si="9"/>
        <v>0</v>
      </c>
      <c r="K53" s="2"/>
      <c r="L53" s="2">
        <f t="shared" si="10"/>
        <v>1127.6300000000001</v>
      </c>
      <c r="M53" s="2"/>
      <c r="N53" s="6">
        <f t="shared" si="11"/>
        <v>3.1244943197561654</v>
      </c>
      <c r="O53" s="14"/>
      <c r="P53" s="2">
        <f>SUM(OSRRefP22_7x_0)</f>
        <v>7306.8</v>
      </c>
      <c r="Q53" s="2"/>
      <c r="R53" s="6">
        <f t="shared" si="12"/>
        <v>0</v>
      </c>
      <c r="S53" s="2"/>
      <c r="T53" s="2">
        <f>SUM(OSRRefT22_7x_0)</f>
        <v>360.9</v>
      </c>
      <c r="U53" s="2"/>
      <c r="V53" s="6">
        <f t="shared" si="13"/>
        <v>0</v>
      </c>
      <c r="W53" s="2"/>
      <c r="X53" s="2">
        <f t="shared" si="14"/>
        <v>6945.9000000000005</v>
      </c>
      <c r="Y53" s="2"/>
      <c r="Z53" s="6">
        <f t="shared" si="15"/>
        <v>19.246051537822115</v>
      </c>
    </row>
    <row r="54" spans="1:26" s="69" customFormat="1" ht="15" hidden="1" customHeight="1" outlineLevel="2" x14ac:dyDescent="0.3">
      <c r="A54" s="26"/>
      <c r="B54" s="12" t="str">
        <f>CONCATENATE("          ","6399"," - ","DONATION-ON CAMPUS")</f>
        <v xml:space="preserve">          6399 - DONATION-ON CAMPUS</v>
      </c>
      <c r="C54" s="12"/>
      <c r="D54" s="8">
        <v>1488.53</v>
      </c>
      <c r="E54" s="3"/>
      <c r="F54" s="7">
        <f t="shared" si="8"/>
        <v>0</v>
      </c>
      <c r="G54" s="3"/>
      <c r="H54" s="8">
        <v>360.9</v>
      </c>
      <c r="I54" s="3"/>
      <c r="J54" s="7">
        <f t="shared" si="9"/>
        <v>0</v>
      </c>
      <c r="K54" s="3"/>
      <c r="L54" s="8">
        <f t="shared" si="10"/>
        <v>1127.6300000000001</v>
      </c>
      <c r="M54" s="3"/>
      <c r="N54" s="7">
        <f t="shared" si="11"/>
        <v>3.1244943197561654</v>
      </c>
      <c r="O54" s="12"/>
      <c r="P54" s="8">
        <v>7306.8</v>
      </c>
      <c r="Q54" s="3"/>
      <c r="R54" s="7">
        <f t="shared" si="12"/>
        <v>0</v>
      </c>
      <c r="S54" s="3"/>
      <c r="T54" s="8">
        <v>360.9</v>
      </c>
      <c r="U54" s="3"/>
      <c r="V54" s="7">
        <f t="shared" si="13"/>
        <v>0</v>
      </c>
      <c r="W54" s="3"/>
      <c r="X54" s="8">
        <f t="shared" si="14"/>
        <v>6945.9000000000005</v>
      </c>
      <c r="Y54" s="3"/>
      <c r="Z54" s="7">
        <f t="shared" si="15"/>
        <v>19.246051537822115</v>
      </c>
    </row>
    <row r="55" spans="1:26" s="68" customFormat="1" ht="15" customHeight="1" outlineLevel="1" collapsed="1" x14ac:dyDescent="0.3">
      <c r="A55" s="25"/>
      <c r="B55" s="14" t="str">
        <f>CONCATENATE("     ","Employees' Appreciation                           ")</f>
        <v xml:space="preserve">     Employees' Appreciation                           </v>
      </c>
      <c r="C55" s="14"/>
      <c r="D55" s="2">
        <f>SUM(OSRRefD22_8x_0)</f>
        <v>0</v>
      </c>
      <c r="E55" s="2"/>
      <c r="F55" s="6">
        <f t="shared" si="8"/>
        <v>0</v>
      </c>
      <c r="G55" s="2"/>
      <c r="H55" s="2">
        <f>SUM(OSRRefH22_8x_0)</f>
        <v>0</v>
      </c>
      <c r="I55" s="2"/>
      <c r="J55" s="6">
        <f t="shared" si="9"/>
        <v>0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4028.75</v>
      </c>
      <c r="Q55" s="2"/>
      <c r="R55" s="6">
        <f t="shared" si="12"/>
        <v>0</v>
      </c>
      <c r="S55" s="2"/>
      <c r="T55" s="2">
        <f>SUM(OSRRefT22_8x_0)</f>
        <v>78.33</v>
      </c>
      <c r="U55" s="2"/>
      <c r="V55" s="6">
        <f t="shared" si="13"/>
        <v>0</v>
      </c>
      <c r="W55" s="2"/>
      <c r="X55" s="2">
        <f t="shared" si="14"/>
        <v>3950.42</v>
      </c>
      <c r="Y55" s="2"/>
      <c r="Z55" s="6">
        <f t="shared" si="15"/>
        <v>50.433039703817187</v>
      </c>
    </row>
    <row r="56" spans="1:26" s="69" customFormat="1" ht="15" hidden="1" customHeight="1" outlineLevel="2" x14ac:dyDescent="0.3">
      <c r="A56" s="26"/>
      <c r="B56" s="12" t="str">
        <f>CONCATENATE("          ","6277"," - ","EMPLOYEE APPRECIATION")</f>
        <v xml:space="preserve">          6277 - EMPLOYEE APPRECIATION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4028.75</v>
      </c>
      <c r="Q56" s="3"/>
      <c r="R56" s="7">
        <f t="shared" si="12"/>
        <v>0</v>
      </c>
      <c r="S56" s="3"/>
      <c r="T56" s="8">
        <v>78.33</v>
      </c>
      <c r="U56" s="3"/>
      <c r="V56" s="7">
        <f t="shared" si="13"/>
        <v>0</v>
      </c>
      <c r="W56" s="3"/>
      <c r="X56" s="8">
        <f t="shared" si="14"/>
        <v>3950.42</v>
      </c>
      <c r="Y56" s="3"/>
      <c r="Z56" s="7">
        <f t="shared" si="15"/>
        <v>50.433039703817187</v>
      </c>
    </row>
    <row r="57" spans="1:26" s="68" customFormat="1" ht="15" customHeight="1" outlineLevel="1" collapsed="1" x14ac:dyDescent="0.3">
      <c r="A57" s="25"/>
      <c r="B57" s="14" t="str">
        <f>CONCATENATE("     ","Equipment Rental                                  ")</f>
        <v xml:space="preserve">     Equipment Rental                                  </v>
      </c>
      <c r="C57" s="14"/>
      <c r="D57" s="2">
        <f>SUM(OSRRefD22_9x_0)</f>
        <v>91.26</v>
      </c>
      <c r="E57" s="2"/>
      <c r="F57" s="6">
        <f t="shared" si="8"/>
        <v>0</v>
      </c>
      <c r="G57" s="2"/>
      <c r="H57" s="2">
        <f>SUM(OSRRefH22_9x_0)</f>
        <v>91.26</v>
      </c>
      <c r="I57" s="2"/>
      <c r="J57" s="6">
        <f t="shared" si="9"/>
        <v>0</v>
      </c>
      <c r="K57" s="2"/>
      <c r="L57" s="2">
        <f t="shared" si="10"/>
        <v>0</v>
      </c>
      <c r="M57" s="2"/>
      <c r="N57" s="6">
        <f t="shared" si="11"/>
        <v>0</v>
      </c>
      <c r="O57" s="14"/>
      <c r="P57" s="2">
        <f>SUM(OSRRefP22_9x_0)</f>
        <v>2619.14</v>
      </c>
      <c r="Q57" s="2"/>
      <c r="R57" s="6">
        <f t="shared" si="12"/>
        <v>0</v>
      </c>
      <c r="S57" s="2"/>
      <c r="T57" s="2">
        <f>SUM(OSRRefT22_9x_0)</f>
        <v>1865.17</v>
      </c>
      <c r="U57" s="2"/>
      <c r="V57" s="6">
        <f t="shared" si="13"/>
        <v>0</v>
      </c>
      <c r="W57" s="2"/>
      <c r="X57" s="2">
        <f t="shared" si="14"/>
        <v>753.9699999999998</v>
      </c>
      <c r="Y57" s="2"/>
      <c r="Z57" s="6">
        <f t="shared" si="15"/>
        <v>0.4042366111400032</v>
      </c>
    </row>
    <row r="58" spans="1:26" s="69" customFormat="1" ht="15" hidden="1" customHeight="1" outlineLevel="2" x14ac:dyDescent="0.3">
      <c r="A58" s="26"/>
      <c r="B58" s="12" t="str">
        <f>CONCATENATE("          ","6351"," - ","EQUIPMENT RENTAL")</f>
        <v xml:space="preserve">          6351 - EQUIPMENT RENTAL</v>
      </c>
      <c r="C58" s="12"/>
      <c r="D58" s="8">
        <v>91.26</v>
      </c>
      <c r="E58" s="3"/>
      <c r="F58" s="7">
        <f t="shared" si="8"/>
        <v>0</v>
      </c>
      <c r="G58" s="3"/>
      <c r="H58" s="8">
        <v>91.26</v>
      </c>
      <c r="I58" s="3"/>
      <c r="J58" s="7">
        <f t="shared" si="9"/>
        <v>0</v>
      </c>
      <c r="K58" s="3"/>
      <c r="L58" s="8">
        <f t="shared" si="10"/>
        <v>0</v>
      </c>
      <c r="M58" s="3"/>
      <c r="N58" s="7">
        <f t="shared" si="11"/>
        <v>0</v>
      </c>
      <c r="O58" s="12"/>
      <c r="P58" s="8">
        <v>2619.14</v>
      </c>
      <c r="Q58" s="3"/>
      <c r="R58" s="7">
        <f t="shared" si="12"/>
        <v>0</v>
      </c>
      <c r="S58" s="3"/>
      <c r="T58" s="8">
        <v>1865.17</v>
      </c>
      <c r="U58" s="3"/>
      <c r="V58" s="7">
        <f t="shared" si="13"/>
        <v>0</v>
      </c>
      <c r="W58" s="3"/>
      <c r="X58" s="8">
        <f t="shared" si="14"/>
        <v>753.9699999999998</v>
      </c>
      <c r="Y58" s="3"/>
      <c r="Z58" s="7">
        <f t="shared" si="15"/>
        <v>0.4042366111400032</v>
      </c>
    </row>
    <row r="59" spans="1:26" s="68" customFormat="1" ht="15" customHeight="1" outlineLevel="1" collapsed="1" x14ac:dyDescent="0.3">
      <c r="A59" s="25"/>
      <c r="B59" s="14" t="str">
        <f>CONCATENATE("     ","Freight out/Postage                               ")</f>
        <v xml:space="preserve">     Freight out/Postage                               </v>
      </c>
      <c r="C59" s="14"/>
      <c r="D59" s="2">
        <f>SUM(OSRRefD22_10x_0)</f>
        <v>15.95</v>
      </c>
      <c r="E59" s="2"/>
      <c r="F59" s="6">
        <f t="shared" si="8"/>
        <v>0</v>
      </c>
      <c r="G59" s="2"/>
      <c r="H59" s="2">
        <f>SUM(OSRRefH22_10x_0)</f>
        <v>16.46</v>
      </c>
      <c r="I59" s="2"/>
      <c r="J59" s="6">
        <f t="shared" si="9"/>
        <v>0</v>
      </c>
      <c r="K59" s="2"/>
      <c r="L59" s="2">
        <f t="shared" si="10"/>
        <v>-0.51000000000000156</v>
      </c>
      <c r="M59" s="2"/>
      <c r="N59" s="6">
        <f t="shared" si="11"/>
        <v>-3.0984204131227312E-2</v>
      </c>
      <c r="O59" s="14"/>
      <c r="P59" s="2">
        <f>SUM(OSRRefP22_10x_0)</f>
        <v>11280.08</v>
      </c>
      <c r="Q59" s="2"/>
      <c r="R59" s="6">
        <f t="shared" si="12"/>
        <v>0</v>
      </c>
      <c r="S59" s="2"/>
      <c r="T59" s="2">
        <f>SUM(OSRRefT22_10x_0)</f>
        <v>2050.06</v>
      </c>
      <c r="U59" s="2"/>
      <c r="V59" s="6">
        <f t="shared" si="13"/>
        <v>0</v>
      </c>
      <c r="W59" s="2"/>
      <c r="X59" s="2">
        <f t="shared" si="14"/>
        <v>9230.02</v>
      </c>
      <c r="Y59" s="2"/>
      <c r="Z59" s="6">
        <f t="shared" si="15"/>
        <v>4.5023170053559411</v>
      </c>
    </row>
    <row r="60" spans="1:26" s="69" customFormat="1" ht="15" hidden="1" customHeight="1" outlineLevel="2" x14ac:dyDescent="0.3">
      <c r="A60" s="26"/>
      <c r="B60" s="12" t="str">
        <f>CONCATENATE("          ","6307"," - ","POSTAGE")</f>
        <v xml:space="preserve">          6307 - POSTAGE</v>
      </c>
      <c r="C60" s="12"/>
      <c r="D60" s="8">
        <v>15.95</v>
      </c>
      <c r="E60" s="3"/>
      <c r="F60" s="7">
        <f t="shared" si="8"/>
        <v>0</v>
      </c>
      <c r="G60" s="3"/>
      <c r="H60" s="8">
        <v>16.46</v>
      </c>
      <c r="I60" s="3"/>
      <c r="J60" s="7">
        <f t="shared" si="9"/>
        <v>0</v>
      </c>
      <c r="K60" s="3"/>
      <c r="L60" s="8">
        <f t="shared" si="10"/>
        <v>-0.51000000000000156</v>
      </c>
      <c r="M60" s="3"/>
      <c r="N60" s="7">
        <f t="shared" si="11"/>
        <v>-3.0984204131227312E-2</v>
      </c>
      <c r="O60" s="12"/>
      <c r="P60" s="8">
        <v>11280.08</v>
      </c>
      <c r="Q60" s="3"/>
      <c r="R60" s="7">
        <f t="shared" si="12"/>
        <v>0</v>
      </c>
      <c r="S60" s="3"/>
      <c r="T60" s="8">
        <v>2050.06</v>
      </c>
      <c r="U60" s="3"/>
      <c r="V60" s="7">
        <f t="shared" si="13"/>
        <v>0</v>
      </c>
      <c r="W60" s="3"/>
      <c r="X60" s="8">
        <f t="shared" si="14"/>
        <v>9230.02</v>
      </c>
      <c r="Y60" s="3"/>
      <c r="Z60" s="7">
        <f t="shared" si="15"/>
        <v>4.5023170053559411</v>
      </c>
    </row>
    <row r="61" spans="1:26" s="68" customFormat="1" ht="15" customHeight="1" outlineLevel="1" collapsed="1" x14ac:dyDescent="0.3">
      <c r="A61" s="25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SUM(OSRRefD22_11x_0)</f>
        <v>-72</v>
      </c>
      <c r="E61" s="2"/>
      <c r="F61" s="6">
        <f t="shared" si="8"/>
        <v>0</v>
      </c>
      <c r="G61" s="2"/>
      <c r="H61" s="2">
        <f>SUM(OSRRefH22_11x_0)</f>
        <v>0</v>
      </c>
      <c r="I61" s="2"/>
      <c r="J61" s="6">
        <f t="shared" si="9"/>
        <v>0</v>
      </c>
      <c r="K61" s="2"/>
      <c r="L61" s="2">
        <f t="shared" si="10"/>
        <v>-72</v>
      </c>
      <c r="M61" s="2"/>
      <c r="N61" s="6">
        <f t="shared" si="11"/>
        <v>0</v>
      </c>
      <c r="O61" s="14"/>
      <c r="P61" s="2">
        <f>SUM(OSRRefP22_11x_0)</f>
        <v>2823.8</v>
      </c>
      <c r="Q61" s="2"/>
      <c r="R61" s="6">
        <f t="shared" si="12"/>
        <v>0</v>
      </c>
      <c r="S61" s="2"/>
      <c r="T61" s="2">
        <f>SUM(OSRRefT22_11x_0)</f>
        <v>1386.81</v>
      </c>
      <c r="U61" s="2"/>
      <c r="V61" s="6">
        <f t="shared" si="13"/>
        <v>0</v>
      </c>
      <c r="W61" s="2"/>
      <c r="X61" s="2">
        <f t="shared" si="14"/>
        <v>1436.9900000000002</v>
      </c>
      <c r="Y61" s="2"/>
      <c r="Z61" s="6">
        <f t="shared" si="15"/>
        <v>1.0361837598517463</v>
      </c>
    </row>
    <row r="62" spans="1:26" s="69" customFormat="1" ht="15" hidden="1" customHeight="1" outlineLevel="2" x14ac:dyDescent="0.3">
      <c r="A62" s="26"/>
      <c r="B62" s="12" t="str">
        <f>CONCATENATE("          ","6279"," - ","GENERAL EXPENSE")</f>
        <v xml:space="preserve">          6279 - GENERAL EXPENSE</v>
      </c>
      <c r="C62" s="12"/>
      <c r="D62" s="8">
        <v>-72</v>
      </c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-72</v>
      </c>
      <c r="M62" s="3"/>
      <c r="N62" s="7">
        <f t="shared" si="11"/>
        <v>0</v>
      </c>
      <c r="O62" s="12"/>
      <c r="P62" s="8">
        <v>2823.8</v>
      </c>
      <c r="Q62" s="3"/>
      <c r="R62" s="7">
        <f t="shared" si="12"/>
        <v>0</v>
      </c>
      <c r="S62" s="3"/>
      <c r="T62" s="8">
        <v>1386.81</v>
      </c>
      <c r="U62" s="3"/>
      <c r="V62" s="7">
        <f t="shared" si="13"/>
        <v>0</v>
      </c>
      <c r="W62" s="3"/>
      <c r="X62" s="8">
        <f t="shared" si="14"/>
        <v>1436.9900000000002</v>
      </c>
      <c r="Y62" s="3"/>
      <c r="Z62" s="7">
        <f t="shared" si="15"/>
        <v>1.0361837598517463</v>
      </c>
    </row>
    <row r="63" spans="1:26" s="68" customFormat="1" ht="15" customHeight="1" outlineLevel="1" collapsed="1" x14ac:dyDescent="0.3">
      <c r="A63" s="25"/>
      <c r="B63" s="14" t="str">
        <f>CONCATENATE("     ","Insurance                                         ")</f>
        <v xml:space="preserve">     Insurance                                         </v>
      </c>
      <c r="C63" s="14"/>
      <c r="D63" s="2">
        <f>SUM(OSRRefD22_12x_0)</f>
        <v>5275.49</v>
      </c>
      <c r="E63" s="2"/>
      <c r="F63" s="6">
        <f t="shared" si="8"/>
        <v>0</v>
      </c>
      <c r="G63" s="2"/>
      <c r="H63" s="2">
        <f>SUM(OSRRefH22_12x_0)</f>
        <v>3883.56</v>
      </c>
      <c r="I63" s="2"/>
      <c r="J63" s="6">
        <f t="shared" si="9"/>
        <v>0</v>
      </c>
      <c r="K63" s="2"/>
      <c r="L63" s="2">
        <f t="shared" si="10"/>
        <v>1391.9299999999998</v>
      </c>
      <c r="M63" s="2"/>
      <c r="N63" s="6">
        <f t="shared" si="11"/>
        <v>0.35841598945297609</v>
      </c>
      <c r="O63" s="14"/>
      <c r="P63" s="2">
        <f>SUM(OSRRefP22_12x_0)</f>
        <v>52754.9</v>
      </c>
      <c r="Q63" s="2"/>
      <c r="R63" s="6">
        <f t="shared" si="12"/>
        <v>0</v>
      </c>
      <c r="S63" s="2"/>
      <c r="T63" s="2">
        <f>SUM(OSRRefT22_12x_0)</f>
        <v>38835.599999999999</v>
      </c>
      <c r="U63" s="2"/>
      <c r="V63" s="6">
        <f t="shared" si="13"/>
        <v>0</v>
      </c>
      <c r="W63" s="2"/>
      <c r="X63" s="2">
        <f t="shared" si="14"/>
        <v>13919.300000000003</v>
      </c>
      <c r="Y63" s="2"/>
      <c r="Z63" s="6">
        <f t="shared" si="15"/>
        <v>0.3584159894529762</v>
      </c>
    </row>
    <row r="64" spans="1:26" s="69" customFormat="1" ht="15" hidden="1" customHeight="1" outlineLevel="2" x14ac:dyDescent="0.3">
      <c r="A64" s="26"/>
      <c r="B64" s="12" t="str">
        <f>CONCATENATE("          ","6314"," - ","LIABILITY INSURANCE")</f>
        <v xml:space="preserve">          6314 - LIABILITY INSURANCE</v>
      </c>
      <c r="C64" s="12"/>
      <c r="D64" s="8">
        <v>5275.49</v>
      </c>
      <c r="E64" s="3"/>
      <c r="F64" s="7">
        <f t="shared" si="8"/>
        <v>0</v>
      </c>
      <c r="G64" s="3"/>
      <c r="H64" s="8">
        <v>3883.56</v>
      </c>
      <c r="I64" s="3"/>
      <c r="J64" s="7">
        <f t="shared" si="9"/>
        <v>0</v>
      </c>
      <c r="K64" s="3"/>
      <c r="L64" s="8">
        <f t="shared" si="10"/>
        <v>1391.9299999999998</v>
      </c>
      <c r="M64" s="3"/>
      <c r="N64" s="7">
        <f t="shared" si="11"/>
        <v>0.35841598945297609</v>
      </c>
      <c r="O64" s="12"/>
      <c r="P64" s="8">
        <v>52754.9</v>
      </c>
      <c r="Q64" s="3"/>
      <c r="R64" s="7">
        <f t="shared" si="12"/>
        <v>0</v>
      </c>
      <c r="S64" s="3"/>
      <c r="T64" s="8">
        <v>38835.599999999999</v>
      </c>
      <c r="U64" s="3"/>
      <c r="V64" s="7">
        <f t="shared" si="13"/>
        <v>0</v>
      </c>
      <c r="W64" s="3"/>
      <c r="X64" s="8">
        <f t="shared" si="14"/>
        <v>13919.300000000003</v>
      </c>
      <c r="Y64" s="3"/>
      <c r="Z64" s="7">
        <f t="shared" si="15"/>
        <v>0.3584159894529762</v>
      </c>
    </row>
    <row r="65" spans="1:26" s="68" customFormat="1" ht="15" customHeight="1" outlineLevel="1" collapsed="1" x14ac:dyDescent="0.3">
      <c r="A65" s="25"/>
      <c r="B65" s="14" t="str">
        <f>CONCATENATE("     ","Professional Services                             ")</f>
        <v xml:space="preserve">     Professional Services                             </v>
      </c>
      <c r="C65" s="14"/>
      <c r="D65" s="2">
        <f>SUM(OSRRefD22_13x_0)</f>
        <v>0</v>
      </c>
      <c r="E65" s="2"/>
      <c r="F65" s="6">
        <f t="shared" si="8"/>
        <v>0</v>
      </c>
      <c r="G65" s="2"/>
      <c r="H65" s="2">
        <f>SUM(OSRRefH22_13x_0)</f>
        <v>0</v>
      </c>
      <c r="I65" s="2"/>
      <c r="J65" s="6">
        <f t="shared" si="9"/>
        <v>0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SUM(OSRRefP22_13x_0)</f>
        <v>7517.43</v>
      </c>
      <c r="Q65" s="2"/>
      <c r="R65" s="6">
        <f t="shared" si="12"/>
        <v>0</v>
      </c>
      <c r="S65" s="2"/>
      <c r="T65" s="2">
        <f>SUM(OSRRefT22_13x_0)</f>
        <v>0</v>
      </c>
      <c r="U65" s="2"/>
      <c r="V65" s="6">
        <f t="shared" si="13"/>
        <v>0</v>
      </c>
      <c r="W65" s="2"/>
      <c r="X65" s="2">
        <f t="shared" si="14"/>
        <v>7517.43</v>
      </c>
      <c r="Y65" s="2"/>
      <c r="Z65" s="6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","6336"," - ","PROFESSIONAL SERVICES")</f>
        <v xml:space="preserve">          6336 - PROFESSIONAL SERVICES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7517.43</v>
      </c>
      <c r="Q66" s="3"/>
      <c r="R66" s="7">
        <f t="shared" si="12"/>
        <v>0</v>
      </c>
      <c r="S66" s="3"/>
      <c r="T66" s="8"/>
      <c r="U66" s="3"/>
      <c r="V66" s="7">
        <f t="shared" si="13"/>
        <v>0</v>
      </c>
      <c r="W66" s="3"/>
      <c r="X66" s="8">
        <f t="shared" si="14"/>
        <v>7517.43</v>
      </c>
      <c r="Y66" s="3"/>
      <c r="Z66" s="7">
        <f t="shared" si="15"/>
        <v>0</v>
      </c>
    </row>
    <row r="67" spans="1:26" s="68" customFormat="1" ht="15" customHeight="1" outlineLevel="1" collapsed="1" x14ac:dyDescent="0.3">
      <c r="A67" s="25"/>
      <c r="B67" s="14" t="str">
        <f>CONCATENATE("     ","Rent                                              ")</f>
        <v xml:space="preserve">     Rent                                              </v>
      </c>
      <c r="C67" s="14"/>
      <c r="D67" s="2">
        <f>SUM(OSRRefD22_14x_0)</f>
        <v>-800</v>
      </c>
      <c r="E67" s="2"/>
      <c r="F67" s="6">
        <f t="shared" si="8"/>
        <v>0</v>
      </c>
      <c r="G67" s="2"/>
      <c r="H67" s="2">
        <f>SUM(OSRRefH22_14x_0)</f>
        <v>-800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SUM(OSRRefP22_14x_0)</f>
        <v>-8000</v>
      </c>
      <c r="Q67" s="2"/>
      <c r="R67" s="6">
        <f t="shared" si="12"/>
        <v>0</v>
      </c>
      <c r="S67" s="2"/>
      <c r="T67" s="2">
        <f>SUM(OSRRefT22_14x_0)</f>
        <v>-8000</v>
      </c>
      <c r="U67" s="2"/>
      <c r="V67" s="6">
        <f t="shared" si="13"/>
        <v>0</v>
      </c>
      <c r="W67" s="2"/>
      <c r="X67" s="2">
        <f t="shared" si="14"/>
        <v>0</v>
      </c>
      <c r="Y67" s="2"/>
      <c r="Z67" s="6">
        <f t="shared" si="15"/>
        <v>0</v>
      </c>
    </row>
    <row r="68" spans="1:26" s="69" customFormat="1" ht="15" hidden="1" customHeight="1" outlineLevel="2" x14ac:dyDescent="0.3">
      <c r="A68" s="26"/>
      <c r="B68" s="12" t="str">
        <f>CONCATENATE("          ","6273"," - ","RENT")</f>
        <v xml:space="preserve">          6273 - RENT</v>
      </c>
      <c r="C68" s="12"/>
      <c r="D68" s="8">
        <v>-800</v>
      </c>
      <c r="E68" s="3"/>
      <c r="F68" s="7">
        <f t="shared" si="8"/>
        <v>0</v>
      </c>
      <c r="G68" s="3"/>
      <c r="H68" s="8">
        <v>-800</v>
      </c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-8000</v>
      </c>
      <c r="Q68" s="3"/>
      <c r="R68" s="7">
        <f t="shared" si="12"/>
        <v>0</v>
      </c>
      <c r="S68" s="3"/>
      <c r="T68" s="8">
        <v>-8000</v>
      </c>
      <c r="U68" s="3"/>
      <c r="V68" s="7">
        <f t="shared" si="13"/>
        <v>0</v>
      </c>
      <c r="W68" s="3"/>
      <c r="X68" s="8">
        <f t="shared" si="14"/>
        <v>0</v>
      </c>
      <c r="Y68" s="3"/>
      <c r="Z68" s="7">
        <f t="shared" si="15"/>
        <v>0</v>
      </c>
    </row>
    <row r="69" spans="1:26" s="68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SUM(OSRRefD22_15x_0)</f>
        <v>2266.6099999999997</v>
      </c>
      <c r="E69" s="2"/>
      <c r="F69" s="6">
        <f t="shared" si="8"/>
        <v>0</v>
      </c>
      <c r="G69" s="2"/>
      <c r="H69" s="2">
        <f>SUM(OSRRefH22_15x_0)</f>
        <v>2128.54</v>
      </c>
      <c r="I69" s="2"/>
      <c r="J69" s="6">
        <f t="shared" si="9"/>
        <v>0</v>
      </c>
      <c r="K69" s="2"/>
      <c r="L69" s="2">
        <f t="shared" si="10"/>
        <v>138.06999999999971</v>
      </c>
      <c r="M69" s="2"/>
      <c r="N69" s="6">
        <f t="shared" si="11"/>
        <v>6.486605842502359E-2</v>
      </c>
      <c r="O69" s="14"/>
      <c r="P69" s="2">
        <f>SUM(OSRRefP22_15x_0)</f>
        <v>96207.150000000009</v>
      </c>
      <c r="Q69" s="2"/>
      <c r="R69" s="6">
        <f t="shared" si="12"/>
        <v>0</v>
      </c>
      <c r="S69" s="2"/>
      <c r="T69" s="2">
        <f>SUM(OSRRefT22_15x_0)</f>
        <v>100788.09999999999</v>
      </c>
      <c r="U69" s="2"/>
      <c r="V69" s="6">
        <f t="shared" si="13"/>
        <v>0</v>
      </c>
      <c r="W69" s="2"/>
      <c r="X69" s="2">
        <f t="shared" si="14"/>
        <v>-4580.9499999999825</v>
      </c>
      <c r="Y69" s="2"/>
      <c r="Z69" s="6">
        <f t="shared" si="15"/>
        <v>-4.5451298317956017E-2</v>
      </c>
    </row>
    <row r="70" spans="1:26" s="69" customFormat="1" ht="15" hidden="1" customHeight="1" outlineLevel="2" x14ac:dyDescent="0.3">
      <c r="A70" s="26"/>
      <c r="B70" s="12" t="str">
        <f>CONCATENATE("          ","6371"," - ","COMPUTER SOFTWARE MAINTENANCE")</f>
        <v xml:space="preserve">          6371 - COMPUTER SOFTWARE MAINTENANCE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56736</v>
      </c>
      <c r="Q70" s="3"/>
      <c r="R70" s="7">
        <f t="shared" si="12"/>
        <v>0</v>
      </c>
      <c r="S70" s="3"/>
      <c r="T70" s="8">
        <v>59760.03</v>
      </c>
      <c r="U70" s="3"/>
      <c r="V70" s="7">
        <f t="shared" si="13"/>
        <v>0</v>
      </c>
      <c r="W70" s="3"/>
      <c r="X70" s="8">
        <f t="shared" si="14"/>
        <v>-3024.0299999999988</v>
      </c>
      <c r="Y70" s="3"/>
      <c r="Z70" s="7">
        <f t="shared" si="15"/>
        <v>-5.0602886243530987E-2</v>
      </c>
    </row>
    <row r="71" spans="1:26" s="69" customFormat="1" ht="15" hidden="1" customHeight="1" outlineLevel="2" x14ac:dyDescent="0.3">
      <c r="A71" s="26"/>
      <c r="B71" s="12" t="str">
        <f>CONCATENATE("          ","6372"," - ","COMPUTER HARDWARE MAINTENANCE")</f>
        <v xml:space="preserve">          6372 - COMPUTER HARDWARE MAINTENANCE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/>
      <c r="Q71" s="3"/>
      <c r="R71" s="7">
        <f t="shared" si="12"/>
        <v>0</v>
      </c>
      <c r="S71" s="3"/>
      <c r="T71" s="8">
        <v>-0.63</v>
      </c>
      <c r="U71" s="3"/>
      <c r="V71" s="7">
        <f t="shared" si="13"/>
        <v>0</v>
      </c>
      <c r="W71" s="3"/>
      <c r="X71" s="8">
        <f t="shared" si="14"/>
        <v>0.63</v>
      </c>
      <c r="Y71" s="3"/>
      <c r="Z71" s="7">
        <f t="shared" si="15"/>
        <v>-1</v>
      </c>
    </row>
    <row r="72" spans="1:26" s="69" customFormat="1" ht="15" hidden="1" customHeight="1" outlineLevel="2" x14ac:dyDescent="0.3">
      <c r="A72" s="26"/>
      <c r="B72" s="12" t="str">
        <f>CONCATENATE("          ","6373"," - ","MAINTENANCE CONTRACTS")</f>
        <v xml:space="preserve">          6373 - MAINTENANCE CONTRACTS</v>
      </c>
      <c r="C72" s="12"/>
      <c r="D72" s="8">
        <v>12.89</v>
      </c>
      <c r="E72" s="3"/>
      <c r="F72" s="7">
        <f t="shared" si="8"/>
        <v>0</v>
      </c>
      <c r="G72" s="3"/>
      <c r="H72" s="8">
        <v>1308.71</v>
      </c>
      <c r="I72" s="3"/>
      <c r="J72" s="7">
        <f t="shared" si="9"/>
        <v>0</v>
      </c>
      <c r="K72" s="3"/>
      <c r="L72" s="8">
        <f t="shared" si="10"/>
        <v>-1295.82</v>
      </c>
      <c r="M72" s="3"/>
      <c r="N72" s="7">
        <f t="shared" si="11"/>
        <v>-0.99015060632225615</v>
      </c>
      <c r="O72" s="12"/>
      <c r="P72" s="8">
        <v>11920.1</v>
      </c>
      <c r="Q72" s="3"/>
      <c r="R72" s="7">
        <f t="shared" si="12"/>
        <v>0</v>
      </c>
      <c r="S72" s="3"/>
      <c r="T72" s="8">
        <v>14425.83</v>
      </c>
      <c r="U72" s="3"/>
      <c r="V72" s="7">
        <f t="shared" si="13"/>
        <v>0</v>
      </c>
      <c r="W72" s="3"/>
      <c r="X72" s="8">
        <f t="shared" si="14"/>
        <v>-2505.7299999999996</v>
      </c>
      <c r="Y72" s="3"/>
      <c r="Z72" s="7">
        <f t="shared" si="15"/>
        <v>-0.17369745796255742</v>
      </c>
    </row>
    <row r="73" spans="1:26" s="69" customFormat="1" ht="15" hidden="1" customHeight="1" outlineLevel="2" x14ac:dyDescent="0.3">
      <c r="A73" s="26"/>
      <c r="B73" s="12" t="str">
        <f>CONCATENATE("          ","6375"," - ","OUTSIDE REPAIRS &amp; MAINTENANCE")</f>
        <v xml:space="preserve">          6375 - OUTSIDE REPAIRS &amp; MAINTENANCE</v>
      </c>
      <c r="C73" s="12"/>
      <c r="D73" s="8">
        <v>2253.7199999999998</v>
      </c>
      <c r="E73" s="3"/>
      <c r="F73" s="7">
        <f t="shared" si="8"/>
        <v>0</v>
      </c>
      <c r="G73" s="3"/>
      <c r="H73" s="8">
        <v>819.83</v>
      </c>
      <c r="I73" s="3"/>
      <c r="J73" s="7">
        <f t="shared" si="9"/>
        <v>0</v>
      </c>
      <c r="K73" s="3"/>
      <c r="L73" s="8">
        <f t="shared" si="10"/>
        <v>1433.8899999999999</v>
      </c>
      <c r="M73" s="3"/>
      <c r="N73" s="7">
        <f t="shared" si="11"/>
        <v>1.7490089408779868</v>
      </c>
      <c r="O73" s="12"/>
      <c r="P73" s="8">
        <v>27551.05</v>
      </c>
      <c r="Q73" s="3"/>
      <c r="R73" s="7">
        <f t="shared" si="12"/>
        <v>0</v>
      </c>
      <c r="S73" s="3"/>
      <c r="T73" s="8">
        <v>26602.87</v>
      </c>
      <c r="U73" s="3"/>
      <c r="V73" s="7">
        <f t="shared" si="13"/>
        <v>0</v>
      </c>
      <c r="W73" s="3"/>
      <c r="X73" s="8">
        <f t="shared" si="14"/>
        <v>948.18000000000029</v>
      </c>
      <c r="Y73" s="3"/>
      <c r="Z73" s="7">
        <f t="shared" si="15"/>
        <v>3.5642019075385487E-2</v>
      </c>
    </row>
    <row r="74" spans="1:26" s="68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SUM(OSRRefD22_16x_0)</f>
        <v>4338.57</v>
      </c>
      <c r="E74" s="2"/>
      <c r="F74" s="6">
        <f t="shared" si="8"/>
        <v>0</v>
      </c>
      <c r="G74" s="2"/>
      <c r="H74" s="2">
        <f>SUM(OSRRefH22_16x_0)</f>
        <v>3850.73</v>
      </c>
      <c r="I74" s="2"/>
      <c r="J74" s="6">
        <f t="shared" si="9"/>
        <v>0</v>
      </c>
      <c r="K74" s="2"/>
      <c r="L74" s="2">
        <f t="shared" si="10"/>
        <v>487.83999999999969</v>
      </c>
      <c r="M74" s="2"/>
      <c r="N74" s="6">
        <f t="shared" si="11"/>
        <v>0.12668766701378692</v>
      </c>
      <c r="O74" s="14"/>
      <c r="P74" s="2">
        <f>SUM(OSRRefP22_16x_0)</f>
        <v>50473.279999999999</v>
      </c>
      <c r="Q74" s="2"/>
      <c r="R74" s="6">
        <f t="shared" si="12"/>
        <v>0</v>
      </c>
      <c r="S74" s="2"/>
      <c r="T74" s="2">
        <f>SUM(OSRRefT22_16x_0)</f>
        <v>39362.550000000003</v>
      </c>
      <c r="U74" s="2"/>
      <c r="V74" s="6">
        <f t="shared" si="13"/>
        <v>0</v>
      </c>
      <c r="W74" s="2"/>
      <c r="X74" s="2">
        <f t="shared" si="14"/>
        <v>11110.729999999996</v>
      </c>
      <c r="Y74" s="2"/>
      <c r="Z74" s="6">
        <f t="shared" si="15"/>
        <v>0.28226651982658629</v>
      </c>
    </row>
    <row r="75" spans="1:26" s="69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140.65</v>
      </c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140.65</v>
      </c>
      <c r="M75" s="3"/>
      <c r="N75" s="7">
        <f t="shared" si="11"/>
        <v>0</v>
      </c>
      <c r="O75" s="12"/>
      <c r="P75" s="8">
        <v>2057.6799999999998</v>
      </c>
      <c r="Q75" s="3"/>
      <c r="R75" s="7">
        <f t="shared" si="12"/>
        <v>0</v>
      </c>
      <c r="S75" s="3"/>
      <c r="T75" s="8">
        <v>7230.12</v>
      </c>
      <c r="U75" s="3"/>
      <c r="V75" s="7">
        <f t="shared" si="13"/>
        <v>0</v>
      </c>
      <c r="W75" s="3"/>
      <c r="X75" s="8">
        <f t="shared" si="14"/>
        <v>-5172.4400000000005</v>
      </c>
      <c r="Y75" s="3"/>
      <c r="Z75" s="7">
        <f t="shared" si="15"/>
        <v>-0.71540168074665433</v>
      </c>
    </row>
    <row r="76" spans="1:26" s="69" customFormat="1" ht="15" hidden="1" customHeight="1" outlineLevel="2" x14ac:dyDescent="0.3">
      <c r="A76" s="26"/>
      <c r="B76" s="12" t="str">
        <f>CONCATENATE("          ","6283"," - ","PLANT SERVICE")</f>
        <v xml:space="preserve">          6283 - PLANT SERVICE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/>
      <c r="Q76" s="3"/>
      <c r="R76" s="7">
        <f t="shared" si="12"/>
        <v>0</v>
      </c>
      <c r="S76" s="3"/>
      <c r="T76" s="8">
        <v>130</v>
      </c>
      <c r="U76" s="3"/>
      <c r="V76" s="7">
        <f t="shared" si="13"/>
        <v>0</v>
      </c>
      <c r="W76" s="3"/>
      <c r="X76" s="8">
        <f t="shared" si="14"/>
        <v>-130</v>
      </c>
      <c r="Y76" s="3"/>
      <c r="Z76" s="7">
        <f t="shared" si="15"/>
        <v>-1</v>
      </c>
    </row>
    <row r="77" spans="1:26" s="69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>
        <v>4197.92</v>
      </c>
      <c r="E77" s="3"/>
      <c r="F77" s="7">
        <f t="shared" si="8"/>
        <v>0</v>
      </c>
      <c r="G77" s="3"/>
      <c r="H77" s="8">
        <v>3850.73</v>
      </c>
      <c r="I77" s="3"/>
      <c r="J77" s="7">
        <f t="shared" si="9"/>
        <v>0</v>
      </c>
      <c r="K77" s="3"/>
      <c r="L77" s="8">
        <f t="shared" si="10"/>
        <v>347.19000000000005</v>
      </c>
      <c r="M77" s="3"/>
      <c r="N77" s="7">
        <f t="shared" si="11"/>
        <v>9.0162125103551802E-2</v>
      </c>
      <c r="O77" s="12"/>
      <c r="P77" s="8">
        <v>48415.6</v>
      </c>
      <c r="Q77" s="3"/>
      <c r="R77" s="7">
        <f t="shared" si="12"/>
        <v>0</v>
      </c>
      <c r="S77" s="3"/>
      <c r="T77" s="8">
        <v>32002.43</v>
      </c>
      <c r="U77" s="3"/>
      <c r="V77" s="7">
        <f t="shared" si="13"/>
        <v>0</v>
      </c>
      <c r="W77" s="3"/>
      <c r="X77" s="8">
        <f t="shared" si="14"/>
        <v>16413.169999999998</v>
      </c>
      <c r="Y77" s="3"/>
      <c r="Z77" s="7">
        <f t="shared" si="15"/>
        <v>0.51287261623570457</v>
      </c>
    </row>
    <row r="78" spans="1:26" s="68" customFormat="1" ht="15" customHeight="1" outlineLevel="1" collapsed="1" x14ac:dyDescent="0.3">
      <c r="A78" s="25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0</v>
      </c>
      <c r="E78" s="2"/>
      <c r="F78" s="6">
        <f t="shared" si="8"/>
        <v>0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0</v>
      </c>
      <c r="M78" s="2"/>
      <c r="N78" s="6">
        <f t="shared" si="11"/>
        <v>0</v>
      </c>
      <c r="O78" s="14"/>
      <c r="P78" s="2">
        <f>SUM(OSRRefP22_17x_0)</f>
        <v>-120</v>
      </c>
      <c r="Q78" s="2"/>
      <c r="R78" s="6">
        <f t="shared" si="12"/>
        <v>0</v>
      </c>
      <c r="S78" s="2"/>
      <c r="T78" s="2">
        <f>SUM(OSRRefT22_17x_0)</f>
        <v>0</v>
      </c>
      <c r="U78" s="2"/>
      <c r="V78" s="6">
        <f t="shared" si="13"/>
        <v>0</v>
      </c>
      <c r="W78" s="2"/>
      <c r="X78" s="2">
        <f t="shared" si="14"/>
        <v>-120</v>
      </c>
      <c r="Y78" s="2"/>
      <c r="Z78" s="6">
        <f t="shared" si="15"/>
        <v>0</v>
      </c>
    </row>
    <row r="79" spans="1:26" s="69" customFormat="1" ht="15" hidden="1" customHeight="1" outlineLevel="2" x14ac:dyDescent="0.3">
      <c r="A79" s="26"/>
      <c r="B79" s="12" t="str">
        <f>CONCATENATE("          ","6258"," - ","MEMBERSHIP DUES")</f>
        <v xml:space="preserve">          6258 - MEMBERSHIP DUES</v>
      </c>
      <c r="C79" s="12"/>
      <c r="D79" s="8"/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0</v>
      </c>
      <c r="M79" s="3"/>
      <c r="N79" s="7">
        <f t="shared" si="11"/>
        <v>0</v>
      </c>
      <c r="O79" s="12"/>
      <c r="P79" s="8">
        <v>-120</v>
      </c>
      <c r="Q79" s="3"/>
      <c r="R79" s="7">
        <f t="shared" si="12"/>
        <v>0</v>
      </c>
      <c r="S79" s="3"/>
      <c r="T79" s="8"/>
      <c r="U79" s="3"/>
      <c r="V79" s="7">
        <f t="shared" si="13"/>
        <v>0</v>
      </c>
      <c r="W79" s="3"/>
      <c r="X79" s="8">
        <f t="shared" si="14"/>
        <v>-120</v>
      </c>
      <c r="Y79" s="3"/>
      <c r="Z79" s="7">
        <f t="shared" si="15"/>
        <v>0</v>
      </c>
    </row>
    <row r="80" spans="1:26" s="68" customFormat="1" ht="15" customHeight="1" outlineLevel="1" collapsed="1" x14ac:dyDescent="0.3">
      <c r="A80" s="25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2379.4499999999998</v>
      </c>
      <c r="E80" s="2"/>
      <c r="F80" s="6">
        <f t="shared" si="8"/>
        <v>0</v>
      </c>
      <c r="G80" s="2"/>
      <c r="H80" s="2">
        <f>SUM(OSRRefH22_18x_0)</f>
        <v>4644.67</v>
      </c>
      <c r="I80" s="2"/>
      <c r="J80" s="6">
        <f t="shared" si="9"/>
        <v>0</v>
      </c>
      <c r="K80" s="2"/>
      <c r="L80" s="2">
        <f t="shared" si="10"/>
        <v>-2265.2200000000003</v>
      </c>
      <c r="M80" s="2"/>
      <c r="N80" s="6">
        <f t="shared" si="11"/>
        <v>-0.4877031091552253</v>
      </c>
      <c r="O80" s="14"/>
      <c r="P80" s="2">
        <f>SUM(OSRRefP22_18x_0)</f>
        <v>40448.67</v>
      </c>
      <c r="Q80" s="2"/>
      <c r="R80" s="6">
        <f t="shared" si="12"/>
        <v>0</v>
      </c>
      <c r="S80" s="2"/>
      <c r="T80" s="2">
        <f>SUM(OSRRefT22_18x_0)</f>
        <v>64043.72</v>
      </c>
      <c r="U80" s="2"/>
      <c r="V80" s="6">
        <f t="shared" si="13"/>
        <v>0</v>
      </c>
      <c r="W80" s="2"/>
      <c r="X80" s="2">
        <f t="shared" si="14"/>
        <v>-23595.050000000003</v>
      </c>
      <c r="Y80" s="2"/>
      <c r="Z80" s="6">
        <f t="shared" si="15"/>
        <v>-0.3684209786689468</v>
      </c>
    </row>
    <row r="81" spans="1:26" s="69" customFormat="1" ht="15" hidden="1" customHeight="1" outlineLevel="2" x14ac:dyDescent="0.3">
      <c r="A81" s="26"/>
      <c r="B81" s="12" t="str">
        <f>CONCATENATE("          ","6234"," - ","EXPENDABLE SUPPLIES &amp; EQUIPMEN")</f>
        <v xml:space="preserve">          6234 - EXPENDABLE SUPPLIES &amp; EQUIPMEN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3896.02</v>
      </c>
      <c r="Q81" s="3"/>
      <c r="R81" s="7">
        <f t="shared" si="12"/>
        <v>0</v>
      </c>
      <c r="S81" s="3"/>
      <c r="T81" s="8">
        <v>-449.34</v>
      </c>
      <c r="U81" s="3"/>
      <c r="V81" s="7">
        <f t="shared" si="13"/>
        <v>0</v>
      </c>
      <c r="W81" s="3"/>
      <c r="X81" s="8">
        <f t="shared" si="14"/>
        <v>4345.3599999999997</v>
      </c>
      <c r="Y81" s="3"/>
      <c r="Z81" s="7">
        <f t="shared" si="15"/>
        <v>-9.6705390127742916</v>
      </c>
    </row>
    <row r="82" spans="1:26" s="69" customFormat="1" ht="15" hidden="1" customHeight="1" outlineLevel="2" x14ac:dyDescent="0.3">
      <c r="A82" s="26"/>
      <c r="B82" s="12" t="str">
        <f>CONCATENATE("          ","6235"," - ","COVID-19 EXPENSES")</f>
        <v xml:space="preserve">          6235 - COVID-19 EXPENSES</v>
      </c>
      <c r="C82" s="12"/>
      <c r="D82" s="8"/>
      <c r="E82" s="3"/>
      <c r="F82" s="7">
        <f t="shared" si="8"/>
        <v>0</v>
      </c>
      <c r="G82" s="3"/>
      <c r="H82" s="8">
        <v>3407.79</v>
      </c>
      <c r="I82" s="3"/>
      <c r="J82" s="7">
        <f t="shared" si="9"/>
        <v>0</v>
      </c>
      <c r="K82" s="3"/>
      <c r="L82" s="8">
        <f t="shared" si="10"/>
        <v>-3407.79</v>
      </c>
      <c r="M82" s="3"/>
      <c r="N82" s="7">
        <f t="shared" si="11"/>
        <v>-1</v>
      </c>
      <c r="O82" s="12"/>
      <c r="P82" s="8">
        <v>3430.32</v>
      </c>
      <c r="Q82" s="3"/>
      <c r="R82" s="7">
        <f t="shared" si="12"/>
        <v>0</v>
      </c>
      <c r="S82" s="3"/>
      <c r="T82" s="8">
        <v>39022.449999999997</v>
      </c>
      <c r="U82" s="3"/>
      <c r="V82" s="7">
        <f t="shared" si="13"/>
        <v>0</v>
      </c>
      <c r="W82" s="3"/>
      <c r="X82" s="8">
        <f t="shared" si="14"/>
        <v>-35592.129999999997</v>
      </c>
      <c r="Y82" s="3"/>
      <c r="Z82" s="7">
        <f t="shared" si="15"/>
        <v>-0.91209367940762309</v>
      </c>
    </row>
    <row r="83" spans="1:26" s="69" customFormat="1" ht="15" hidden="1" customHeight="1" outlineLevel="2" x14ac:dyDescent="0.3">
      <c r="A83" s="26"/>
      <c r="B83" s="12" t="str">
        <f>CONCATENATE("          ","6237"," - ","JANITORIAL SUPPLIES")</f>
        <v xml:space="preserve">          6237 - JANITORIAL SUPPLIES</v>
      </c>
      <c r="C83" s="12"/>
      <c r="D83" s="8">
        <v>713.9</v>
      </c>
      <c r="E83" s="3"/>
      <c r="F83" s="7">
        <f t="shared" si="8"/>
        <v>0</v>
      </c>
      <c r="G83" s="3"/>
      <c r="H83" s="8">
        <v>588.30999999999995</v>
      </c>
      <c r="I83" s="3"/>
      <c r="J83" s="7">
        <f t="shared" si="9"/>
        <v>0</v>
      </c>
      <c r="K83" s="3"/>
      <c r="L83" s="8">
        <f t="shared" si="10"/>
        <v>125.59000000000003</v>
      </c>
      <c r="M83" s="3"/>
      <c r="N83" s="7">
        <f t="shared" si="11"/>
        <v>0.21347588856215269</v>
      </c>
      <c r="O83" s="12"/>
      <c r="P83" s="8">
        <v>5425.89</v>
      </c>
      <c r="Q83" s="3"/>
      <c r="R83" s="7">
        <f t="shared" si="12"/>
        <v>0</v>
      </c>
      <c r="S83" s="3"/>
      <c r="T83" s="8">
        <v>3297.81</v>
      </c>
      <c r="U83" s="3"/>
      <c r="V83" s="7">
        <f t="shared" si="13"/>
        <v>0</v>
      </c>
      <c r="W83" s="3"/>
      <c r="X83" s="8">
        <f t="shared" si="14"/>
        <v>2128.0800000000004</v>
      </c>
      <c r="Y83" s="3"/>
      <c r="Z83" s="7">
        <f t="shared" si="15"/>
        <v>0.64530097246354412</v>
      </c>
    </row>
    <row r="84" spans="1:26" s="69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8">
        <v>105.44</v>
      </c>
      <c r="E84" s="3"/>
      <c r="F84" s="7">
        <f t="shared" ref="F84:F95" si="16">IF(D$12=0,0,D84/D$12)</f>
        <v>0</v>
      </c>
      <c r="G84" s="3"/>
      <c r="H84" s="8">
        <v>9.68</v>
      </c>
      <c r="I84" s="3"/>
      <c r="J84" s="7">
        <f t="shared" ref="J84:J95" si="17">IF(H$12=0,0,H84/H$12)</f>
        <v>0</v>
      </c>
      <c r="K84" s="3"/>
      <c r="L84" s="8">
        <f t="shared" ref="L84:L95" si="18">+D84-H84</f>
        <v>95.759999999999991</v>
      </c>
      <c r="M84" s="3"/>
      <c r="N84" s="7">
        <f t="shared" ref="N84:N95" si="19">IF(H84=0,0,L84/H84)</f>
        <v>9.8925619834710741</v>
      </c>
      <c r="O84" s="12"/>
      <c r="P84" s="8">
        <v>2023.93</v>
      </c>
      <c r="Q84" s="3"/>
      <c r="R84" s="7">
        <f t="shared" ref="R84:R95" si="20">IF(P$12=0,0,P84/P$12)</f>
        <v>0</v>
      </c>
      <c r="S84" s="3"/>
      <c r="T84" s="8">
        <v>2872.57</v>
      </c>
      <c r="U84" s="3"/>
      <c r="V84" s="7">
        <f t="shared" ref="V84:V95" si="21">IF(T$12=0,0,T84/T$12)</f>
        <v>0</v>
      </c>
      <c r="W84" s="3"/>
      <c r="X84" s="8">
        <f t="shared" ref="X84:X95" si="22">+P84-T84</f>
        <v>-848.6400000000001</v>
      </c>
      <c r="Y84" s="3"/>
      <c r="Z84" s="7">
        <f t="shared" ref="Z84:Z95" si="23">IF(T84=0,0,X84/T84)</f>
        <v>-0.29542883202149994</v>
      </c>
    </row>
    <row r="85" spans="1:26" s="69" customFormat="1" ht="15" hidden="1" customHeight="1" outlineLevel="2" x14ac:dyDescent="0.3">
      <c r="A85" s="26"/>
      <c r="B85" s="12" t="str">
        <f>CONCATENATE("          ","6245"," - ","PRINTING")</f>
        <v xml:space="preserve">          6245 - PRINTING</v>
      </c>
      <c r="C85" s="12"/>
      <c r="D85" s="8"/>
      <c r="E85" s="3"/>
      <c r="F85" s="7">
        <f t="shared" si="16"/>
        <v>0</v>
      </c>
      <c r="G85" s="3"/>
      <c r="H85" s="8"/>
      <c r="I85" s="3"/>
      <c r="J85" s="7">
        <f t="shared" si="17"/>
        <v>0</v>
      </c>
      <c r="K85" s="3"/>
      <c r="L85" s="8">
        <f t="shared" si="18"/>
        <v>0</v>
      </c>
      <c r="M85" s="3"/>
      <c r="N85" s="7">
        <f t="shared" si="19"/>
        <v>0</v>
      </c>
      <c r="O85" s="12"/>
      <c r="P85" s="8">
        <v>1618.44</v>
      </c>
      <c r="Q85" s="3"/>
      <c r="R85" s="7">
        <f t="shared" si="20"/>
        <v>0</v>
      </c>
      <c r="S85" s="3"/>
      <c r="T85" s="8">
        <v>68.66</v>
      </c>
      <c r="U85" s="3"/>
      <c r="V85" s="7">
        <f t="shared" si="21"/>
        <v>0</v>
      </c>
      <c r="W85" s="3"/>
      <c r="X85" s="8">
        <f t="shared" si="22"/>
        <v>1549.78</v>
      </c>
      <c r="Y85" s="3"/>
      <c r="Z85" s="7">
        <f t="shared" si="23"/>
        <v>22.571803087678415</v>
      </c>
    </row>
    <row r="86" spans="1:26" s="69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8">
        <v>1560.11</v>
      </c>
      <c r="E86" s="3"/>
      <c r="F86" s="7">
        <f t="shared" si="16"/>
        <v>0</v>
      </c>
      <c r="G86" s="3"/>
      <c r="H86" s="8">
        <v>638.89</v>
      </c>
      <c r="I86" s="3"/>
      <c r="J86" s="7">
        <f t="shared" si="17"/>
        <v>0</v>
      </c>
      <c r="K86" s="3"/>
      <c r="L86" s="8">
        <f t="shared" si="18"/>
        <v>921.21999999999991</v>
      </c>
      <c r="M86" s="3"/>
      <c r="N86" s="7">
        <f t="shared" si="19"/>
        <v>1.4419070575529433</v>
      </c>
      <c r="O86" s="12"/>
      <c r="P86" s="8">
        <v>24054.07</v>
      </c>
      <c r="Q86" s="3"/>
      <c r="R86" s="7">
        <f t="shared" si="20"/>
        <v>0</v>
      </c>
      <c r="S86" s="3"/>
      <c r="T86" s="8">
        <v>19231.57</v>
      </c>
      <c r="U86" s="3"/>
      <c r="V86" s="7">
        <f t="shared" si="21"/>
        <v>0</v>
      </c>
      <c r="W86" s="3"/>
      <c r="X86" s="8">
        <f t="shared" si="22"/>
        <v>4822.5</v>
      </c>
      <c r="Y86" s="3"/>
      <c r="Z86" s="7">
        <f t="shared" si="23"/>
        <v>0.25075955837198938</v>
      </c>
    </row>
    <row r="87" spans="1:26" s="68" customFormat="1" ht="15" customHeight="1" outlineLevel="1" collapsed="1" x14ac:dyDescent="0.3">
      <c r="A87" s="25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713.9</v>
      </c>
      <c r="E87" s="2"/>
      <c r="F87" s="6">
        <f t="shared" si="16"/>
        <v>0</v>
      </c>
      <c r="G87" s="2"/>
      <c r="H87" s="2">
        <f>SUM(OSRRefH22_19x_0)</f>
        <v>493.71</v>
      </c>
      <c r="I87" s="2"/>
      <c r="J87" s="6">
        <f t="shared" si="17"/>
        <v>0</v>
      </c>
      <c r="K87" s="2"/>
      <c r="L87" s="2">
        <f t="shared" si="18"/>
        <v>220.19</v>
      </c>
      <c r="M87" s="2"/>
      <c r="N87" s="6">
        <f t="shared" si="19"/>
        <v>0.44599056126065911</v>
      </c>
      <c r="O87" s="14"/>
      <c r="P87" s="2">
        <f>SUM(OSRRefP22_19x_0)</f>
        <v>6057.12</v>
      </c>
      <c r="Q87" s="2"/>
      <c r="R87" s="6">
        <f t="shared" si="20"/>
        <v>0</v>
      </c>
      <c r="S87" s="2"/>
      <c r="T87" s="2">
        <f>SUM(OSRRefT22_19x_0)</f>
        <v>5723.25</v>
      </c>
      <c r="U87" s="2"/>
      <c r="V87" s="6">
        <f t="shared" si="21"/>
        <v>0</v>
      </c>
      <c r="W87" s="2"/>
      <c r="X87" s="2">
        <f t="shared" si="22"/>
        <v>333.86999999999989</v>
      </c>
      <c r="Y87" s="2"/>
      <c r="Z87" s="6">
        <f t="shared" si="23"/>
        <v>5.8335735814441077E-2</v>
      </c>
    </row>
    <row r="88" spans="1:26" s="69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8">
        <v>713.9</v>
      </c>
      <c r="E88" s="3"/>
      <c r="F88" s="7">
        <f t="shared" si="16"/>
        <v>0</v>
      </c>
      <c r="G88" s="3"/>
      <c r="H88" s="8">
        <v>493.71</v>
      </c>
      <c r="I88" s="3"/>
      <c r="J88" s="7">
        <f t="shared" si="17"/>
        <v>0</v>
      </c>
      <c r="K88" s="3"/>
      <c r="L88" s="8">
        <f t="shared" si="18"/>
        <v>220.19</v>
      </c>
      <c r="M88" s="3"/>
      <c r="N88" s="7">
        <f t="shared" si="19"/>
        <v>0.44599056126065911</v>
      </c>
      <c r="O88" s="12"/>
      <c r="P88" s="8">
        <v>6057.12</v>
      </c>
      <c r="Q88" s="3"/>
      <c r="R88" s="7">
        <f t="shared" si="20"/>
        <v>0</v>
      </c>
      <c r="S88" s="3"/>
      <c r="T88" s="8">
        <v>5723.25</v>
      </c>
      <c r="U88" s="3"/>
      <c r="V88" s="7">
        <f t="shared" si="21"/>
        <v>0</v>
      </c>
      <c r="W88" s="3"/>
      <c r="X88" s="8">
        <f t="shared" si="22"/>
        <v>333.86999999999989</v>
      </c>
      <c r="Y88" s="3"/>
      <c r="Z88" s="7">
        <f t="shared" si="23"/>
        <v>5.8335735814441077E-2</v>
      </c>
    </row>
    <row r="89" spans="1:26" s="68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0</v>
      </c>
      <c r="E89" s="2"/>
      <c r="F89" s="6">
        <f t="shared" si="16"/>
        <v>0</v>
      </c>
      <c r="G89" s="2"/>
      <c r="H89" s="2">
        <f>SUM(OSRRefH22_20x_0)</f>
        <v>0</v>
      </c>
      <c r="I89" s="2"/>
      <c r="J89" s="6">
        <f t="shared" si="17"/>
        <v>0</v>
      </c>
      <c r="K89" s="2"/>
      <c r="L89" s="2">
        <f t="shared" si="18"/>
        <v>0</v>
      </c>
      <c r="M89" s="2"/>
      <c r="N89" s="6">
        <f t="shared" si="19"/>
        <v>0</v>
      </c>
      <c r="O89" s="14"/>
      <c r="P89" s="2">
        <f>SUM(OSRRefP22_20x_0)</f>
        <v>794</v>
      </c>
      <c r="Q89" s="2"/>
      <c r="R89" s="6">
        <f t="shared" si="20"/>
        <v>0</v>
      </c>
      <c r="S89" s="2"/>
      <c r="T89" s="2">
        <f>SUM(OSRRefT22_20x_0)</f>
        <v>881.63</v>
      </c>
      <c r="U89" s="2"/>
      <c r="V89" s="6">
        <f t="shared" si="21"/>
        <v>0</v>
      </c>
      <c r="W89" s="2"/>
      <c r="X89" s="2">
        <f t="shared" si="22"/>
        <v>-87.63</v>
      </c>
      <c r="Y89" s="2"/>
      <c r="Z89" s="6">
        <f t="shared" si="23"/>
        <v>-9.9395437995530994E-2</v>
      </c>
    </row>
    <row r="90" spans="1:26" s="69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8"/>
      <c r="E90" s="3"/>
      <c r="F90" s="7">
        <f t="shared" si="16"/>
        <v>0</v>
      </c>
      <c r="G90" s="3"/>
      <c r="H90" s="8"/>
      <c r="I90" s="3"/>
      <c r="J90" s="7">
        <f t="shared" si="17"/>
        <v>0</v>
      </c>
      <c r="K90" s="3"/>
      <c r="L90" s="8">
        <f t="shared" si="18"/>
        <v>0</v>
      </c>
      <c r="M90" s="3"/>
      <c r="N90" s="7">
        <f t="shared" si="19"/>
        <v>0</v>
      </c>
      <c r="O90" s="12"/>
      <c r="P90" s="8">
        <v>794</v>
      </c>
      <c r="Q90" s="3"/>
      <c r="R90" s="7">
        <f t="shared" si="20"/>
        <v>0</v>
      </c>
      <c r="S90" s="3"/>
      <c r="T90" s="8">
        <v>881.63</v>
      </c>
      <c r="U90" s="3"/>
      <c r="V90" s="7">
        <f t="shared" si="21"/>
        <v>0</v>
      </c>
      <c r="W90" s="3"/>
      <c r="X90" s="8">
        <f t="shared" si="22"/>
        <v>-87.63</v>
      </c>
      <c r="Y90" s="3"/>
      <c r="Z90" s="7">
        <f t="shared" si="23"/>
        <v>-9.9395437995530994E-2</v>
      </c>
    </row>
    <row r="91" spans="1:26" s="68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149.41</v>
      </c>
      <c r="E91" s="2"/>
      <c r="F91" s="6">
        <f t="shared" si="16"/>
        <v>0</v>
      </c>
      <c r="G91" s="2"/>
      <c r="H91" s="2">
        <f>SUM(OSRRefH22_21x_0)</f>
        <v>0</v>
      </c>
      <c r="I91" s="2"/>
      <c r="J91" s="6">
        <f t="shared" si="17"/>
        <v>0</v>
      </c>
      <c r="K91" s="2"/>
      <c r="L91" s="2">
        <f t="shared" si="18"/>
        <v>149.41</v>
      </c>
      <c r="M91" s="2"/>
      <c r="N91" s="6">
        <f t="shared" si="19"/>
        <v>0</v>
      </c>
      <c r="O91" s="14"/>
      <c r="P91" s="2">
        <f>SUM(OSRRefP22_21x_0)</f>
        <v>881.5</v>
      </c>
      <c r="Q91" s="2"/>
      <c r="R91" s="6">
        <f t="shared" si="20"/>
        <v>0</v>
      </c>
      <c r="S91" s="2"/>
      <c r="T91" s="2">
        <f>SUM(OSRRefT22_21x_0)</f>
        <v>358.89</v>
      </c>
      <c r="U91" s="2"/>
      <c r="V91" s="6">
        <f t="shared" si="21"/>
        <v>0</v>
      </c>
      <c r="W91" s="2"/>
      <c r="X91" s="2">
        <f t="shared" si="22"/>
        <v>522.61</v>
      </c>
      <c r="Y91" s="2"/>
      <c r="Z91" s="6">
        <f t="shared" si="23"/>
        <v>1.4561843461784949</v>
      </c>
    </row>
    <row r="92" spans="1:26" s="69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8"/>
      <c r="E92" s="3"/>
      <c r="F92" s="7">
        <f t="shared" si="16"/>
        <v>0</v>
      </c>
      <c r="G92" s="3"/>
      <c r="H92" s="8"/>
      <c r="I92" s="3"/>
      <c r="J92" s="7">
        <f t="shared" si="17"/>
        <v>0</v>
      </c>
      <c r="K92" s="3"/>
      <c r="L92" s="8">
        <f t="shared" si="18"/>
        <v>0</v>
      </c>
      <c r="M92" s="3"/>
      <c r="N92" s="7">
        <f t="shared" si="19"/>
        <v>0</v>
      </c>
      <c r="O92" s="12"/>
      <c r="P92" s="8">
        <v>495</v>
      </c>
      <c r="Q92" s="3"/>
      <c r="R92" s="7">
        <f t="shared" si="20"/>
        <v>0</v>
      </c>
      <c r="S92" s="3"/>
      <c r="T92" s="8">
        <v>299</v>
      </c>
      <c r="U92" s="3"/>
      <c r="V92" s="7">
        <f t="shared" si="21"/>
        <v>0</v>
      </c>
      <c r="W92" s="3"/>
      <c r="X92" s="8">
        <f t="shared" si="22"/>
        <v>196</v>
      </c>
      <c r="Y92" s="3"/>
      <c r="Z92" s="7">
        <f t="shared" si="23"/>
        <v>0.65551839464882944</v>
      </c>
    </row>
    <row r="93" spans="1:26" s="69" customFormat="1" ht="15" hidden="1" customHeight="1" outlineLevel="2" x14ac:dyDescent="0.3">
      <c r="A93" s="26"/>
      <c r="B93" s="12" t="str">
        <f>CONCATENATE("          ","6298"," - ","VEHICLE MILEAGE")</f>
        <v xml:space="preserve">          6298 - VEHICLE MILEAGE</v>
      </c>
      <c r="C93" s="12"/>
      <c r="D93" s="8">
        <v>149.41</v>
      </c>
      <c r="E93" s="3"/>
      <c r="F93" s="7">
        <f t="shared" si="16"/>
        <v>0</v>
      </c>
      <c r="G93" s="3"/>
      <c r="H93" s="8"/>
      <c r="I93" s="3"/>
      <c r="J93" s="7">
        <f t="shared" si="17"/>
        <v>0</v>
      </c>
      <c r="K93" s="3"/>
      <c r="L93" s="8">
        <f t="shared" si="18"/>
        <v>149.41</v>
      </c>
      <c r="M93" s="3"/>
      <c r="N93" s="7">
        <f t="shared" si="19"/>
        <v>0</v>
      </c>
      <c r="O93" s="12"/>
      <c r="P93" s="8">
        <v>386.5</v>
      </c>
      <c r="Q93" s="3"/>
      <c r="R93" s="7">
        <f t="shared" si="20"/>
        <v>0</v>
      </c>
      <c r="S93" s="3"/>
      <c r="T93" s="8">
        <v>59.89</v>
      </c>
      <c r="U93" s="3"/>
      <c r="V93" s="7">
        <f t="shared" si="21"/>
        <v>0</v>
      </c>
      <c r="W93" s="3"/>
      <c r="X93" s="8">
        <f t="shared" si="22"/>
        <v>326.61</v>
      </c>
      <c r="Y93" s="3"/>
      <c r="Z93" s="7">
        <f t="shared" si="23"/>
        <v>5.4534980798129906</v>
      </c>
    </row>
    <row r="94" spans="1:26" s="68" customFormat="1" ht="15" customHeight="1" outlineLevel="1" collapsed="1" x14ac:dyDescent="0.3">
      <c r="A94" s="25"/>
      <c r="B94" s="14" t="str">
        <f>CONCATENATE("     ","Utilities                                         ")</f>
        <v xml:space="preserve">     Utilities                                         </v>
      </c>
      <c r="C94" s="14"/>
      <c r="D94" s="2">
        <f>SUM(OSRRefD22_22x_0)</f>
        <v>6000</v>
      </c>
      <c r="E94" s="2"/>
      <c r="F94" s="6">
        <f t="shared" si="16"/>
        <v>0</v>
      </c>
      <c r="G94" s="2"/>
      <c r="H94" s="2">
        <f>SUM(OSRRefH22_22x_0)</f>
        <v>6133</v>
      </c>
      <c r="I94" s="2"/>
      <c r="J94" s="6">
        <f t="shared" si="17"/>
        <v>0</v>
      </c>
      <c r="K94" s="2"/>
      <c r="L94" s="2">
        <f t="shared" si="18"/>
        <v>-133</v>
      </c>
      <c r="M94" s="2"/>
      <c r="N94" s="6">
        <f t="shared" si="19"/>
        <v>-2.1685961193543126E-2</v>
      </c>
      <c r="O94" s="14"/>
      <c r="P94" s="2">
        <f>SUM(OSRRefP22_22x_0)</f>
        <v>54000</v>
      </c>
      <c r="Q94" s="2"/>
      <c r="R94" s="6">
        <f t="shared" si="20"/>
        <v>0</v>
      </c>
      <c r="S94" s="2"/>
      <c r="T94" s="2">
        <f>SUM(OSRRefT22_22x_0)</f>
        <v>58400</v>
      </c>
      <c r="U94" s="2"/>
      <c r="V94" s="6">
        <f t="shared" si="21"/>
        <v>0</v>
      </c>
      <c r="W94" s="2"/>
      <c r="X94" s="2">
        <f t="shared" si="22"/>
        <v>-4400</v>
      </c>
      <c r="Y94" s="2"/>
      <c r="Z94" s="6">
        <f t="shared" si="23"/>
        <v>-7.5342465753424653E-2</v>
      </c>
    </row>
    <row r="95" spans="1:26" s="69" customFormat="1" ht="15" hidden="1" customHeight="1" outlineLevel="2" x14ac:dyDescent="0.3">
      <c r="A95" s="26"/>
      <c r="B95" s="12" t="str">
        <f>CONCATENATE("          ","6274"," - ","UTILITIES")</f>
        <v xml:space="preserve">          6274 - UTILITIES</v>
      </c>
      <c r="C95" s="12"/>
      <c r="D95" s="8">
        <v>6000</v>
      </c>
      <c r="E95" s="3"/>
      <c r="F95" s="7">
        <f t="shared" si="16"/>
        <v>0</v>
      </c>
      <c r="G95" s="3"/>
      <c r="H95" s="8">
        <v>6133</v>
      </c>
      <c r="I95" s="3"/>
      <c r="J95" s="7">
        <f t="shared" si="17"/>
        <v>0</v>
      </c>
      <c r="K95" s="3"/>
      <c r="L95" s="8">
        <f t="shared" si="18"/>
        <v>-133</v>
      </c>
      <c r="M95" s="3"/>
      <c r="N95" s="7">
        <f t="shared" si="19"/>
        <v>-2.1685961193543126E-2</v>
      </c>
      <c r="O95" s="12"/>
      <c r="P95" s="8">
        <v>54000</v>
      </c>
      <c r="Q95" s="3"/>
      <c r="R95" s="7">
        <f t="shared" si="20"/>
        <v>0</v>
      </c>
      <c r="S95" s="3"/>
      <c r="T95" s="8">
        <v>58400</v>
      </c>
      <c r="U95" s="3"/>
      <c r="V95" s="7">
        <f t="shared" si="21"/>
        <v>0</v>
      </c>
      <c r="W95" s="3"/>
      <c r="X95" s="8">
        <f t="shared" si="22"/>
        <v>-4400</v>
      </c>
      <c r="Y95" s="3"/>
      <c r="Z95" s="7">
        <f t="shared" si="23"/>
        <v>-7.5342465753424653E-2</v>
      </c>
    </row>
    <row r="96" spans="1:26" s="64" customFormat="1" ht="15" customHeight="1" x14ac:dyDescent="0.3">
      <c r="A96" s="36"/>
      <c r="B96" s="36"/>
      <c r="C96" s="36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3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62" customFormat="1" ht="15" customHeight="1" collapsed="1" x14ac:dyDescent="0.3">
      <c r="A97" s="11"/>
      <c r="B97" s="27" t="s">
        <v>290</v>
      </c>
      <c r="C97" s="11"/>
      <c r="D97" s="5">
        <f>SUM(OSRRefD25x_0)</f>
        <v>11255.17</v>
      </c>
      <c r="E97" s="5"/>
      <c r="F97" s="13">
        <f>IF(D$12=0,0,D97/D$12)</f>
        <v>0</v>
      </c>
      <c r="G97" s="5"/>
      <c r="H97" s="5">
        <f>SUM(OSRRefH25x_0)</f>
        <v>5385.99</v>
      </c>
      <c r="I97" s="5"/>
      <c r="J97" s="13">
        <f>IF(H$12=0,0,H97/H$12)</f>
        <v>0</v>
      </c>
      <c r="K97" s="5"/>
      <c r="L97" s="5">
        <f>+D97-H97</f>
        <v>5869.18</v>
      </c>
      <c r="M97" s="5"/>
      <c r="N97" s="13">
        <f>IF(H97=0,0,L97/H97)</f>
        <v>1.0897123834244031</v>
      </c>
      <c r="O97" s="11"/>
      <c r="P97" s="5">
        <f>SUM(OSRRefP25x_0)</f>
        <v>222920.26</v>
      </c>
      <c r="Q97" s="5"/>
      <c r="R97" s="13">
        <f>IF(P$12=0,0,P97/P$12)</f>
        <v>0</v>
      </c>
      <c r="S97" s="5"/>
      <c r="T97" s="5">
        <f>SUM(OSRRefT25x_0)</f>
        <v>183040.32</v>
      </c>
      <c r="U97" s="5"/>
      <c r="V97" s="13">
        <f>IF(T$12=0,0,T97/T$12)</f>
        <v>0</v>
      </c>
      <c r="W97" s="5"/>
      <c r="X97" s="5">
        <f>+P97-T97</f>
        <v>39879.94</v>
      </c>
      <c r="Y97" s="5"/>
      <c r="Z97" s="13">
        <f>IF(T97=0,0,X97/T97)</f>
        <v>0.21787516542803248</v>
      </c>
    </row>
    <row r="98" spans="1:26" s="69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--11255.17</f>
        <v>11255.17</v>
      </c>
      <c r="E98" s="3"/>
      <c r="F98" s="20">
        <f>IF(D$12=0,0,D98/D$12)</f>
        <v>0</v>
      </c>
      <c r="G98" s="3"/>
      <c r="H98" s="3">
        <f>--5385.99</f>
        <v>5385.99</v>
      </c>
      <c r="I98" s="3"/>
      <c r="J98" s="20">
        <f>IF(H$12=0,0,H98/H$12)</f>
        <v>0</v>
      </c>
      <c r="K98" s="3"/>
      <c r="L98" s="3">
        <f>+D98-H98</f>
        <v>5869.18</v>
      </c>
      <c r="M98" s="3"/>
      <c r="N98" s="20">
        <f>IF(H98=0,0,L98/H98)</f>
        <v>1.0897123834244031</v>
      </c>
      <c r="O98" s="12"/>
      <c r="P98" s="3">
        <f>--222920.26</f>
        <v>222920.26</v>
      </c>
      <c r="Q98" s="3"/>
      <c r="R98" s="20">
        <f>IF(P$12=0,0,P98/P$12)</f>
        <v>0</v>
      </c>
      <c r="S98" s="3"/>
      <c r="T98" s="3">
        <f>--183040.32</f>
        <v>183040.32</v>
      </c>
      <c r="U98" s="3"/>
      <c r="V98" s="20">
        <f>IF(T$12=0,0,T98/T$12)</f>
        <v>0</v>
      </c>
      <c r="W98" s="3"/>
      <c r="X98" s="3">
        <f>+P98-T98</f>
        <v>39879.94</v>
      </c>
      <c r="Y98" s="3"/>
      <c r="Z98" s="20">
        <f>IF(T98=0,0,X98/T98)</f>
        <v>0.21787516542803248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2" customFormat="1" ht="15" customHeight="1" x14ac:dyDescent="0.3">
      <c r="A100" s="11"/>
      <c r="B100" s="28" t="s">
        <v>291</v>
      </c>
      <c r="C100" s="28"/>
      <c r="D100" s="21">
        <f>+D18-D20+D97</f>
        <v>-115323.16999999998</v>
      </c>
      <c r="E100" s="15"/>
      <c r="F100" s="23">
        <f>IF(D$12=0,0,D100/D$12)</f>
        <v>0</v>
      </c>
      <c r="G100" s="15"/>
      <c r="H100" s="21">
        <f>+H18-H20+H97</f>
        <v>-100836.93999999999</v>
      </c>
      <c r="I100" s="15"/>
      <c r="J100" s="23">
        <f>IF(H$12=0,0,H100/H$12)</f>
        <v>0</v>
      </c>
      <c r="K100" s="16"/>
      <c r="L100" s="21">
        <f>+D100-H100</f>
        <v>-14486.229999999996</v>
      </c>
      <c r="M100" s="16"/>
      <c r="N100" s="23">
        <f>IF(H100=0,0,L100/H100)</f>
        <v>0.14365995239443002</v>
      </c>
      <c r="O100" s="27"/>
      <c r="P100" s="21">
        <f>+P18-P20+P97</f>
        <v>-1196603.2500000002</v>
      </c>
      <c r="Q100" s="15"/>
      <c r="R100" s="23">
        <f>IF(P$12=0,0,P100/P$12)</f>
        <v>0</v>
      </c>
      <c r="S100" s="15"/>
      <c r="T100" s="21">
        <f>+T18-T20+T97</f>
        <v>-1018598.5299999998</v>
      </c>
      <c r="U100" s="15"/>
      <c r="V100" s="23">
        <f>IF(T$12=0,0,T100/T$12)</f>
        <v>0</v>
      </c>
      <c r="W100" s="16"/>
      <c r="X100" s="21">
        <f>+P100-T100</f>
        <v>-178004.72000000044</v>
      </c>
      <c r="Y100" s="16"/>
      <c r="Z100" s="23">
        <f>IF(T100=0,0,X100/T100)</f>
        <v>0.17475454240052798</v>
      </c>
    </row>
    <row r="101" spans="1:26" ht="15" customHeight="1" x14ac:dyDescent="0.3">
      <c r="A101" s="10"/>
      <c r="B101" s="11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48"/>
      <c r="B102" s="11" t="s">
        <v>292</v>
      </c>
      <c r="C102" s="11"/>
      <c r="D102" s="5"/>
      <c r="E102" s="5"/>
      <c r="F102" s="13">
        <f>IF(D$12=0,0,D102/D$12)</f>
        <v>0</v>
      </c>
      <c r="G102" s="5"/>
      <c r="H102" s="5"/>
      <c r="I102" s="5"/>
      <c r="J102" s="13">
        <f>IF(H$12=0,0,H102/H$12)</f>
        <v>0</v>
      </c>
      <c r="K102" s="5"/>
      <c r="L102" s="5">
        <f>+D102-H102</f>
        <v>0</v>
      </c>
      <c r="M102" s="5"/>
      <c r="N102" s="13">
        <f>IF(H102=0,0,L102/H102)</f>
        <v>0</v>
      </c>
      <c r="O102" s="11"/>
      <c r="P102" s="5"/>
      <c r="Q102" s="5"/>
      <c r="R102" s="13">
        <f>IF(P$12=0,0,P102/P$12)</f>
        <v>0</v>
      </c>
      <c r="S102" s="5"/>
      <c r="T102" s="5"/>
      <c r="U102" s="5"/>
      <c r="V102" s="13">
        <f>IF(T$12=0,0,T102/T$12)</f>
        <v>0</v>
      </c>
      <c r="W102" s="5"/>
      <c r="X102" s="5">
        <f>+P102-T102</f>
        <v>0</v>
      </c>
      <c r="Y102" s="5"/>
      <c r="Z102" s="13">
        <f>IF(T102=0,0,X102/T102)</f>
        <v>0</v>
      </c>
    </row>
    <row r="103" spans="1:26" ht="15" customHeight="1" x14ac:dyDescent="0.3">
      <c r="A103" s="10"/>
      <c r="B103" s="11"/>
      <c r="C103" s="11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O103" s="11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2" customFormat="1" ht="15" customHeight="1" x14ac:dyDescent="0.3">
      <c r="A104" s="11"/>
      <c r="B104" s="28" t="s">
        <v>293</v>
      </c>
      <c r="C104" s="28"/>
      <c r="D104" s="34">
        <f>+D100-D102</f>
        <v>-115323.16999999998</v>
      </c>
      <c r="E104" s="15"/>
      <c r="F104" s="30">
        <f>IF(D$12=0,0,D104/D$12)</f>
        <v>0</v>
      </c>
      <c r="G104" s="15"/>
      <c r="H104" s="34">
        <f>+H100-H102</f>
        <v>-100836.93999999999</v>
      </c>
      <c r="I104" s="15"/>
      <c r="J104" s="30">
        <f>IF(H$12=0,0,H104/H$12)</f>
        <v>0</v>
      </c>
      <c r="K104" s="16"/>
      <c r="L104" s="34">
        <f>D104-H104</f>
        <v>-14486.229999999996</v>
      </c>
      <c r="M104" s="16"/>
      <c r="N104" s="30">
        <f>IF(H104=0,0,L104/H104)</f>
        <v>0.14365995239443002</v>
      </c>
      <c r="O104" s="27"/>
      <c r="P104" s="34">
        <f>+P100-P102</f>
        <v>-1196603.2500000002</v>
      </c>
      <c r="Q104" s="15"/>
      <c r="R104" s="30">
        <f>IF(P$12=0,0,P104/P$12)</f>
        <v>0</v>
      </c>
      <c r="S104" s="15"/>
      <c r="T104" s="34">
        <f>+T100-T102</f>
        <v>-1018598.5299999998</v>
      </c>
      <c r="U104" s="15"/>
      <c r="V104" s="30">
        <f>IF(T$12=0,0,T104/T$12)</f>
        <v>0</v>
      </c>
      <c r="W104" s="16"/>
      <c r="X104" s="34">
        <f>P104-T104</f>
        <v>-178004.72000000044</v>
      </c>
      <c r="Y104" s="16"/>
      <c r="Z104" s="30">
        <f>IF(T104=0,0,X104/T104)</f>
        <v>0.17475454240052798</v>
      </c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8" t="s">
        <v>296</v>
      </c>
      <c r="C107" s="28"/>
      <c r="D107" s="29">
        <f>SUM(D104:D106)</f>
        <v>-115323.16999999998</v>
      </c>
      <c r="E107" s="15"/>
      <c r="F107" s="35">
        <f>IF(D$12=0,0,D107/D$12)</f>
        <v>0</v>
      </c>
      <c r="G107" s="15"/>
      <c r="H107" s="29">
        <f>SUM(H104:H106)</f>
        <v>-100836.93999999999</v>
      </c>
      <c r="I107" s="15"/>
      <c r="J107" s="35">
        <f>IF(H$12=0,0,H107/H$12)</f>
        <v>0</v>
      </c>
      <c r="K107" s="16"/>
      <c r="L107" s="29">
        <f>+D107-H107</f>
        <v>-14486.229999999996</v>
      </c>
      <c r="M107" s="16"/>
      <c r="N107" s="35">
        <f>IF(H107=0,0,L107/H107)</f>
        <v>0.14365995239443002</v>
      </c>
      <c r="O107" s="27"/>
      <c r="P107" s="29">
        <f>SUM(P104:P106)</f>
        <v>-1196603.2500000002</v>
      </c>
      <c r="Q107" s="15"/>
      <c r="R107" s="35">
        <f>IF(P$12=0,0,P107/P$12)</f>
        <v>0</v>
      </c>
      <c r="S107" s="15"/>
      <c r="T107" s="29">
        <f>SUM(T104:T106)</f>
        <v>-1018598.5299999998</v>
      </c>
      <c r="U107" s="15"/>
      <c r="V107" s="35">
        <f>IF(T$12=0,0,T107/T$12)</f>
        <v>0</v>
      </c>
      <c r="W107" s="16"/>
      <c r="X107" s="29">
        <f>+P107-T107</f>
        <v>-178004.72000000044</v>
      </c>
      <c r="Y107" s="16"/>
      <c r="Z107" s="35">
        <f>IF(T107=0,0,X107/T107)</f>
        <v>0.17475454240052798</v>
      </c>
    </row>
    <row r="108" spans="1:26" ht="15" customHeight="1" x14ac:dyDescent="0.3">
      <c r="A108" s="10"/>
      <c r="C108" s="10"/>
      <c r="D108" s="18"/>
      <c r="E108" s="18"/>
      <c r="G108" s="18"/>
      <c r="H108" s="18"/>
      <c r="I108" s="18"/>
      <c r="J108" s="40"/>
      <c r="K108" s="18"/>
      <c r="L108" s="18"/>
      <c r="M108" s="18"/>
      <c r="P108" s="18"/>
      <c r="Q108" s="18"/>
      <c r="R108" s="40"/>
      <c r="S108" s="18"/>
      <c r="T108" s="18"/>
      <c r="U108" s="18"/>
      <c r="V108" s="40"/>
      <c r="W108" s="18"/>
      <c r="X108" s="18"/>
    </row>
    <row r="109" spans="1:26" ht="15" customHeight="1" x14ac:dyDescent="0.3">
      <c r="A109" s="10"/>
      <c r="B109" s="56">
        <v>44694.890829479169</v>
      </c>
      <c r="D109" s="18"/>
      <c r="E109" s="18"/>
      <c r="G109" s="18"/>
      <c r="H109" s="18"/>
      <c r="I109" s="18"/>
      <c r="J109" s="40"/>
      <c r="K109" s="18"/>
      <c r="L109" s="18"/>
      <c r="M109" s="18"/>
      <c r="P109" s="18"/>
      <c r="Q109" s="18"/>
      <c r="R109" s="40"/>
      <c r="S109" s="18"/>
      <c r="T109" s="18"/>
      <c r="U109" s="18"/>
      <c r="V109" s="40"/>
      <c r="W109" s="18"/>
      <c r="X109" s="18"/>
    </row>
    <row r="110" spans="1:26" ht="15" customHeight="1" x14ac:dyDescent="0.3">
      <c r="A110" s="10"/>
      <c r="B110" s="52" t="s">
        <v>297</v>
      </c>
      <c r="D110" s="18"/>
      <c r="E110" s="18"/>
      <c r="G110" s="18"/>
      <c r="H110" s="18"/>
      <c r="I110" s="18"/>
      <c r="J110" s="40"/>
      <c r="K110" s="18"/>
      <c r="L110" s="18"/>
      <c r="M110" s="18"/>
      <c r="P110" s="18"/>
      <c r="Q110" s="18"/>
      <c r="R110" s="40"/>
      <c r="S110" s="18"/>
      <c r="T110" s="18"/>
      <c r="U110" s="18"/>
      <c r="V110" s="40"/>
      <c r="W110" s="18"/>
      <c r="X110" s="18"/>
    </row>
    <row r="111" spans="1:26" ht="15" customHeight="1" x14ac:dyDescent="0.3">
      <c r="A111" s="10"/>
      <c r="B111" s="58"/>
      <c r="D111" s="18"/>
      <c r="E111" s="18"/>
      <c r="G111" s="18"/>
      <c r="H111" s="18"/>
      <c r="I111" s="18"/>
      <c r="J111" s="40"/>
      <c r="K111" s="18"/>
      <c r="L111" s="18"/>
      <c r="M111" s="18"/>
      <c r="P111" s="18"/>
      <c r="Q111" s="18"/>
      <c r="R111" s="40"/>
      <c r="S111" s="18"/>
      <c r="T111" s="18"/>
      <c r="U111" s="18"/>
      <c r="V111" s="40"/>
      <c r="W111" s="18"/>
      <c r="X111" s="18"/>
    </row>
    <row r="112" spans="1:26" ht="15" customHeight="1" x14ac:dyDescent="0.3">
      <c r="D112" s="18"/>
      <c r="E112" s="18"/>
      <c r="G112" s="18"/>
      <c r="H112" s="18"/>
      <c r="I112" s="18"/>
      <c r="J112" s="40"/>
      <c r="K112" s="18"/>
      <c r="L112" s="18"/>
      <c r="M112" s="18"/>
      <c r="P112" s="18"/>
      <c r="Q112" s="18"/>
      <c r="R112" s="40"/>
      <c r="S112" s="18"/>
      <c r="T112" s="18"/>
      <c r="U112" s="18"/>
      <c r="V112" s="40"/>
      <c r="W112" s="18"/>
      <c r="X11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7427-67A5-0FB4-F2E1-E3056A29ACF9}">
  <sheetPr>
    <tabColor rgb="FFFFFF0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305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50855.24</v>
      </c>
      <c r="E12" s="5"/>
      <c r="F12" s="13"/>
      <c r="G12" s="5"/>
      <c r="H12" s="5">
        <f>SUM(OSRRefH13x_0)</f>
        <v>25651.129999999997</v>
      </c>
      <c r="I12" s="5"/>
      <c r="J12" s="13"/>
      <c r="K12" s="5"/>
      <c r="L12" s="5">
        <f t="shared" ref="L12:L38" si="0">+D12-H12</f>
        <v>25204.11</v>
      </c>
      <c r="M12" s="5"/>
      <c r="N12" s="13">
        <f t="shared" ref="N12:N38" si="1">IF(H12=0,0,L12/H12)</f>
        <v>0.98257308742343918</v>
      </c>
      <c r="O12" s="11"/>
      <c r="P12" s="5">
        <f>SUM(OSRRefP13x_0)</f>
        <v>2202220.39</v>
      </c>
      <c r="Q12" s="5"/>
      <c r="R12" s="13"/>
      <c r="S12" s="5"/>
      <c r="T12" s="5">
        <f>SUM(OSRRefT13x_0)</f>
        <v>2679636.5200000005</v>
      </c>
      <c r="U12" s="5"/>
      <c r="V12" s="13"/>
      <c r="W12" s="5"/>
      <c r="X12" s="5">
        <f t="shared" ref="X12:X38" si="2">+P12-T12</f>
        <v>-477416.13000000035</v>
      </c>
      <c r="Y12" s="5"/>
      <c r="Z12" s="13">
        <f t="shared" ref="Z12:Z38" si="3">IF(T12=0,0,X12/T12)</f>
        <v>-0.178164510909114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--38819.11</f>
        <v>38819.11</v>
      </c>
      <c r="E13" s="3"/>
      <c r="F13" s="20"/>
      <c r="G13" s="3"/>
      <c r="H13" s="3">
        <f>-219.91</f>
        <v>-219.91</v>
      </c>
      <c r="I13" s="3"/>
      <c r="J13" s="20"/>
      <c r="K13" s="3"/>
      <c r="L13" s="3">
        <f t="shared" si="0"/>
        <v>39039.020000000004</v>
      </c>
      <c r="M13" s="3"/>
      <c r="N13" s="20">
        <f t="shared" si="1"/>
        <v>-177.52271383747899</v>
      </c>
      <c r="O13" s="12"/>
      <c r="P13" s="3">
        <f>--1665531.37</f>
        <v>1665531.37</v>
      </c>
      <c r="Q13" s="3"/>
      <c r="R13" s="20"/>
      <c r="S13" s="3"/>
      <c r="T13" s="3">
        <f>-8578.72</f>
        <v>-8578.7199999999993</v>
      </c>
      <c r="U13" s="3"/>
      <c r="V13" s="20"/>
      <c r="W13" s="3"/>
      <c r="X13" s="3">
        <f t="shared" si="2"/>
        <v>1674110.09</v>
      </c>
      <c r="Y13" s="3"/>
      <c r="Z13" s="20">
        <f t="shared" si="3"/>
        <v>-195.14683892235675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--31347.12</f>
        <v>31347.119999999999</v>
      </c>
      <c r="I14" s="3"/>
      <c r="J14" s="20"/>
      <c r="K14" s="3"/>
      <c r="L14" s="3">
        <f t="shared" si="0"/>
        <v>-31347.119999999999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--1263810.36</f>
        <v>1263810.3600000001</v>
      </c>
      <c r="U14" s="3"/>
      <c r="V14" s="20"/>
      <c r="W14" s="3"/>
      <c r="X14" s="3">
        <f t="shared" si="2"/>
        <v>-1263810.3600000001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--1971.3</f>
        <v>1971.3</v>
      </c>
      <c r="I15" s="3"/>
      <c r="J15" s="20"/>
      <c r="K15" s="3"/>
      <c r="L15" s="3">
        <f t="shared" si="0"/>
        <v>-1971.3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--578768.63</f>
        <v>578768.63</v>
      </c>
      <c r="U15" s="3"/>
      <c r="V15" s="20"/>
      <c r="W15" s="3"/>
      <c r="X15" s="3">
        <f t="shared" si="2"/>
        <v>-578768.63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--18061.35</f>
        <v>18061.349999999999</v>
      </c>
      <c r="E21" s="3"/>
      <c r="F21" s="20"/>
      <c r="G21" s="3"/>
      <c r="H21" s="3">
        <f>-12385.33</f>
        <v>-12385.33</v>
      </c>
      <c r="I21" s="3"/>
      <c r="J21" s="20"/>
      <c r="K21" s="3"/>
      <c r="L21" s="3">
        <f t="shared" si="0"/>
        <v>30446.68</v>
      </c>
      <c r="M21" s="3"/>
      <c r="N21" s="20">
        <f t="shared" si="1"/>
        <v>-2.4582857299724754</v>
      </c>
      <c r="O21" s="12"/>
      <c r="P21" s="3">
        <f>--635004.16</f>
        <v>635004.16000000003</v>
      </c>
      <c r="Q21" s="3"/>
      <c r="R21" s="20"/>
      <c r="S21" s="3"/>
      <c r="T21" s="3">
        <f>--273838.77</f>
        <v>273838.77</v>
      </c>
      <c r="U21" s="3"/>
      <c r="V21" s="20"/>
      <c r="W21" s="3"/>
      <c r="X21" s="3">
        <f t="shared" si="2"/>
        <v>361165.39</v>
      </c>
      <c r="Y21" s="3"/>
      <c r="Z21" s="20">
        <f t="shared" si="3"/>
        <v>1.3188979412958945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--741.03</f>
        <v>741.03</v>
      </c>
      <c r="I22" s="3"/>
      <c r="J22" s="20"/>
      <c r="K22" s="3"/>
      <c r="L22" s="3">
        <f t="shared" si="0"/>
        <v>-741.03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--112796.74</f>
        <v>112796.74</v>
      </c>
      <c r="U22" s="3"/>
      <c r="V22" s="20"/>
      <c r="W22" s="3"/>
      <c r="X22" s="3">
        <f t="shared" si="2"/>
        <v>-112796.74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--743.99</f>
        <v>743.99</v>
      </c>
      <c r="I23" s="3"/>
      <c r="J23" s="20"/>
      <c r="K23" s="3"/>
      <c r="L23" s="3">
        <f t="shared" si="0"/>
        <v>-743.99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--48703.42</f>
        <v>48703.42</v>
      </c>
      <c r="U23" s="3"/>
      <c r="V23" s="20"/>
      <c r="W23" s="3"/>
      <c r="X23" s="3">
        <f t="shared" si="2"/>
        <v>-48703.42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--3431.99</f>
        <v>3431.99</v>
      </c>
      <c r="I25" s="3"/>
      <c r="J25" s="20"/>
      <c r="K25" s="3"/>
      <c r="L25" s="3">
        <f t="shared" si="0"/>
        <v>-3431.99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--480403.17</f>
        <v>480403.17</v>
      </c>
      <c r="U25" s="3"/>
      <c r="V25" s="20"/>
      <c r="W25" s="3"/>
      <c r="X25" s="3">
        <f t="shared" si="2"/>
        <v>-480403.17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--738</f>
        <v>738</v>
      </c>
      <c r="I26" s="3"/>
      <c r="J26" s="20"/>
      <c r="K26" s="3"/>
      <c r="L26" s="3">
        <f t="shared" si="0"/>
        <v>-738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--12127.25</f>
        <v>12127.25</v>
      </c>
      <c r="U26" s="3"/>
      <c r="V26" s="20"/>
      <c r="W26" s="3"/>
      <c r="X26" s="3">
        <f t="shared" si="2"/>
        <v>-12127.25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--2760.42</f>
        <v>2760.42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2760.42</v>
      </c>
      <c r="M28" s="3"/>
      <c r="N28" s="20">
        <f t="shared" si="1"/>
        <v>0</v>
      </c>
      <c r="O28" s="12"/>
      <c r="P28" s="3">
        <f>-52751.87</f>
        <v>-52751.87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-52751.87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-376.85</f>
        <v>-376.85</v>
      </c>
      <c r="I29" s="3"/>
      <c r="J29" s="20"/>
      <c r="K29" s="3"/>
      <c r="L29" s="3">
        <f t="shared" si="0"/>
        <v>376.85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-51638.02</f>
        <v>-51638.02</v>
      </c>
      <c r="U29" s="3"/>
      <c r="V29" s="20"/>
      <c r="W29" s="3"/>
      <c r="X29" s="3">
        <f t="shared" si="2"/>
        <v>51638.02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-206.95</f>
        <v>-206.95</v>
      </c>
      <c r="I30" s="3"/>
      <c r="J30" s="20"/>
      <c r="K30" s="3"/>
      <c r="L30" s="3">
        <f t="shared" si="0"/>
        <v>206.95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-20096.26</f>
        <v>-20096.259999999998</v>
      </c>
      <c r="U30" s="3"/>
      <c r="V30" s="20"/>
      <c r="W30" s="3"/>
      <c r="X30" s="3">
        <f t="shared" si="2"/>
        <v>20096.259999999998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","4300"," - ","NON-TAX RETURNS")</f>
        <v xml:space="preserve">          4300 - NON-TAX RETURNS</v>
      </c>
      <c r="C34" s="12"/>
      <c r="D34" s="3">
        <f>-8718.04</f>
        <v>-8718.0400000000009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-8718.0400000000009</v>
      </c>
      <c r="M34" s="3"/>
      <c r="N34" s="20">
        <f t="shared" si="1"/>
        <v>0</v>
      </c>
      <c r="O34" s="12"/>
      <c r="P34" s="3">
        <f>-38066.71</f>
        <v>-38066.71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-38066.71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-225.91</f>
        <v>-225.91</v>
      </c>
      <c r="I35" s="3"/>
      <c r="J35" s="20"/>
      <c r="K35" s="3"/>
      <c r="L35" s="3">
        <f t="shared" si="0"/>
        <v>225.91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-3463.2</f>
        <v>-3463.2</v>
      </c>
      <c r="U35" s="3"/>
      <c r="V35" s="20"/>
      <c r="W35" s="3"/>
      <c r="X35" s="3">
        <f t="shared" si="2"/>
        <v>3463.2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-98.97</f>
        <v>-98.97</v>
      </c>
      <c r="I36" s="3"/>
      <c r="J36" s="20"/>
      <c r="K36" s="3"/>
      <c r="L36" s="3">
        <f t="shared" si="0"/>
        <v>98.97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-2443.32</f>
        <v>-2443.3200000000002</v>
      </c>
      <c r="U36" s="3"/>
      <c r="V36" s="20"/>
      <c r="W36" s="3"/>
      <c r="X36" s="3">
        <f t="shared" si="2"/>
        <v>2443.3200000000002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0</v>
      </c>
      <c r="M37" s="3"/>
      <c r="N37" s="20">
        <f t="shared" si="1"/>
        <v>0</v>
      </c>
      <c r="O37" s="12"/>
      <c r="P37" s="3">
        <f>0</f>
        <v>0</v>
      </c>
      <c r="Q37" s="3"/>
      <c r="R37" s="20"/>
      <c r="S37" s="3"/>
      <c r="T37" s="3">
        <f>-27543.76</f>
        <v>-27543.759999999998</v>
      </c>
      <c r="U37" s="3"/>
      <c r="V37" s="20"/>
      <c r="W37" s="3"/>
      <c r="X37" s="3">
        <f t="shared" si="2"/>
        <v>27543.759999999998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","4500"," - ","SALES DISCOUNT")</f>
        <v xml:space="preserve">          4500 - SALES DISCOUNT</v>
      </c>
      <c r="C38" s="12"/>
      <c r="D38" s="3">
        <f>-67.6</f>
        <v>-67.599999999999994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-67.599999999999994</v>
      </c>
      <c r="M38" s="3"/>
      <c r="N38" s="20">
        <f t="shared" si="1"/>
        <v>0</v>
      </c>
      <c r="O38" s="12"/>
      <c r="P38" s="3">
        <f>-7496.56</f>
        <v>-7496.56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-7496.56</v>
      </c>
      <c r="Y38" s="3"/>
      <c r="Z38" s="20">
        <f t="shared" si="3"/>
        <v>0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3">
      <c r="A40" s="11"/>
      <c r="B40" s="27" t="s">
        <v>287</v>
      </c>
      <c r="C40" s="11"/>
      <c r="D40" s="5">
        <f>SUM(OSRRefD16x_0)</f>
        <v>26384.179999999993</v>
      </c>
      <c r="E40" s="5"/>
      <c r="F40" s="13">
        <f t="shared" ref="F40:F57" si="4">IF(D$12=0,0,D40/D$12)</f>
        <v>0.51880946781491921</v>
      </c>
      <c r="G40" s="5"/>
      <c r="H40" s="5">
        <f>SUM(OSRRefH16x_0)</f>
        <v>31268.500000000022</v>
      </c>
      <c r="I40" s="5"/>
      <c r="J40" s="13">
        <f t="shared" ref="J40:J57" si="5">IF(H$12=0,0,H40/H$12)</f>
        <v>1.2189911321645488</v>
      </c>
      <c r="K40" s="5"/>
      <c r="L40" s="5">
        <f t="shared" ref="L40:L57" si="6">+D40-H40</f>
        <v>-4884.3200000000288</v>
      </c>
      <c r="M40" s="5"/>
      <c r="N40" s="13">
        <f t="shared" ref="N40:N57" si="7">IF(H40=0,0,L40/H40)</f>
        <v>-0.15620576618641846</v>
      </c>
      <c r="O40" s="11"/>
      <c r="P40" s="5">
        <f>SUM(OSRRefP16x_0)</f>
        <v>1680783.1999999997</v>
      </c>
      <c r="Q40" s="5"/>
      <c r="R40" s="13">
        <f t="shared" ref="R40:R57" si="8">IF(P$12=0,0,P40/P$12)</f>
        <v>0.76322206788758307</v>
      </c>
      <c r="S40" s="5"/>
      <c r="T40" s="5">
        <f>SUM(OSRRefT16x_0)</f>
        <v>1904519.22</v>
      </c>
      <c r="U40" s="5"/>
      <c r="V40" s="13">
        <f t="shared" ref="V40:V57" si="9">IF(T$12=0,0,T40/T$12)</f>
        <v>0.71073789515303354</v>
      </c>
      <c r="W40" s="5"/>
      <c r="X40" s="5">
        <f t="shared" ref="X40:X57" si="10">+P40-T40</f>
        <v>-223736.02000000025</v>
      </c>
      <c r="Y40" s="5"/>
      <c r="Z40" s="13">
        <f t="shared" ref="Z40:Z57" si="11">IF(T40=0,0,X40/T40)</f>
        <v>-0.1174763781065965</v>
      </c>
    </row>
    <row r="41" spans="1:26" s="69" customFormat="1" ht="15" hidden="1" customHeight="1" outlineLevel="1" x14ac:dyDescent="0.3">
      <c r="A41" s="42"/>
      <c r="B41" s="12" t="str">
        <f>CONCATENATE("          ","5000"," - ","PURCHASES @ COST")</f>
        <v xml:space="preserve">          5000 - PURCHASES @ COST</v>
      </c>
      <c r="C41" s="12"/>
      <c r="D41" s="3">
        <v>-186211.17</v>
      </c>
      <c r="E41" s="3"/>
      <c r="F41" s="20">
        <f t="shared" si="4"/>
        <v>-3.6615925910486316</v>
      </c>
      <c r="G41" s="3"/>
      <c r="H41" s="3"/>
      <c r="I41" s="3"/>
      <c r="J41" s="20">
        <f t="shared" si="5"/>
        <v>0</v>
      </c>
      <c r="K41" s="3"/>
      <c r="L41" s="3">
        <f t="shared" si="6"/>
        <v>-186211.17</v>
      </c>
      <c r="M41" s="3"/>
      <c r="N41" s="20">
        <f t="shared" si="7"/>
        <v>0</v>
      </c>
      <c r="O41" s="12"/>
      <c r="P41" s="3">
        <v>1424313.55</v>
      </c>
      <c r="Q41" s="3"/>
      <c r="R41" s="20">
        <f t="shared" si="8"/>
        <v>0.64676249319442547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1424313.55</v>
      </c>
      <c r="Y41" s="3"/>
      <c r="Z41" s="20">
        <f t="shared" si="11"/>
        <v>0</v>
      </c>
    </row>
    <row r="42" spans="1:26" s="69" customFormat="1" ht="15" hidden="1" customHeight="1" outlineLevel="1" x14ac:dyDescent="0.3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-28969.93</v>
      </c>
      <c r="I42" s="3"/>
      <c r="J42" s="20">
        <f t="shared" si="5"/>
        <v>-1.129382214350791</v>
      </c>
      <c r="K42" s="3"/>
      <c r="L42" s="3">
        <f t="shared" si="6"/>
        <v>28969.93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1006546.47</v>
      </c>
      <c r="U42" s="3"/>
      <c r="V42" s="20">
        <f t="shared" si="9"/>
        <v>0.37562798629121524</v>
      </c>
      <c r="W42" s="3"/>
      <c r="X42" s="3">
        <f t="shared" si="10"/>
        <v>-1006546.47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-122091.65</v>
      </c>
      <c r="I43" s="3"/>
      <c r="J43" s="20">
        <f t="shared" si="5"/>
        <v>-4.7596986955350511</v>
      </c>
      <c r="K43" s="3"/>
      <c r="L43" s="3">
        <f t="shared" si="6"/>
        <v>122091.65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274961.02</v>
      </c>
      <c r="U43" s="3"/>
      <c r="V43" s="20">
        <f t="shared" si="9"/>
        <v>0.10261131237306766</v>
      </c>
      <c r="W43" s="3"/>
      <c r="X43" s="3">
        <f t="shared" si="10"/>
        <v>-274961.02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/>
      <c r="Q44" s="3"/>
      <c r="R44" s="20">
        <f t="shared" si="8"/>
        <v>0</v>
      </c>
      <c r="S44" s="3"/>
      <c r="T44" s="3">
        <v>32.520000000000003</v>
      </c>
      <c r="U44" s="3"/>
      <c r="V44" s="20">
        <f t="shared" si="9"/>
        <v>1.2135974322368169E-5</v>
      </c>
      <c r="W44" s="3"/>
      <c r="X44" s="3">
        <f t="shared" si="10"/>
        <v>-32.520000000000003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887.88</v>
      </c>
      <c r="I45" s="3"/>
      <c r="J45" s="20">
        <f t="shared" si="5"/>
        <v>3.461367978720626E-2</v>
      </c>
      <c r="K45" s="3"/>
      <c r="L45" s="3">
        <f t="shared" si="6"/>
        <v>-887.88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207450.38</v>
      </c>
      <c r="U45" s="3"/>
      <c r="V45" s="20">
        <f t="shared" si="9"/>
        <v>7.7417358082580531E-2</v>
      </c>
      <c r="W45" s="3"/>
      <c r="X45" s="3">
        <f t="shared" si="10"/>
        <v>-207450.38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2.5066832571754913E-5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>
        <v>800</v>
      </c>
      <c r="I47" s="3"/>
      <c r="J47" s="20">
        <f t="shared" si="5"/>
        <v>3.1187709859175797E-2</v>
      </c>
      <c r="K47" s="3"/>
      <c r="L47" s="3">
        <f t="shared" si="6"/>
        <v>-800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9670.02</v>
      </c>
      <c r="U47" s="3"/>
      <c r="V47" s="20">
        <f t="shared" si="9"/>
        <v>3.6087058553747426E-3</v>
      </c>
      <c r="W47" s="3"/>
      <c r="X47" s="3">
        <f t="shared" si="10"/>
        <v>-9670.02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4.1636244008198533E-5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3.6094820800546478E-4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","5200"," - ","PURCHASES OFFSET")</f>
        <v xml:space="preserve">          5200 - PURCHASES OFFSET</v>
      </c>
      <c r="C50" s="12"/>
      <c r="D50" s="3">
        <v>160822.91</v>
      </c>
      <c r="E50" s="3"/>
      <c r="F50" s="20">
        <f t="shared" si="4"/>
        <v>3.1623665525912377</v>
      </c>
      <c r="G50" s="3"/>
      <c r="H50" s="3">
        <v>149318.16</v>
      </c>
      <c r="I50" s="3"/>
      <c r="J50" s="20">
        <f t="shared" si="5"/>
        <v>5.8211143134824868</v>
      </c>
      <c r="K50" s="3"/>
      <c r="L50" s="3">
        <f t="shared" si="6"/>
        <v>11504.75</v>
      </c>
      <c r="M50" s="3"/>
      <c r="N50" s="20">
        <f t="shared" si="7"/>
        <v>7.7048565291723395E-2</v>
      </c>
      <c r="O50" s="12"/>
      <c r="P50" s="3">
        <v>-1201082.6100000001</v>
      </c>
      <c r="Q50" s="3"/>
      <c r="R50" s="20">
        <f t="shared" si="8"/>
        <v>-0.54539618988815197</v>
      </c>
      <c r="S50" s="3"/>
      <c r="T50" s="3">
        <v>-1024895.97</v>
      </c>
      <c r="U50" s="3"/>
      <c r="V50" s="20">
        <f t="shared" si="9"/>
        <v>-0.38247574338925633</v>
      </c>
      <c r="W50" s="3"/>
      <c r="X50" s="3">
        <f t="shared" si="10"/>
        <v>-176186.64000000013</v>
      </c>
      <c r="Y50" s="3"/>
      <c r="Z50" s="20">
        <f t="shared" si="11"/>
        <v>0.17190685216568871</v>
      </c>
    </row>
    <row r="51" spans="1:26" s="69" customFormat="1" ht="15" hidden="1" customHeight="1" outlineLevel="1" x14ac:dyDescent="0.3">
      <c r="A51" s="42"/>
      <c r="B51" s="12" t="str">
        <f>CONCATENATE("          ","5300"," - ","COG$ OFFSET")</f>
        <v xml:space="preserve">          5300 - COG$ OFFSET</v>
      </c>
      <c r="C51" s="12"/>
      <c r="D51" s="3">
        <v>49207.61</v>
      </c>
      <c r="E51" s="3"/>
      <c r="F51" s="20">
        <f t="shared" si="4"/>
        <v>0.96760156868790714</v>
      </c>
      <c r="G51" s="3"/>
      <c r="H51" s="3">
        <v>30994</v>
      </c>
      <c r="I51" s="3"/>
      <c r="J51" s="20">
        <f t="shared" si="5"/>
        <v>1.2082898492191183</v>
      </c>
      <c r="K51" s="3"/>
      <c r="L51" s="3">
        <f t="shared" si="6"/>
        <v>18213.61</v>
      </c>
      <c r="M51" s="3"/>
      <c r="N51" s="20">
        <f t="shared" si="7"/>
        <v>0.58764954507323997</v>
      </c>
      <c r="O51" s="12"/>
      <c r="P51" s="3">
        <v>1378493.64</v>
      </c>
      <c r="Q51" s="3"/>
      <c r="R51" s="20">
        <f t="shared" si="8"/>
        <v>0.62595626044494113</v>
      </c>
      <c r="S51" s="3"/>
      <c r="T51" s="3">
        <v>1361322</v>
      </c>
      <c r="U51" s="3"/>
      <c r="V51" s="20">
        <f t="shared" si="9"/>
        <v>0.5080248719703222</v>
      </c>
      <c r="W51" s="3"/>
      <c r="X51" s="3">
        <f t="shared" si="10"/>
        <v>17171.639999999898</v>
      </c>
      <c r="Y51" s="3"/>
      <c r="Z51" s="20">
        <f t="shared" si="11"/>
        <v>1.2613944386412545E-2</v>
      </c>
    </row>
    <row r="52" spans="1:26" s="69" customFormat="1" ht="15" hidden="1" customHeight="1" outlineLevel="1" x14ac:dyDescent="0.3">
      <c r="A52" s="42"/>
      <c r="B52" s="12" t="str">
        <f>CONCATENATE("          ","5500"," - ","FREIGHT-IN")</f>
        <v xml:space="preserve">          5500 - FREIGHT-IN</v>
      </c>
      <c r="C52" s="12"/>
      <c r="D52" s="3">
        <v>2564.83</v>
      </c>
      <c r="E52" s="3"/>
      <c r="F52" s="20">
        <f t="shared" si="4"/>
        <v>5.0433937584406251E-2</v>
      </c>
      <c r="G52" s="3"/>
      <c r="H52" s="3"/>
      <c r="I52" s="3"/>
      <c r="J52" s="20">
        <f t="shared" si="5"/>
        <v>0</v>
      </c>
      <c r="K52" s="3"/>
      <c r="L52" s="3">
        <f t="shared" si="6"/>
        <v>2564.83</v>
      </c>
      <c r="M52" s="3"/>
      <c r="N52" s="20">
        <f t="shared" si="7"/>
        <v>0</v>
      </c>
      <c r="O52" s="12"/>
      <c r="P52" s="3">
        <v>79058.62</v>
      </c>
      <c r="Q52" s="3"/>
      <c r="R52" s="20">
        <f t="shared" si="8"/>
        <v>3.5899504136368471E-2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79058.62</v>
      </c>
      <c r="Y52" s="3"/>
      <c r="Z52" s="20">
        <f t="shared" si="11"/>
        <v>0</v>
      </c>
    </row>
    <row r="53" spans="1:26" s="69" customFormat="1" ht="15" hidden="1" customHeight="1" outlineLevel="1" x14ac:dyDescent="0.3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271.27</v>
      </c>
      <c r="I53" s="3"/>
      <c r="J53" s="20">
        <f t="shared" si="5"/>
        <v>1.0575362566873272E-2</v>
      </c>
      <c r="K53" s="3"/>
      <c r="L53" s="3">
        <f t="shared" si="6"/>
        <v>-271.27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50313.73</v>
      </c>
      <c r="U53" s="3"/>
      <c r="V53" s="20">
        <f t="shared" si="9"/>
        <v>1.8776326425048125E-2</v>
      </c>
      <c r="W53" s="3"/>
      <c r="X53" s="3">
        <f t="shared" si="10"/>
        <v>-50313.73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58.77</v>
      </c>
      <c r="I54" s="3"/>
      <c r="J54" s="20">
        <f t="shared" si="5"/>
        <v>2.2911271355297021E-3</v>
      </c>
      <c r="K54" s="3"/>
      <c r="L54" s="3">
        <f t="shared" si="6"/>
        <v>-58.77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17858.900000000001</v>
      </c>
      <c r="U54" s="3"/>
      <c r="V54" s="20">
        <f t="shared" si="9"/>
        <v>6.6646725653671862E-3</v>
      </c>
      <c r="W54" s="3"/>
      <c r="X54" s="3">
        <f t="shared" si="10"/>
        <v>-17858.900000000001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1.0792508530224091E-5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3.182521187612415E-5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3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8" t="s">
        <v>288</v>
      </c>
      <c r="C59" s="28"/>
      <c r="D59" s="21">
        <f>D12-D40</f>
        <v>24471.060000000005</v>
      </c>
      <c r="E59" s="15"/>
      <c r="F59" s="23">
        <f>IF(D$12=0,0,D59/D$12)</f>
        <v>0.48119053218508073</v>
      </c>
      <c r="G59" s="15"/>
      <c r="H59" s="21">
        <f>H12-H40</f>
        <v>-5617.3700000000244</v>
      </c>
      <c r="I59" s="15"/>
      <c r="J59" s="23">
        <f>IF(H$12=0,0,H59/H$12)</f>
        <v>-0.21899113216454888</v>
      </c>
      <c r="K59" s="16"/>
      <c r="L59" s="21">
        <f>+D59-H59</f>
        <v>30088.430000000029</v>
      </c>
      <c r="M59" s="16"/>
      <c r="N59" s="23">
        <f>IF(H59=0,0,L59/H59)</f>
        <v>-5.3563197724201714</v>
      </c>
      <c r="O59" s="27"/>
      <c r="P59" s="21">
        <f>P12-P40</f>
        <v>521437.19000000041</v>
      </c>
      <c r="Q59" s="15"/>
      <c r="R59" s="23">
        <f>IF(P$12=0,0,P59/P$12)</f>
        <v>0.23677793211241696</v>
      </c>
      <c r="S59" s="15"/>
      <c r="T59" s="21">
        <f>T12-T40</f>
        <v>775117.30000000051</v>
      </c>
      <c r="U59" s="15"/>
      <c r="V59" s="23">
        <f>IF(T$12=0,0,T59/T$12)</f>
        <v>0.28926210484696646</v>
      </c>
      <c r="W59" s="16"/>
      <c r="X59" s="21">
        <f>+P59-T59</f>
        <v>-253680.1100000001</v>
      </c>
      <c r="Y59" s="16"/>
      <c r="Z59" s="23">
        <f>IF(T59=0,0,X59/T59)</f>
        <v>-0.32727963883659922</v>
      </c>
    </row>
    <row r="60" spans="1:26" ht="15" customHeight="1" x14ac:dyDescent="0.3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3">
      <c r="A61" s="11"/>
      <c r="B61" s="27" t="s">
        <v>289</v>
      </c>
      <c r="C61" s="11"/>
      <c r="D61" s="22" cm="1">
        <f t="array" ref="D61">SUM(OSRRefD22x_0)</f>
        <v>50638.14</v>
      </c>
      <c r="E61" s="22"/>
      <c r="F61" s="32">
        <f t="shared" ref="F61:F92" si="12">IF(D$12=0,0,D61/D$12)</f>
        <v>0.99573102004827829</v>
      </c>
      <c r="G61" s="22"/>
      <c r="H61" s="22" cm="1">
        <f t="array" ref="H61">SUM(OSRRefH22x_0)</f>
        <v>52574.149999999994</v>
      </c>
      <c r="I61" s="22"/>
      <c r="J61" s="32">
        <f t="shared" ref="J61:J92" si="13">IF(H$12=0,0,H61/H$12)</f>
        <v>2.0495841703659838</v>
      </c>
      <c r="K61" s="5"/>
      <c r="L61" s="22">
        <f t="shared" ref="L61:L92" si="14">+D61-H61</f>
        <v>-1936.0099999999948</v>
      </c>
      <c r="M61" s="5"/>
      <c r="N61" s="32">
        <f t="shared" ref="N61:N92" si="15">IF(H61=0,0,L61/H61)</f>
        <v>-3.6824370912320881E-2</v>
      </c>
      <c r="O61" s="11"/>
      <c r="P61" s="22" cm="1">
        <f t="array" ref="P61">SUM(OSRRefP22x_0)</f>
        <v>448482.06999999995</v>
      </c>
      <c r="Q61" s="22"/>
      <c r="R61" s="32">
        <f t="shared" ref="R61:R92" si="16">IF(P$12=0,0,P61/P$12)</f>
        <v>0.20364994894993227</v>
      </c>
      <c r="S61" s="22"/>
      <c r="T61" s="22" cm="1">
        <f t="array" ref="T61">SUM(OSRRefT22x_0)</f>
        <v>461844.33999999991</v>
      </c>
      <c r="U61" s="22"/>
      <c r="V61" s="32">
        <f t="shared" ref="V61:V92" si="17">IF(T$12=0,0,T61/T$12)</f>
        <v>0.17235335335704405</v>
      </c>
      <c r="W61" s="5"/>
      <c r="X61" s="22">
        <f t="shared" ref="X61:X92" si="18">+P61-T61</f>
        <v>-13362.26999999996</v>
      </c>
      <c r="Y61" s="5"/>
      <c r="Z61" s="32">
        <f t="shared" ref="Z61:Z92" si="19">IF(T61=0,0,X61/T61)</f>
        <v>-2.8932410430752412E-2</v>
      </c>
    </row>
    <row r="62" spans="1:26" s="68" customFormat="1" ht="15" customHeight="1" outlineLevel="1" collapsed="1" x14ac:dyDescent="0.3">
      <c r="A62" s="25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14153.779999999999</v>
      </c>
      <c r="E62" s="2"/>
      <c r="F62" s="6">
        <f t="shared" si="12"/>
        <v>0.27831507628319124</v>
      </c>
      <c r="G62" s="2"/>
      <c r="H62" s="2">
        <f>SUM(OSRRefH22_0x_0)</f>
        <v>14359.289999999997</v>
      </c>
      <c r="I62" s="2"/>
      <c r="J62" s="6">
        <f t="shared" si="13"/>
        <v>0.55979171287970542</v>
      </c>
      <c r="K62" s="2"/>
      <c r="L62" s="2">
        <f t="shared" si="14"/>
        <v>-205.5099999999984</v>
      </c>
      <c r="M62" s="2"/>
      <c r="N62" s="6">
        <f t="shared" si="15"/>
        <v>-1.4311988963242503E-2</v>
      </c>
      <c r="O62" s="14"/>
      <c r="P62" s="2">
        <f>SUM(OSRRefP22_0x_0)</f>
        <v>106932.53999999998</v>
      </c>
      <c r="Q62" s="2"/>
      <c r="R62" s="6">
        <f t="shared" si="16"/>
        <v>4.8556693274463769E-2</v>
      </c>
      <c r="S62" s="2"/>
      <c r="T62" s="2">
        <f>SUM(OSRRefT22_0x_0)</f>
        <v>120169.99</v>
      </c>
      <c r="U62" s="2"/>
      <c r="V62" s="6">
        <f t="shared" si="17"/>
        <v>4.4845630779804413E-2</v>
      </c>
      <c r="W62" s="2"/>
      <c r="X62" s="2">
        <f t="shared" si="18"/>
        <v>-13237.450000000026</v>
      </c>
      <c r="Y62" s="2"/>
      <c r="Z62" s="6">
        <f t="shared" si="19"/>
        <v>-0.1101560381256587</v>
      </c>
    </row>
    <row r="63" spans="1:26" s="69" customFormat="1" ht="15" hidden="1" customHeight="1" outlineLevel="2" x14ac:dyDescent="0.3">
      <c r="A63" s="26"/>
      <c r="B63" s="12" t="str">
        <f>CONCATENATE("          ","6111"," - ","F.I.C.A.")</f>
        <v xml:space="preserve">          6111 - F.I.C.A.</v>
      </c>
      <c r="C63" s="12"/>
      <c r="D63" s="8">
        <v>2400.81</v>
      </c>
      <c r="E63" s="3"/>
      <c r="F63" s="7">
        <f t="shared" si="12"/>
        <v>4.7208704550406211E-2</v>
      </c>
      <c r="G63" s="3"/>
      <c r="H63" s="8">
        <v>2997.29</v>
      </c>
      <c r="I63" s="3"/>
      <c r="J63" s="7">
        <f t="shared" si="13"/>
        <v>0.11684826360476128</v>
      </c>
      <c r="K63" s="3"/>
      <c r="L63" s="8">
        <f t="shared" si="14"/>
        <v>-596.48</v>
      </c>
      <c r="M63" s="3"/>
      <c r="N63" s="7">
        <f t="shared" si="15"/>
        <v>-0.19900643581368505</v>
      </c>
      <c r="O63" s="12"/>
      <c r="P63" s="8">
        <v>21882.080000000002</v>
      </c>
      <c r="Q63" s="3"/>
      <c r="R63" s="7">
        <f t="shared" si="16"/>
        <v>9.9363715363656232E-3</v>
      </c>
      <c r="S63" s="3"/>
      <c r="T63" s="8">
        <v>21909.06</v>
      </c>
      <c r="U63" s="3"/>
      <c r="V63" s="7">
        <f t="shared" si="17"/>
        <v>8.1761312911200357E-3</v>
      </c>
      <c r="W63" s="3"/>
      <c r="X63" s="8">
        <f t="shared" si="18"/>
        <v>-26.979999999999563</v>
      </c>
      <c r="Y63" s="3"/>
      <c r="Z63" s="7">
        <f t="shared" si="19"/>
        <v>-1.2314540194786796E-3</v>
      </c>
    </row>
    <row r="64" spans="1:26" s="69" customFormat="1" ht="15" hidden="1" customHeight="1" outlineLevel="2" x14ac:dyDescent="0.3">
      <c r="A64" s="26"/>
      <c r="B64" s="12" t="str">
        <f>CONCATENATE("          ","6112"," - ","COMPENSATION INSURANCE")</f>
        <v xml:space="preserve">          6112 - COMPENSATION INSURANCE</v>
      </c>
      <c r="C64" s="12"/>
      <c r="D64" s="8">
        <v>295.63</v>
      </c>
      <c r="E64" s="3"/>
      <c r="F64" s="7">
        <f t="shared" si="12"/>
        <v>5.813166942088957E-3</v>
      </c>
      <c r="G64" s="3"/>
      <c r="H64" s="8">
        <v>137.72</v>
      </c>
      <c r="I64" s="3"/>
      <c r="J64" s="7">
        <f t="shared" si="13"/>
        <v>5.3689642522571131E-3</v>
      </c>
      <c r="K64" s="3"/>
      <c r="L64" s="8">
        <f t="shared" si="14"/>
        <v>157.91</v>
      </c>
      <c r="M64" s="3"/>
      <c r="N64" s="7">
        <f t="shared" si="15"/>
        <v>1.1466018007551553</v>
      </c>
      <c r="O64" s="12"/>
      <c r="P64" s="8">
        <v>4061.6</v>
      </c>
      <c r="Q64" s="3"/>
      <c r="R64" s="7">
        <f t="shared" si="16"/>
        <v>1.8443204042806994E-3</v>
      </c>
      <c r="S64" s="3"/>
      <c r="T64" s="8">
        <v>1185.44</v>
      </c>
      <c r="U64" s="3"/>
      <c r="V64" s="7">
        <f t="shared" si="17"/>
        <v>4.4238835795535426E-4</v>
      </c>
      <c r="W64" s="3"/>
      <c r="X64" s="8">
        <f t="shared" si="18"/>
        <v>2876.16</v>
      </c>
      <c r="Y64" s="3"/>
      <c r="Z64" s="7">
        <f t="shared" si="19"/>
        <v>2.426238358752868</v>
      </c>
    </row>
    <row r="65" spans="1:26" s="69" customFormat="1" ht="15" hidden="1" customHeight="1" outlineLevel="2" x14ac:dyDescent="0.3">
      <c r="A65" s="26"/>
      <c r="B65" s="12" t="str">
        <f>CONCATENATE("          ","6113"," - ","GROUP INSURANCE")</f>
        <v xml:space="preserve">          6113 - GROUP INSURANCE</v>
      </c>
      <c r="C65" s="12"/>
      <c r="D65" s="8">
        <v>4253.97</v>
      </c>
      <c r="E65" s="3"/>
      <c r="F65" s="7">
        <f t="shared" si="12"/>
        <v>8.3648607301823774E-2</v>
      </c>
      <c r="G65" s="3"/>
      <c r="H65" s="8">
        <v>4943.91</v>
      </c>
      <c r="I65" s="3"/>
      <c r="J65" s="7">
        <f t="shared" si="13"/>
        <v>0.19273653831234727</v>
      </c>
      <c r="K65" s="3"/>
      <c r="L65" s="8">
        <f t="shared" si="14"/>
        <v>-689.9399999999996</v>
      </c>
      <c r="M65" s="3"/>
      <c r="N65" s="7">
        <f t="shared" si="15"/>
        <v>-0.13955351128964719</v>
      </c>
      <c r="O65" s="12"/>
      <c r="P65" s="8">
        <v>43597.69</v>
      </c>
      <c r="Q65" s="3"/>
      <c r="R65" s="7">
        <f t="shared" si="16"/>
        <v>1.9797151183401765E-2</v>
      </c>
      <c r="S65" s="3"/>
      <c r="T65" s="8">
        <v>45163.86</v>
      </c>
      <c r="U65" s="3"/>
      <c r="V65" s="7">
        <f t="shared" si="17"/>
        <v>1.6854472486440061E-2</v>
      </c>
      <c r="W65" s="3"/>
      <c r="X65" s="8">
        <f t="shared" si="18"/>
        <v>-1566.1699999999983</v>
      </c>
      <c r="Y65" s="3"/>
      <c r="Z65" s="7">
        <f t="shared" si="19"/>
        <v>-3.4677505421370054E-2</v>
      </c>
    </row>
    <row r="66" spans="1:26" s="69" customFormat="1" ht="15" hidden="1" customHeight="1" outlineLevel="2" x14ac:dyDescent="0.3">
      <c r="A66" s="26"/>
      <c r="B66" s="12" t="str">
        <f>CONCATENATE("          ","6114"," - ","STATE UNEMPLOYMENT INSURANCE")</f>
        <v xml:space="preserve">          6114 - STATE UNEMPLOYMENT INSURANCE</v>
      </c>
      <c r="C66" s="12"/>
      <c r="D66" s="8">
        <v>58.32</v>
      </c>
      <c r="E66" s="3"/>
      <c r="F66" s="7">
        <f t="shared" si="12"/>
        <v>1.1467844808125969E-3</v>
      </c>
      <c r="G66" s="3"/>
      <c r="H66" s="8">
        <v>91.65</v>
      </c>
      <c r="I66" s="3"/>
      <c r="J66" s="7">
        <f t="shared" si="13"/>
        <v>3.5729420107418275E-3</v>
      </c>
      <c r="K66" s="3"/>
      <c r="L66" s="8">
        <f t="shared" si="14"/>
        <v>-33.330000000000005</v>
      </c>
      <c r="M66" s="3"/>
      <c r="N66" s="7">
        <f t="shared" si="15"/>
        <v>-0.36366612111292967</v>
      </c>
      <c r="O66" s="12"/>
      <c r="P66" s="8">
        <v>805.62</v>
      </c>
      <c r="Q66" s="3"/>
      <c r="R66" s="7">
        <f t="shared" si="16"/>
        <v>3.6582169689201724E-4</v>
      </c>
      <c r="S66" s="3"/>
      <c r="T66" s="8">
        <v>762.51</v>
      </c>
      <c r="U66" s="3"/>
      <c r="V66" s="7">
        <f t="shared" si="17"/>
        <v>2.8455725032438352E-4</v>
      </c>
      <c r="W66" s="3"/>
      <c r="X66" s="8">
        <f t="shared" si="18"/>
        <v>43.110000000000014</v>
      </c>
      <c r="Y66" s="3"/>
      <c r="Z66" s="7">
        <f t="shared" si="19"/>
        <v>5.6536963449659694E-2</v>
      </c>
    </row>
    <row r="67" spans="1:26" s="69" customFormat="1" ht="15" hidden="1" customHeight="1" outlineLevel="2" x14ac:dyDescent="0.3">
      <c r="A67" s="26"/>
      <c r="B67" s="12" t="str">
        <f>CONCATENATE("          ","6115"," - ","P.E.R.S.")</f>
        <v xml:space="preserve">          6115 - P.E.R.S.</v>
      </c>
      <c r="C67" s="12"/>
      <c r="D67" s="8">
        <v>2109.5500000000002</v>
      </c>
      <c r="E67" s="3"/>
      <c r="F67" s="7">
        <f t="shared" si="12"/>
        <v>4.1481467789749892E-2</v>
      </c>
      <c r="G67" s="3"/>
      <c r="H67" s="8">
        <v>1722.62</v>
      </c>
      <c r="I67" s="3"/>
      <c r="J67" s="7">
        <f t="shared" si="13"/>
        <v>6.7155715947016761E-2</v>
      </c>
      <c r="K67" s="3"/>
      <c r="L67" s="8">
        <f t="shared" si="14"/>
        <v>386.93000000000029</v>
      </c>
      <c r="M67" s="3"/>
      <c r="N67" s="7">
        <f t="shared" si="15"/>
        <v>0.22461715294144985</v>
      </c>
      <c r="O67" s="12"/>
      <c r="P67" s="8">
        <v>18955.59</v>
      </c>
      <c r="Q67" s="3"/>
      <c r="R67" s="7">
        <f t="shared" si="16"/>
        <v>8.6074900069379526E-3</v>
      </c>
      <c r="S67" s="3"/>
      <c r="T67" s="8">
        <v>18464.349999999999</v>
      </c>
      <c r="U67" s="3"/>
      <c r="V67" s="7">
        <f t="shared" si="17"/>
        <v>6.8906173886598603E-3</v>
      </c>
      <c r="W67" s="3"/>
      <c r="X67" s="8">
        <f t="shared" si="18"/>
        <v>491.2400000000016</v>
      </c>
      <c r="Y67" s="3"/>
      <c r="Z67" s="7">
        <f t="shared" si="19"/>
        <v>2.6604781646795129E-2</v>
      </c>
    </row>
    <row r="68" spans="1:26" s="69" customFormat="1" ht="15" hidden="1" customHeight="1" outlineLevel="2" x14ac:dyDescent="0.3">
      <c r="A68" s="26"/>
      <c r="B68" s="12" t="str">
        <f>CONCATENATE("          ","6117"," - ","RETIREMENT STAFF HOURLY")</f>
        <v xml:space="preserve">          6117 - RETIREMENT STAFF HOURLY</v>
      </c>
      <c r="C68" s="12"/>
      <c r="D68" s="8">
        <v>258.64999999999998</v>
      </c>
      <c r="E68" s="3"/>
      <c r="F68" s="7">
        <f t="shared" si="12"/>
        <v>5.0860049033295291E-3</v>
      </c>
      <c r="G68" s="3"/>
      <c r="H68" s="8">
        <v>246.24</v>
      </c>
      <c r="I68" s="3"/>
      <c r="J68" s="7">
        <f t="shared" si="13"/>
        <v>9.5995770946543102E-3</v>
      </c>
      <c r="K68" s="3"/>
      <c r="L68" s="8">
        <f t="shared" si="14"/>
        <v>12.409999999999968</v>
      </c>
      <c r="M68" s="3"/>
      <c r="N68" s="7">
        <f t="shared" si="15"/>
        <v>5.0397985705003118E-2</v>
      </c>
      <c r="O68" s="12"/>
      <c r="P68" s="8">
        <v>3215.36</v>
      </c>
      <c r="Q68" s="3"/>
      <c r="R68" s="7">
        <f t="shared" si="16"/>
        <v>1.4600536869972401E-3</v>
      </c>
      <c r="S68" s="3"/>
      <c r="T68" s="8">
        <v>2755.82</v>
      </c>
      <c r="U68" s="3"/>
      <c r="V68" s="7">
        <f t="shared" si="17"/>
        <v>1.0284305275851367E-3</v>
      </c>
      <c r="W68" s="3"/>
      <c r="X68" s="8">
        <f t="shared" si="18"/>
        <v>459.53999999999996</v>
      </c>
      <c r="Y68" s="3"/>
      <c r="Z68" s="7">
        <f t="shared" si="19"/>
        <v>0.16675254552184102</v>
      </c>
    </row>
    <row r="69" spans="1:26" s="69" customFormat="1" ht="15" hidden="1" customHeight="1" outlineLevel="2" x14ac:dyDescent="0.3">
      <c r="A69" s="26"/>
      <c r="B69" s="12" t="str">
        <f>CONCATENATE("          ","6118"," - ","VACATION")</f>
        <v xml:space="preserve">          6118 - VACATION</v>
      </c>
      <c r="C69" s="12"/>
      <c r="D69" s="8">
        <v>2277.9</v>
      </c>
      <c r="E69" s="3"/>
      <c r="F69" s="7">
        <f t="shared" si="12"/>
        <v>4.4791844458899423E-2</v>
      </c>
      <c r="G69" s="3"/>
      <c r="H69" s="8">
        <v>2466.27</v>
      </c>
      <c r="I69" s="3"/>
      <c r="J69" s="7">
        <f t="shared" si="13"/>
        <v>9.6146641492986865E-2</v>
      </c>
      <c r="K69" s="3"/>
      <c r="L69" s="8">
        <f t="shared" si="14"/>
        <v>-188.36999999999989</v>
      </c>
      <c r="M69" s="3"/>
      <c r="N69" s="7">
        <f t="shared" si="15"/>
        <v>-7.6378498704521361E-2</v>
      </c>
      <c r="O69" s="12"/>
      <c r="P69" s="8">
        <v>19283.98</v>
      </c>
      <c r="Q69" s="3"/>
      <c r="R69" s="7">
        <f t="shared" si="16"/>
        <v>8.7566076890242574E-3</v>
      </c>
      <c r="S69" s="3"/>
      <c r="T69" s="8">
        <v>14500.95</v>
      </c>
      <c r="U69" s="3"/>
      <c r="V69" s="7">
        <f t="shared" si="17"/>
        <v>5.4115361884976843E-3</v>
      </c>
      <c r="W69" s="3"/>
      <c r="X69" s="8">
        <f t="shared" si="18"/>
        <v>4783.0299999999988</v>
      </c>
      <c r="Y69" s="3"/>
      <c r="Z69" s="7">
        <f t="shared" si="19"/>
        <v>0.32984252755853916</v>
      </c>
    </row>
    <row r="70" spans="1:26" s="69" customFormat="1" ht="15" hidden="1" customHeight="1" outlineLevel="2" x14ac:dyDescent="0.3">
      <c r="A70" s="26"/>
      <c r="B70" s="12" t="str">
        <f>CONCATENATE("          ","6119"," - ","SICK LEAVE")</f>
        <v xml:space="preserve">          6119 - SICK LEAVE</v>
      </c>
      <c r="C70" s="12"/>
      <c r="D70" s="8">
        <v>1427.27</v>
      </c>
      <c r="E70" s="3"/>
      <c r="F70" s="7">
        <f t="shared" si="12"/>
        <v>2.8065347838295524E-2</v>
      </c>
      <c r="G70" s="3"/>
      <c r="H70" s="8">
        <v>1289.8800000000001</v>
      </c>
      <c r="I70" s="3"/>
      <c r="J70" s="7">
        <f t="shared" si="13"/>
        <v>5.0285503991442104E-2</v>
      </c>
      <c r="K70" s="3"/>
      <c r="L70" s="8">
        <f t="shared" si="14"/>
        <v>137.38999999999987</v>
      </c>
      <c r="M70" s="3"/>
      <c r="N70" s="7">
        <f t="shared" si="15"/>
        <v>0.1065137842279901</v>
      </c>
      <c r="O70" s="12"/>
      <c r="P70" s="8">
        <v>-13902.82</v>
      </c>
      <c r="Q70" s="3"/>
      <c r="R70" s="7">
        <f t="shared" si="16"/>
        <v>-6.3130920334453899E-3</v>
      </c>
      <c r="S70" s="3"/>
      <c r="T70" s="8">
        <v>11176.9</v>
      </c>
      <c r="U70" s="3"/>
      <c r="V70" s="7">
        <f t="shared" si="17"/>
        <v>4.1710507811708718E-3</v>
      </c>
      <c r="W70" s="3"/>
      <c r="X70" s="8">
        <f t="shared" si="18"/>
        <v>-25079.72</v>
      </c>
      <c r="Y70" s="3"/>
      <c r="Z70" s="7">
        <f t="shared" si="19"/>
        <v>-2.2438887348012422</v>
      </c>
    </row>
    <row r="71" spans="1:26" s="69" customFormat="1" ht="15" hidden="1" customHeight="1" outlineLevel="2" x14ac:dyDescent="0.3">
      <c r="A71" s="26"/>
      <c r="B71" s="12" t="str">
        <f>CONCATENATE("          ","6156"," - ","EMPLOYEE MEALS")</f>
        <v xml:space="preserve">          6156 - EMPLOYEE MEALS</v>
      </c>
      <c r="C71" s="12"/>
      <c r="D71" s="8">
        <v>1071.68</v>
      </c>
      <c r="E71" s="3"/>
      <c r="F71" s="7">
        <f t="shared" si="12"/>
        <v>2.1073148017785388E-2</v>
      </c>
      <c r="G71" s="3"/>
      <c r="H71" s="8">
        <v>463.71</v>
      </c>
      <c r="I71" s="3"/>
      <c r="J71" s="7">
        <f t="shared" si="13"/>
        <v>1.8077566173498011E-2</v>
      </c>
      <c r="K71" s="3"/>
      <c r="L71" s="8">
        <f t="shared" si="14"/>
        <v>607.97</v>
      </c>
      <c r="M71" s="3"/>
      <c r="N71" s="7">
        <f t="shared" si="15"/>
        <v>1.3110996096698369</v>
      </c>
      <c r="O71" s="12"/>
      <c r="P71" s="8">
        <v>9033.44</v>
      </c>
      <c r="Q71" s="3"/>
      <c r="R71" s="7">
        <f t="shared" si="16"/>
        <v>4.101969104009613E-3</v>
      </c>
      <c r="S71" s="3"/>
      <c r="T71" s="8">
        <v>4251.1000000000004</v>
      </c>
      <c r="U71" s="3"/>
      <c r="V71" s="7">
        <f t="shared" si="17"/>
        <v>1.5864465080510247E-3</v>
      </c>
      <c r="W71" s="3"/>
      <c r="X71" s="8">
        <f t="shared" si="18"/>
        <v>4782.34</v>
      </c>
      <c r="Y71" s="3"/>
      <c r="Z71" s="7">
        <f t="shared" si="19"/>
        <v>1.1249653030980216</v>
      </c>
    </row>
    <row r="72" spans="1:26" s="68" customFormat="1" ht="15" customHeight="1" outlineLevel="1" collapsed="1" x14ac:dyDescent="0.3">
      <c r="A72" s="25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25386.38</v>
      </c>
      <c r="E72" s="2"/>
      <c r="F72" s="6">
        <f t="shared" si="12"/>
        <v>0.49918907078208663</v>
      </c>
      <c r="G72" s="2"/>
      <c r="H72" s="2">
        <f>SUM(OSRRefH22_1x_0)</f>
        <v>29075.89</v>
      </c>
      <c r="I72" s="2"/>
      <c r="J72" s="6">
        <f t="shared" si="13"/>
        <v>1.1335130265216387</v>
      </c>
      <c r="K72" s="2"/>
      <c r="L72" s="2">
        <f t="shared" si="14"/>
        <v>-3689.5099999999984</v>
      </c>
      <c r="M72" s="2"/>
      <c r="N72" s="6">
        <f t="shared" si="15"/>
        <v>-0.12689241842640064</v>
      </c>
      <c r="O72" s="14"/>
      <c r="P72" s="2">
        <f>SUM(OSRRefP22_1x_0)</f>
        <v>295270.24</v>
      </c>
      <c r="Q72" s="2"/>
      <c r="R72" s="6">
        <f t="shared" si="16"/>
        <v>0.13407842436696354</v>
      </c>
      <c r="S72" s="2"/>
      <c r="T72" s="2">
        <f>SUM(OSRRefT22_1x_0)</f>
        <v>282209.40999999997</v>
      </c>
      <c r="U72" s="2"/>
      <c r="V72" s="6">
        <f t="shared" si="17"/>
        <v>0.10531630237671187</v>
      </c>
      <c r="W72" s="2"/>
      <c r="X72" s="2">
        <f t="shared" si="18"/>
        <v>13060.830000000016</v>
      </c>
      <c r="Y72" s="2"/>
      <c r="Z72" s="6">
        <f t="shared" si="19"/>
        <v>4.628063252745547E-2</v>
      </c>
    </row>
    <row r="73" spans="1:26" s="69" customFormat="1" ht="15" hidden="1" customHeight="1" outlineLevel="2" x14ac:dyDescent="0.3">
      <c r="A73" s="26"/>
      <c r="B73" s="12" t="str">
        <f>CONCATENATE("          ","6001"," - ","ADMINISTRATIVE SALARIES")</f>
        <v xml:space="preserve">          6001 - ADMINISTRATIVE SALARIES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-311.32</v>
      </c>
      <c r="U73" s="3"/>
      <c r="V73" s="7">
        <f t="shared" si="17"/>
        <v>-1.1617993622508173E-4</v>
      </c>
      <c r="W73" s="3"/>
      <c r="X73" s="8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6"/>
      <c r="B74" s="12" t="str">
        <f>CONCATENATE("          ","6002"," - ","STAFF SALARIES")</f>
        <v xml:space="preserve">          6002 - STAFF SALARIES</v>
      </c>
      <c r="C74" s="12"/>
      <c r="D74" s="8">
        <v>19061.86</v>
      </c>
      <c r="E74" s="3"/>
      <c r="F74" s="7">
        <f t="shared" si="12"/>
        <v>0.37482587831657077</v>
      </c>
      <c r="G74" s="3"/>
      <c r="H74" s="8">
        <v>19208.37</v>
      </c>
      <c r="I74" s="3"/>
      <c r="J74" s="7">
        <f t="shared" si="13"/>
        <v>0.74883133803462076</v>
      </c>
      <c r="K74" s="3"/>
      <c r="L74" s="8">
        <f t="shared" si="14"/>
        <v>-146.5099999999984</v>
      </c>
      <c r="M74" s="3"/>
      <c r="N74" s="7">
        <f t="shared" si="15"/>
        <v>-7.6274040951938354E-3</v>
      </c>
      <c r="O74" s="12"/>
      <c r="P74" s="8">
        <v>189059.20000000001</v>
      </c>
      <c r="Q74" s="3"/>
      <c r="R74" s="7">
        <f t="shared" si="16"/>
        <v>8.5849354977591497E-2</v>
      </c>
      <c r="S74" s="3"/>
      <c r="T74" s="8">
        <v>173924.05</v>
      </c>
      <c r="U74" s="3"/>
      <c r="V74" s="7">
        <f t="shared" si="17"/>
        <v>6.4905836557265589E-2</v>
      </c>
      <c r="W74" s="3"/>
      <c r="X74" s="8">
        <f t="shared" si="18"/>
        <v>15135.150000000023</v>
      </c>
      <c r="Y74" s="3"/>
      <c r="Z74" s="7">
        <f t="shared" si="19"/>
        <v>8.7021605120166101E-2</v>
      </c>
    </row>
    <row r="75" spans="1:26" s="69" customFormat="1" ht="15" hidden="1" customHeight="1" outlineLevel="2" x14ac:dyDescent="0.3">
      <c r="A75" s="26"/>
      <c r="B75" s="12" t="str">
        <f>CONCATENATE("          ","6004"," - ","STAFF HOURLY")</f>
        <v xml:space="preserve">          6004 - STAFF HOURLY</v>
      </c>
      <c r="C75" s="12"/>
      <c r="D75" s="8">
        <v>6483.84</v>
      </c>
      <c r="E75" s="3"/>
      <c r="F75" s="7">
        <f t="shared" si="12"/>
        <v>0.12749600631124738</v>
      </c>
      <c r="G75" s="3"/>
      <c r="H75" s="8">
        <v>8559.48</v>
      </c>
      <c r="I75" s="3"/>
      <c r="J75" s="7">
        <f t="shared" si="13"/>
        <v>0.33368822348177257</v>
      </c>
      <c r="K75" s="3"/>
      <c r="L75" s="8">
        <f t="shared" si="14"/>
        <v>-2075.6399999999994</v>
      </c>
      <c r="M75" s="3"/>
      <c r="N75" s="7">
        <f t="shared" si="15"/>
        <v>-0.24249603947903373</v>
      </c>
      <c r="O75" s="12"/>
      <c r="P75" s="8">
        <v>61835.519999999997</v>
      </c>
      <c r="Q75" s="3"/>
      <c r="R75" s="7">
        <f t="shared" si="16"/>
        <v>2.8078715591221999E-2</v>
      </c>
      <c r="S75" s="3"/>
      <c r="T75" s="8">
        <v>68298.740000000005</v>
      </c>
      <c r="U75" s="3"/>
      <c r="V75" s="7">
        <f t="shared" si="17"/>
        <v>2.5488061343484001E-2</v>
      </c>
      <c r="W75" s="3"/>
      <c r="X75" s="8">
        <f t="shared" si="18"/>
        <v>-6463.2200000000084</v>
      </c>
      <c r="Y75" s="3"/>
      <c r="Z75" s="7">
        <f t="shared" si="19"/>
        <v>-9.463161399463603E-2</v>
      </c>
    </row>
    <row r="76" spans="1:26" s="69" customFormat="1" ht="15" hidden="1" customHeight="1" outlineLevel="2" x14ac:dyDescent="0.3">
      <c r="A76" s="26"/>
      <c r="B76" s="12" t="str">
        <f>CONCATENATE("          ","6005"," - ","TEMPORARY WAGES-HOURLY")</f>
        <v xml:space="preserve">          6005 - TEMPORARY WAGES-HOURLY</v>
      </c>
      <c r="C76" s="12"/>
      <c r="D76" s="8"/>
      <c r="E76" s="3"/>
      <c r="F76" s="7">
        <f t="shared" si="12"/>
        <v>0</v>
      </c>
      <c r="G76" s="3"/>
      <c r="H76" s="8">
        <v>2368.27</v>
      </c>
      <c r="I76" s="3"/>
      <c r="J76" s="7">
        <f t="shared" si="13"/>
        <v>9.2326147035237838E-2</v>
      </c>
      <c r="K76" s="3"/>
      <c r="L76" s="8">
        <f t="shared" si="14"/>
        <v>-2368.27</v>
      </c>
      <c r="M76" s="3"/>
      <c r="N76" s="7">
        <f t="shared" si="15"/>
        <v>-1</v>
      </c>
      <c r="O76" s="12"/>
      <c r="P76" s="8">
        <v>14698.31</v>
      </c>
      <c r="Q76" s="3"/>
      <c r="R76" s="7">
        <f t="shared" si="16"/>
        <v>6.6743138274185168E-3</v>
      </c>
      <c r="S76" s="3"/>
      <c r="T76" s="8">
        <v>15685.16</v>
      </c>
      <c r="U76" s="3"/>
      <c r="V76" s="7">
        <f t="shared" si="17"/>
        <v>5.8534655289740551E-3</v>
      </c>
      <c r="W76" s="3"/>
      <c r="X76" s="8">
        <f t="shared" si="18"/>
        <v>-986.85000000000036</v>
      </c>
      <c r="Y76" s="3"/>
      <c r="Z76" s="7">
        <f t="shared" si="19"/>
        <v>-6.2916157693004113E-2</v>
      </c>
    </row>
    <row r="77" spans="1:26" s="69" customFormat="1" ht="15" hidden="1" customHeight="1" outlineLevel="2" x14ac:dyDescent="0.3">
      <c r="A77" s="26"/>
      <c r="B77" s="12" t="str">
        <f>CONCATENATE("          ","6006"," - ","TEMPORARY PART TIME")</f>
        <v xml:space="preserve">          6006 - TEMPORARY PART TIME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502.29</v>
      </c>
      <c r="U77" s="3"/>
      <c r="V77" s="7">
        <f t="shared" si="17"/>
        <v>1.8744706464890242E-4</v>
      </c>
      <c r="W77" s="3"/>
      <c r="X77" s="8">
        <f t="shared" si="18"/>
        <v>-502.29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6"/>
      <c r="B78" s="12" t="str">
        <f>CONCATENATE("          ","6007"," - ","STUDENT HOURLY")</f>
        <v xml:space="preserve">          6007 - STUDENT HOURLY</v>
      </c>
      <c r="C78" s="12"/>
      <c r="D78" s="8">
        <v>-159.32</v>
      </c>
      <c r="E78" s="3"/>
      <c r="F78" s="7">
        <f t="shared" si="12"/>
        <v>-3.1328138457315312E-3</v>
      </c>
      <c r="G78" s="3"/>
      <c r="H78" s="8">
        <v>-1060.23</v>
      </c>
      <c r="I78" s="3"/>
      <c r="J78" s="7">
        <f t="shared" si="13"/>
        <v>-4.1332682029992449E-2</v>
      </c>
      <c r="K78" s="3"/>
      <c r="L78" s="8">
        <f t="shared" si="14"/>
        <v>900.91000000000008</v>
      </c>
      <c r="M78" s="3"/>
      <c r="N78" s="7">
        <f t="shared" si="15"/>
        <v>-0.8497307188062968</v>
      </c>
      <c r="O78" s="12"/>
      <c r="P78" s="8">
        <v>25710.73</v>
      </c>
      <c r="Q78" s="3"/>
      <c r="R78" s="7">
        <f t="shared" si="16"/>
        <v>1.1674912336998204E-2</v>
      </c>
      <c r="S78" s="3"/>
      <c r="T78" s="8">
        <v>23143.23</v>
      </c>
      <c r="U78" s="3"/>
      <c r="V78" s="7">
        <f t="shared" si="17"/>
        <v>8.6367049513118282E-3</v>
      </c>
      <c r="W78" s="3"/>
      <c r="X78" s="8">
        <f t="shared" si="18"/>
        <v>2567.5</v>
      </c>
      <c r="Y78" s="3"/>
      <c r="Z78" s="7">
        <f t="shared" si="19"/>
        <v>0.11093957066494176</v>
      </c>
    </row>
    <row r="79" spans="1:26" s="69" customFormat="1" ht="15" hidden="1" customHeight="1" outlineLevel="2" x14ac:dyDescent="0.3">
      <c r="A79" s="26"/>
      <c r="B79" s="12" t="str">
        <f>CONCATENATE("          ","6008"," - ","STUDENT HOURLY-FICA EXEMPT")</f>
        <v xml:space="preserve">          6008 - STUDENT HOURLY-FICA EXEMPT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3966.48</v>
      </c>
      <c r="Q79" s="3"/>
      <c r="R79" s="7">
        <f t="shared" si="16"/>
        <v>1.8011276337333338E-3</v>
      </c>
      <c r="S79" s="3"/>
      <c r="T79" s="8">
        <v>967.26</v>
      </c>
      <c r="U79" s="3"/>
      <c r="V79" s="7">
        <f t="shared" si="17"/>
        <v>3.6096686725257791E-4</v>
      </c>
      <c r="W79" s="3"/>
      <c r="X79" s="8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5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97.81</v>
      </c>
      <c r="E80" s="2"/>
      <c r="F80" s="6">
        <f t="shared" si="12"/>
        <v>1.9233022988388217E-3</v>
      </c>
      <c r="G80" s="2"/>
      <c r="H80" s="2">
        <f>SUM(OSRRefH22_2x_0)</f>
        <v>2.21</v>
      </c>
      <c r="I80" s="2"/>
      <c r="J80" s="6">
        <f t="shared" si="13"/>
        <v>8.6156048485973137E-5</v>
      </c>
      <c r="K80" s="2"/>
      <c r="L80" s="2">
        <f t="shared" si="14"/>
        <v>95.600000000000009</v>
      </c>
      <c r="M80" s="2"/>
      <c r="N80" s="6">
        <f t="shared" si="15"/>
        <v>43.257918552036202</v>
      </c>
      <c r="O80" s="14"/>
      <c r="P80" s="2">
        <f>SUM(OSRRefP22_2x_0)</f>
        <v>935.6</v>
      </c>
      <c r="Q80" s="2"/>
      <c r="R80" s="6">
        <f t="shared" si="16"/>
        <v>4.2484394579599729E-4</v>
      </c>
      <c r="S80" s="2"/>
      <c r="T80" s="2">
        <f>SUM(OSRRefT22_2x_0)</f>
        <v>2032.59</v>
      </c>
      <c r="U80" s="2"/>
      <c r="V80" s="6">
        <f t="shared" si="17"/>
        <v>7.5853198179281405E-4</v>
      </c>
      <c r="W80" s="2"/>
      <c r="X80" s="2">
        <f t="shared" si="18"/>
        <v>-1096.9899999999998</v>
      </c>
      <c r="Y80" s="2"/>
      <c r="Z80" s="6">
        <f t="shared" si="19"/>
        <v>-0.53970057906414959</v>
      </c>
    </row>
    <row r="81" spans="1:26" s="69" customFormat="1" ht="15" hidden="1" customHeight="1" outlineLevel="2" x14ac:dyDescent="0.3">
      <c r="A81" s="26"/>
      <c r="B81" s="12" t="str">
        <f>CONCATENATE("          ","6362"," - ","ADVERTISING EXPENSE")</f>
        <v xml:space="preserve">          6362 - ADVERTISING EXPENSE</v>
      </c>
      <c r="C81" s="12"/>
      <c r="D81" s="8">
        <v>97.81</v>
      </c>
      <c r="E81" s="3"/>
      <c r="F81" s="7">
        <f t="shared" si="12"/>
        <v>1.9233022988388217E-3</v>
      </c>
      <c r="G81" s="3"/>
      <c r="H81" s="8">
        <v>2.21</v>
      </c>
      <c r="I81" s="3"/>
      <c r="J81" s="7">
        <f t="shared" si="13"/>
        <v>8.6156048485973137E-5</v>
      </c>
      <c r="K81" s="3"/>
      <c r="L81" s="8">
        <f t="shared" si="14"/>
        <v>95.600000000000009</v>
      </c>
      <c r="M81" s="3"/>
      <c r="N81" s="7">
        <f t="shared" si="15"/>
        <v>43.257918552036202</v>
      </c>
      <c r="O81" s="12"/>
      <c r="P81" s="8">
        <v>935.6</v>
      </c>
      <c r="Q81" s="3"/>
      <c r="R81" s="7">
        <f t="shared" si="16"/>
        <v>4.2484394579599729E-4</v>
      </c>
      <c r="S81" s="3"/>
      <c r="T81" s="8">
        <v>2032.59</v>
      </c>
      <c r="U81" s="3"/>
      <c r="V81" s="7">
        <f t="shared" si="17"/>
        <v>7.5853198179281405E-4</v>
      </c>
      <c r="W81" s="3"/>
      <c r="X81" s="8">
        <f t="shared" si="18"/>
        <v>-1096.9899999999998</v>
      </c>
      <c r="Y81" s="3"/>
      <c r="Z81" s="7">
        <f t="shared" si="19"/>
        <v>-0.53970057906414959</v>
      </c>
    </row>
    <row r="82" spans="1:26" s="68" customFormat="1" ht="15" customHeight="1" outlineLevel="1" collapsed="1" x14ac:dyDescent="0.3">
      <c r="A82" s="25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6.1301766441277929E-7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3">
      <c r="A83" s="26"/>
      <c r="B83" s="12" t="str">
        <f>CONCATENATE("          ","6382"," - ","DISCOUNTS/MARK DOWNS")</f>
        <v xml:space="preserve">          6382 - DISCOUNTS/MARK DOWNS</v>
      </c>
      <c r="C83" s="12"/>
      <c r="D83" s="8"/>
      <c r="E83" s="3"/>
      <c r="F83" s="7">
        <f t="shared" si="12"/>
        <v>0</v>
      </c>
      <c r="G83" s="3"/>
      <c r="H83" s="8">
        <v>0</v>
      </c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1.35</v>
      </c>
      <c r="Q83" s="3"/>
      <c r="R83" s="7">
        <f t="shared" si="16"/>
        <v>6.1301766441277929E-7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6"/>
      <c r="B84" s="12" t="str">
        <f>CONCATENATE("          ","9175"," - ","EARNED DISCOUNTS")</f>
        <v xml:space="preserve">          9175 - EARNED DISCOUNTS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/>
      <c r="Q84" s="3"/>
      <c r="R84" s="7">
        <f t="shared" si="16"/>
        <v>0</v>
      </c>
      <c r="S84" s="3"/>
      <c r="T84" s="8">
        <v>0</v>
      </c>
      <c r="U84" s="3"/>
      <c r="V84" s="7">
        <f t="shared" si="17"/>
        <v>0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5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4.0192018281643652E-5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3">
      <c r="A86" s="26"/>
      <c r="B86" s="12" t="str">
        <f>CONCATENATE("          ","6277"," - ","EMPLOYEE APPRECIATION")</f>
        <v xml:space="preserve">          6277 - EMPLOYEE APPRECIATION</v>
      </c>
      <c r="C86" s="12"/>
      <c r="D86" s="8"/>
      <c r="E86" s="3"/>
      <c r="F86" s="7">
        <f t="shared" si="12"/>
        <v>0</v>
      </c>
      <c r="G86" s="3"/>
      <c r="H86" s="8"/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/>
      <c r="Q86" s="3"/>
      <c r="R86" s="7">
        <f t="shared" si="16"/>
        <v>0</v>
      </c>
      <c r="S86" s="3"/>
      <c r="T86" s="8">
        <v>107.7</v>
      </c>
      <c r="U86" s="3"/>
      <c r="V86" s="7">
        <f t="shared" si="17"/>
        <v>4.0192018281643652E-5</v>
      </c>
      <c r="W86" s="3"/>
      <c r="X86" s="8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5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1.7945053449752672E-3</v>
      </c>
      <c r="G87" s="2"/>
      <c r="H87" s="2">
        <f>SUM(OSRRefH22_5x_0)</f>
        <v>91.26</v>
      </c>
      <c r="I87" s="2"/>
      <c r="J87" s="6">
        <f t="shared" si="13"/>
        <v>3.5577380021854792E-3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912.6</v>
      </c>
      <c r="Q87" s="2"/>
      <c r="R87" s="6">
        <f t="shared" si="16"/>
        <v>4.143999411430388E-4</v>
      </c>
      <c r="S87" s="2"/>
      <c r="T87" s="2">
        <f>SUM(OSRRefT22_5x_0)</f>
        <v>912.6</v>
      </c>
      <c r="U87" s="2"/>
      <c r="V87" s="6">
        <f t="shared" si="17"/>
        <v>3.4056857830852365E-4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3">
      <c r="A88" s="26"/>
      <c r="B88" s="12" t="str">
        <f>CONCATENATE("          ","6351"," - ","EQUIPMENT RENTAL")</f>
        <v xml:space="preserve">          6351 - EQUIPMENT RENTAL</v>
      </c>
      <c r="C88" s="12"/>
      <c r="D88" s="8">
        <v>91.26</v>
      </c>
      <c r="E88" s="3"/>
      <c r="F88" s="7">
        <f t="shared" si="12"/>
        <v>1.7945053449752672E-3</v>
      </c>
      <c r="G88" s="3"/>
      <c r="H88" s="8">
        <v>91.26</v>
      </c>
      <c r="I88" s="3"/>
      <c r="J88" s="7">
        <f t="shared" si="13"/>
        <v>3.5577380021854792E-3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912.6</v>
      </c>
      <c r="Q88" s="3"/>
      <c r="R88" s="7">
        <f t="shared" si="16"/>
        <v>4.143999411430388E-4</v>
      </c>
      <c r="S88" s="3"/>
      <c r="T88" s="8">
        <v>912.6</v>
      </c>
      <c r="U88" s="3"/>
      <c r="V88" s="7">
        <f t="shared" si="17"/>
        <v>3.4056857830852365E-4</v>
      </c>
      <c r="W88" s="3"/>
      <c r="X88" s="8">
        <f t="shared" si="18"/>
        <v>0</v>
      </c>
      <c r="Y88" s="3"/>
      <c r="Z88" s="7">
        <f t="shared" si="19"/>
        <v>0</v>
      </c>
    </row>
    <row r="89" spans="1:26" s="68" customFormat="1" ht="15" customHeight="1" outlineLevel="1" collapsed="1" x14ac:dyDescent="0.3">
      <c r="A89" s="25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6768.61</v>
      </c>
      <c r="E89" s="2"/>
      <c r="F89" s="6">
        <f t="shared" si="12"/>
        <v>0.13309562593746485</v>
      </c>
      <c r="G89" s="2"/>
      <c r="H89" s="2">
        <f>SUM(OSRRefH22_6x_0)</f>
        <v>6096.13</v>
      </c>
      <c r="I89" s="2"/>
      <c r="J89" s="6">
        <f t="shared" si="13"/>
        <v>0.2376554171297717</v>
      </c>
      <c r="K89" s="2"/>
      <c r="L89" s="2">
        <f t="shared" si="14"/>
        <v>672.47999999999956</v>
      </c>
      <c r="M89" s="2"/>
      <c r="N89" s="6">
        <f t="shared" si="15"/>
        <v>0.11031260816288359</v>
      </c>
      <c r="O89" s="14"/>
      <c r="P89" s="2">
        <f>SUM(OSRRefP22_6x_0)</f>
        <v>12391.78</v>
      </c>
      <c r="Q89" s="2"/>
      <c r="R89" s="6">
        <f t="shared" si="16"/>
        <v>5.6269481729755485E-3</v>
      </c>
      <c r="S89" s="2"/>
      <c r="T89" s="2">
        <f>SUM(OSRRefT22_6x_0)</f>
        <v>23777.99</v>
      </c>
      <c r="U89" s="2"/>
      <c r="V89" s="6">
        <f t="shared" si="17"/>
        <v>8.8735878252622098E-3</v>
      </c>
      <c r="W89" s="2"/>
      <c r="X89" s="2">
        <f t="shared" si="18"/>
        <v>-11386.210000000001</v>
      </c>
      <c r="Y89" s="2"/>
      <c r="Z89" s="6">
        <f t="shared" si="19"/>
        <v>-0.47885502517243889</v>
      </c>
    </row>
    <row r="90" spans="1:26" s="69" customFormat="1" ht="15" hidden="1" customHeight="1" outlineLevel="2" x14ac:dyDescent="0.3">
      <c r="A90" s="26"/>
      <c r="B90" s="12" t="str">
        <f>CONCATENATE("          ","6305"," - ","FREIGHT OUT")</f>
        <v xml:space="preserve">          6305 - FREIGHT OUT</v>
      </c>
      <c r="C90" s="12"/>
      <c r="D90" s="8">
        <v>6768.61</v>
      </c>
      <c r="E90" s="3"/>
      <c r="F90" s="7">
        <f t="shared" si="12"/>
        <v>0.13309562593746485</v>
      </c>
      <c r="G90" s="3"/>
      <c r="H90" s="8">
        <v>6096.13</v>
      </c>
      <c r="I90" s="3"/>
      <c r="J90" s="7">
        <f t="shared" si="13"/>
        <v>0.2376554171297717</v>
      </c>
      <c r="K90" s="3"/>
      <c r="L90" s="8">
        <f t="shared" si="14"/>
        <v>672.47999999999956</v>
      </c>
      <c r="M90" s="3"/>
      <c r="N90" s="7">
        <f t="shared" si="15"/>
        <v>0.11031260816288359</v>
      </c>
      <c r="O90" s="12"/>
      <c r="P90" s="8">
        <v>12390.19</v>
      </c>
      <c r="Q90" s="3"/>
      <c r="R90" s="7">
        <f t="shared" si="16"/>
        <v>5.6262261743930181E-3</v>
      </c>
      <c r="S90" s="3"/>
      <c r="T90" s="8">
        <v>23777.49</v>
      </c>
      <c r="U90" s="3"/>
      <c r="V90" s="7">
        <f t="shared" si="17"/>
        <v>8.8734012327910793E-3</v>
      </c>
      <c r="W90" s="3"/>
      <c r="X90" s="8">
        <f t="shared" si="18"/>
        <v>-11387.300000000001</v>
      </c>
      <c r="Y90" s="3"/>
      <c r="Z90" s="7">
        <f t="shared" si="19"/>
        <v>-0.47891093635198673</v>
      </c>
    </row>
    <row r="91" spans="1:26" s="69" customFormat="1" ht="15" hidden="1" customHeight="1" outlineLevel="2" x14ac:dyDescent="0.3">
      <c r="A91" s="26"/>
      <c r="B91" s="12" t="str">
        <f>CONCATENATE("          ","6307"," - ","POSTAGE")</f>
        <v xml:space="preserve">          6307 - POSTAGE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1.59</v>
      </c>
      <c r="Q91" s="3"/>
      <c r="R91" s="7">
        <f t="shared" si="16"/>
        <v>7.2199858253060671E-7</v>
      </c>
      <c r="S91" s="3"/>
      <c r="T91" s="8">
        <v>0.5</v>
      </c>
      <c r="U91" s="3"/>
      <c r="V91" s="7">
        <f t="shared" si="17"/>
        <v>1.8659247113112189E-7</v>
      </c>
      <c r="W91" s="3"/>
      <c r="X91" s="8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5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-0.99</v>
      </c>
      <c r="I92" s="2"/>
      <c r="J92" s="6">
        <f t="shared" si="13"/>
        <v>-3.8594790950730052E-5</v>
      </c>
      <c r="K92" s="2"/>
      <c r="L92" s="2">
        <f t="shared" si="14"/>
        <v>0.99</v>
      </c>
      <c r="M92" s="2"/>
      <c r="N92" s="6">
        <f t="shared" si="15"/>
        <v>-1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-1043.02</v>
      </c>
      <c r="U92" s="2"/>
      <c r="V92" s="6">
        <f t="shared" si="17"/>
        <v>-3.8923935847836547E-4</v>
      </c>
      <c r="W92" s="2"/>
      <c r="X92" s="2">
        <f t="shared" si="18"/>
        <v>1043.02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6"/>
      <c r="B93" s="12" t="str">
        <f>CONCATENATE("          ","6279"," - ","GENERAL EXPENSE")</f>
        <v xml:space="preserve">          6279 - GENERAL EXPENSE</v>
      </c>
      <c r="C93" s="12"/>
      <c r="D93" s="8"/>
      <c r="E93" s="3"/>
      <c r="F93" s="7">
        <f t="shared" ref="F93:F112" si="20">IF(D$12=0,0,D93/D$12)</f>
        <v>0</v>
      </c>
      <c r="G93" s="3"/>
      <c r="H93" s="8">
        <v>-0.99</v>
      </c>
      <c r="I93" s="3"/>
      <c r="J93" s="7">
        <f t="shared" ref="J93:J112" si="21">IF(H$12=0,0,H93/H$12)</f>
        <v>-3.8594790950730052E-5</v>
      </c>
      <c r="K93" s="3"/>
      <c r="L93" s="8">
        <f t="shared" ref="L93:L112" si="22">+D93-H93</f>
        <v>0.99</v>
      </c>
      <c r="M93" s="3"/>
      <c r="N93" s="7">
        <f t="shared" ref="N93:N112" si="23">IF(H93=0,0,L93/H93)</f>
        <v>-1</v>
      </c>
      <c r="O93" s="12"/>
      <c r="P93" s="8"/>
      <c r="Q93" s="3"/>
      <c r="R93" s="7">
        <f t="shared" ref="R93:R112" si="24">IF(P$12=0,0,P93/P$12)</f>
        <v>0</v>
      </c>
      <c r="S93" s="3"/>
      <c r="T93" s="8">
        <v>-1043.02</v>
      </c>
      <c r="U93" s="3"/>
      <c r="V93" s="7">
        <f t="shared" ref="V93:V112" si="25">IF(T$12=0,0,T93/T$12)</f>
        <v>-3.8923935847836547E-4</v>
      </c>
      <c r="W93" s="3"/>
      <c r="X93" s="8">
        <f t="shared" ref="X93:X112" si="26">+P93-T93</f>
        <v>1043.02</v>
      </c>
      <c r="Y93" s="3"/>
      <c r="Z93" s="7">
        <f t="shared" ref="Z93:Z112" si="27">IF(T93=0,0,X93/T93)</f>
        <v>-1</v>
      </c>
    </row>
    <row r="94" spans="1:26" s="68" customFormat="1" ht="15" customHeight="1" outlineLevel="1" collapsed="1" x14ac:dyDescent="0.3">
      <c r="A94" s="25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1.9663657078405294E-2</v>
      </c>
      <c r="G94" s="2"/>
      <c r="H94" s="2">
        <f>SUM(OSRRefH22_8x_0)</f>
        <v>1000</v>
      </c>
      <c r="I94" s="2"/>
      <c r="J94" s="6">
        <f t="shared" si="21"/>
        <v>3.8984637323969749E-2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14000</v>
      </c>
      <c r="Q94" s="2"/>
      <c r="R94" s="6">
        <f t="shared" si="24"/>
        <v>6.3572202235399333E-3</v>
      </c>
      <c r="S94" s="2"/>
      <c r="T94" s="2">
        <f>SUM(OSRRefT22_8x_0)</f>
        <v>15000</v>
      </c>
      <c r="U94" s="2"/>
      <c r="V94" s="6">
        <f t="shared" si="25"/>
        <v>5.5977741339336565E-3</v>
      </c>
      <c r="W94" s="2"/>
      <c r="X94" s="2">
        <f t="shared" si="26"/>
        <v>-1000</v>
      </c>
      <c r="Y94" s="2"/>
      <c r="Z94" s="6">
        <f t="shared" si="27"/>
        <v>-6.6666666666666666E-2</v>
      </c>
    </row>
    <row r="95" spans="1:26" s="69" customFormat="1" ht="15" hidden="1" customHeight="1" outlineLevel="2" x14ac:dyDescent="0.3">
      <c r="A95" s="26"/>
      <c r="B95" s="12" t="str">
        <f>CONCATENATE("          ","6408"," - ","INVENTORY ADJUSTMENT")</f>
        <v xml:space="preserve">          6408 - INVENTORY ADJUSTMENT</v>
      </c>
      <c r="C95" s="12"/>
      <c r="D95" s="8">
        <v>1000</v>
      </c>
      <c r="E95" s="3"/>
      <c r="F95" s="7">
        <f t="shared" si="20"/>
        <v>1.9663657078405294E-2</v>
      </c>
      <c r="G95" s="3"/>
      <c r="H95" s="8">
        <v>1000</v>
      </c>
      <c r="I95" s="3"/>
      <c r="J95" s="7">
        <f t="shared" si="21"/>
        <v>3.8984637323969749E-2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14000</v>
      </c>
      <c r="Q95" s="3"/>
      <c r="R95" s="7">
        <f t="shared" si="24"/>
        <v>6.3572202235399333E-3</v>
      </c>
      <c r="S95" s="3"/>
      <c r="T95" s="8">
        <v>15000</v>
      </c>
      <c r="U95" s="3"/>
      <c r="V95" s="7">
        <f t="shared" si="25"/>
        <v>5.5977741339336565E-3</v>
      </c>
      <c r="W95" s="3"/>
      <c r="X95" s="8">
        <f t="shared" si="26"/>
        <v>-1000</v>
      </c>
      <c r="Y95" s="3"/>
      <c r="Z95" s="7">
        <f t="shared" si="27"/>
        <v>-6.6666666666666666E-2</v>
      </c>
    </row>
    <row r="96" spans="1:26" s="68" customFormat="1" ht="15" customHeight="1" outlineLevel="1" collapsed="1" x14ac:dyDescent="0.3">
      <c r="A96" s="25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17.25</v>
      </c>
      <c r="E96" s="2"/>
      <c r="F96" s="6">
        <f t="shared" si="20"/>
        <v>3.3919808460249133E-4</v>
      </c>
      <c r="G96" s="2"/>
      <c r="H96" s="2">
        <f>SUM(OSRRefH22_9x_0)</f>
        <v>254.93</v>
      </c>
      <c r="I96" s="2"/>
      <c r="J96" s="6">
        <f t="shared" si="21"/>
        <v>9.9383535929996082E-3</v>
      </c>
      <c r="K96" s="2"/>
      <c r="L96" s="2">
        <f t="shared" si="22"/>
        <v>-237.68</v>
      </c>
      <c r="M96" s="2"/>
      <c r="N96" s="6">
        <f t="shared" si="23"/>
        <v>-0.93233436629663047</v>
      </c>
      <c r="O96" s="14"/>
      <c r="P96" s="2">
        <f>SUM(OSRRefP22_9x_0)</f>
        <v>6062.4</v>
      </c>
      <c r="Q96" s="2"/>
      <c r="R96" s="6">
        <f t="shared" si="24"/>
        <v>2.7528579916563205E-3</v>
      </c>
      <c r="S96" s="2"/>
      <c r="T96" s="2">
        <f>SUM(OSRRefT22_9x_0)</f>
        <v>462.25</v>
      </c>
      <c r="U96" s="2"/>
      <c r="V96" s="6">
        <f t="shared" si="25"/>
        <v>1.7250473956072218E-4</v>
      </c>
      <c r="W96" s="2"/>
      <c r="X96" s="2">
        <f t="shared" si="26"/>
        <v>5600.15</v>
      </c>
      <c r="Y96" s="2"/>
      <c r="Z96" s="6">
        <f t="shared" si="27"/>
        <v>12.114981070849106</v>
      </c>
    </row>
    <row r="97" spans="1:26" s="69" customFormat="1" ht="15" hidden="1" customHeight="1" outlineLevel="2" x14ac:dyDescent="0.3">
      <c r="A97" s="26"/>
      <c r="B97" s="12" t="str">
        <f>CONCATENATE("          ","6371"," - ","COMPUTER SOFTWARE MAINTENANCE")</f>
        <v xml:space="preserve">          6371 - COMPUTER SOFTWARE MAINTENANCE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5775</v>
      </c>
      <c r="Q97" s="3"/>
      <c r="R97" s="7">
        <f t="shared" si="24"/>
        <v>2.6223533422102224E-3</v>
      </c>
      <c r="S97" s="3"/>
      <c r="T97" s="8"/>
      <c r="U97" s="3"/>
      <c r="V97" s="7">
        <f t="shared" si="25"/>
        <v>0</v>
      </c>
      <c r="W97" s="3"/>
      <c r="X97" s="8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6"/>
      <c r="B98" s="12" t="str">
        <f>CONCATENATE("          ","6373"," - ","MAINTENANCE CONTRACTS")</f>
        <v xml:space="preserve">          6373 - MAINTENANCE CONTRACTS</v>
      </c>
      <c r="C98" s="12"/>
      <c r="D98" s="8">
        <v>17.25</v>
      </c>
      <c r="E98" s="3"/>
      <c r="F98" s="7">
        <f t="shared" si="20"/>
        <v>3.3919808460249133E-4</v>
      </c>
      <c r="G98" s="3"/>
      <c r="H98" s="8">
        <v>22.53</v>
      </c>
      <c r="I98" s="3"/>
      <c r="J98" s="7">
        <f t="shared" si="21"/>
        <v>8.783238789090384E-4</v>
      </c>
      <c r="K98" s="3"/>
      <c r="L98" s="8">
        <f t="shared" si="22"/>
        <v>-5.2800000000000011</v>
      </c>
      <c r="M98" s="3"/>
      <c r="N98" s="7">
        <f t="shared" si="23"/>
        <v>-0.23435419440745675</v>
      </c>
      <c r="O98" s="12"/>
      <c r="P98" s="8">
        <v>149.97999999999999</v>
      </c>
      <c r="Q98" s="3"/>
      <c r="R98" s="7">
        <f t="shared" si="24"/>
        <v>6.8103992080465652E-5</v>
      </c>
      <c r="S98" s="3"/>
      <c r="T98" s="8">
        <v>204.74</v>
      </c>
      <c r="U98" s="3"/>
      <c r="V98" s="7">
        <f t="shared" si="25"/>
        <v>7.6405885078771786E-5</v>
      </c>
      <c r="W98" s="3"/>
      <c r="X98" s="8">
        <f t="shared" si="26"/>
        <v>-54.760000000000019</v>
      </c>
      <c r="Y98" s="3"/>
      <c r="Z98" s="7">
        <f t="shared" si="27"/>
        <v>-0.2674611702647261</v>
      </c>
    </row>
    <row r="99" spans="1:26" s="69" customFormat="1" ht="15" hidden="1" customHeight="1" outlineLevel="2" x14ac:dyDescent="0.3">
      <c r="A99" s="26"/>
      <c r="B99" s="12" t="str">
        <f>CONCATENATE("          ","6375"," - ","OUTSIDE REPAIRS &amp; MAINTENANCE")</f>
        <v xml:space="preserve">          6375 - OUTSIDE REPAIRS &amp; MAINTENANCE</v>
      </c>
      <c r="C99" s="12"/>
      <c r="D99" s="8"/>
      <c r="E99" s="3"/>
      <c r="F99" s="7">
        <f t="shared" si="20"/>
        <v>0</v>
      </c>
      <c r="G99" s="3"/>
      <c r="H99" s="8">
        <v>232.4</v>
      </c>
      <c r="I99" s="3"/>
      <c r="J99" s="7">
        <f t="shared" si="21"/>
        <v>9.0600297140905686E-3</v>
      </c>
      <c r="K99" s="3"/>
      <c r="L99" s="8">
        <f t="shared" si="22"/>
        <v>-232.4</v>
      </c>
      <c r="M99" s="3"/>
      <c r="N99" s="7">
        <f t="shared" si="23"/>
        <v>-1</v>
      </c>
      <c r="O99" s="12"/>
      <c r="P99" s="8">
        <v>137.41999999999999</v>
      </c>
      <c r="Q99" s="3"/>
      <c r="R99" s="7">
        <f t="shared" si="24"/>
        <v>6.2400657365632684E-5</v>
      </c>
      <c r="S99" s="3"/>
      <c r="T99" s="8">
        <v>257.51</v>
      </c>
      <c r="U99" s="3"/>
      <c r="V99" s="7">
        <f t="shared" si="25"/>
        <v>9.6098854481950393E-5</v>
      </c>
      <c r="W99" s="3"/>
      <c r="X99" s="8">
        <f t="shared" si="26"/>
        <v>-120.09</v>
      </c>
      <c r="Y99" s="3"/>
      <c r="Z99" s="7">
        <f t="shared" si="27"/>
        <v>-0.46635082132732714</v>
      </c>
    </row>
    <row r="100" spans="1:26" s="68" customFormat="1" ht="15" customHeight="1" outlineLevel="1" collapsed="1" x14ac:dyDescent="0.3">
      <c r="A100" s="25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2418.29</v>
      </c>
      <c r="E100" s="2"/>
      <c r="F100" s="6">
        <f t="shared" si="20"/>
        <v>4.7552425276136741E-2</v>
      </c>
      <c r="G100" s="2"/>
      <c r="H100" s="2">
        <f>SUM(OSRRefH22_10x_0)</f>
        <v>328.71</v>
      </c>
      <c r="I100" s="2"/>
      <c r="J100" s="6">
        <f t="shared" si="21"/>
        <v>1.2814640134762094E-2</v>
      </c>
      <c r="K100" s="2"/>
      <c r="L100" s="2">
        <f t="shared" si="22"/>
        <v>2089.58</v>
      </c>
      <c r="M100" s="2"/>
      <c r="N100" s="6">
        <f t="shared" si="23"/>
        <v>6.356910346506039</v>
      </c>
      <c r="O100" s="14"/>
      <c r="P100" s="2">
        <f>SUM(OSRRefP22_10x_0)</f>
        <v>4840.3900000000003</v>
      </c>
      <c r="Q100" s="2"/>
      <c r="R100" s="6">
        <f t="shared" si="24"/>
        <v>2.1979589427014615E-3</v>
      </c>
      <c r="S100" s="2"/>
      <c r="T100" s="2">
        <f>SUM(OSRRefT22_10x_0)</f>
        <v>4655.34</v>
      </c>
      <c r="U100" s="2"/>
      <c r="V100" s="6">
        <f t="shared" si="25"/>
        <v>1.7373027891111139E-3</v>
      </c>
      <c r="W100" s="2"/>
      <c r="X100" s="2">
        <f t="shared" si="26"/>
        <v>185.05000000000018</v>
      </c>
      <c r="Y100" s="2"/>
      <c r="Z100" s="6">
        <f t="shared" si="27"/>
        <v>3.9750050479664255E-2</v>
      </c>
    </row>
    <row r="101" spans="1:26" s="69" customFormat="1" ht="15" hidden="1" customHeight="1" outlineLevel="2" x14ac:dyDescent="0.3">
      <c r="A101" s="26"/>
      <c r="B101" s="12" t="str">
        <f>CONCATENATE("          ","6258"," - ","MEMBERSHIP DUES")</f>
        <v xml:space="preserve">          6258 - MEMBERSHIP DUES</v>
      </c>
      <c r="C101" s="12"/>
      <c r="D101" s="8">
        <v>510.65</v>
      </c>
      <c r="E101" s="3"/>
      <c r="F101" s="7">
        <f t="shared" si="20"/>
        <v>1.0041246487087662E-2</v>
      </c>
      <c r="G101" s="3"/>
      <c r="H101" s="8">
        <v>328.71</v>
      </c>
      <c r="I101" s="3"/>
      <c r="J101" s="7">
        <f t="shared" si="21"/>
        <v>1.2814640134762094E-2</v>
      </c>
      <c r="K101" s="3"/>
      <c r="L101" s="8">
        <f t="shared" si="22"/>
        <v>181.94</v>
      </c>
      <c r="M101" s="3"/>
      <c r="N101" s="7">
        <f t="shared" si="23"/>
        <v>0.55349700343768071</v>
      </c>
      <c r="O101" s="12"/>
      <c r="P101" s="8">
        <v>2932.75</v>
      </c>
      <c r="Q101" s="3"/>
      <c r="R101" s="7">
        <f t="shared" si="24"/>
        <v>1.3317241150419099E-3</v>
      </c>
      <c r="S101" s="3"/>
      <c r="T101" s="8">
        <v>2803.26</v>
      </c>
      <c r="U101" s="3"/>
      <c r="V101" s="7">
        <f t="shared" si="25"/>
        <v>1.0461344212460576E-3</v>
      </c>
      <c r="W101" s="3"/>
      <c r="X101" s="8">
        <f t="shared" si="26"/>
        <v>129.48999999999978</v>
      </c>
      <c r="Y101" s="3"/>
      <c r="Z101" s="7">
        <f t="shared" si="27"/>
        <v>4.6192647132267353E-2</v>
      </c>
    </row>
    <row r="102" spans="1:26" s="69" customFormat="1" ht="15" hidden="1" customHeight="1" outlineLevel="2" x14ac:dyDescent="0.3">
      <c r="A102" s="26"/>
      <c r="B102" s="12" t="str">
        <f>CONCATENATE("          ","6275"," - ","SUBSCRIPTIONS")</f>
        <v xml:space="preserve">          6275 - SUBSCRIPTIONS</v>
      </c>
      <c r="C102" s="12"/>
      <c r="D102" s="8">
        <v>1907.64</v>
      </c>
      <c r="E102" s="3"/>
      <c r="F102" s="7">
        <f t="shared" si="20"/>
        <v>3.7511178789049075E-2</v>
      </c>
      <c r="G102" s="3"/>
      <c r="H102" s="8"/>
      <c r="I102" s="3"/>
      <c r="J102" s="7">
        <f t="shared" si="21"/>
        <v>0</v>
      </c>
      <c r="K102" s="3"/>
      <c r="L102" s="8">
        <f t="shared" si="22"/>
        <v>1907.64</v>
      </c>
      <c r="M102" s="3"/>
      <c r="N102" s="7">
        <f t="shared" si="23"/>
        <v>0</v>
      </c>
      <c r="O102" s="12"/>
      <c r="P102" s="8">
        <v>1907.64</v>
      </c>
      <c r="Q102" s="3"/>
      <c r="R102" s="7">
        <f t="shared" si="24"/>
        <v>8.6623482765955137E-4</v>
      </c>
      <c r="S102" s="3"/>
      <c r="T102" s="8">
        <v>1852.08</v>
      </c>
      <c r="U102" s="3"/>
      <c r="V102" s="7">
        <f t="shared" si="25"/>
        <v>6.9116836786505638E-4</v>
      </c>
      <c r="W102" s="3"/>
      <c r="X102" s="8">
        <f t="shared" si="26"/>
        <v>55.560000000000173</v>
      </c>
      <c r="Y102" s="3"/>
      <c r="Z102" s="7">
        <f t="shared" si="27"/>
        <v>2.9998704159647626E-2</v>
      </c>
    </row>
    <row r="103" spans="1:26" s="68" customFormat="1" ht="15" customHeight="1" outlineLevel="1" collapsed="1" x14ac:dyDescent="0.3">
      <c r="A103" s="25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53.26</v>
      </c>
      <c r="E103" s="2"/>
      <c r="F103" s="6">
        <f t="shared" si="20"/>
        <v>1.0472863759958659E-3</v>
      </c>
      <c r="G103" s="2"/>
      <c r="H103" s="2">
        <f>SUM(OSRRefH22_11x_0)</f>
        <v>362.77</v>
      </c>
      <c r="I103" s="2"/>
      <c r="J103" s="6">
        <f t="shared" si="21"/>
        <v>1.4142456882016504E-2</v>
      </c>
      <c r="K103" s="2"/>
      <c r="L103" s="2">
        <f t="shared" si="22"/>
        <v>-309.51</v>
      </c>
      <c r="M103" s="2"/>
      <c r="N103" s="6">
        <f t="shared" si="23"/>
        <v>-0.85318521377181133</v>
      </c>
      <c r="O103" s="14"/>
      <c r="P103" s="2">
        <f>SUM(OSRRefP22_11x_0)</f>
        <v>1533.62</v>
      </c>
      <c r="Q103" s="2"/>
      <c r="R103" s="6">
        <f t="shared" si="24"/>
        <v>6.963971485160937E-4</v>
      </c>
      <c r="S103" s="2"/>
      <c r="T103" s="2">
        <f>SUM(OSRRefT22_11x_0)</f>
        <v>5373.43</v>
      </c>
      <c r="U103" s="2"/>
      <c r="V103" s="6">
        <f t="shared" si="25"/>
        <v>2.0052831643002085E-3</v>
      </c>
      <c r="W103" s="2"/>
      <c r="X103" s="2">
        <f t="shared" si="26"/>
        <v>-3839.8100000000004</v>
      </c>
      <c r="Y103" s="2"/>
      <c r="Z103" s="6">
        <f t="shared" si="27"/>
        <v>-0.71459198314670525</v>
      </c>
    </row>
    <row r="104" spans="1:26" s="69" customFormat="1" ht="15" hidden="1" customHeight="1" outlineLevel="2" x14ac:dyDescent="0.3">
      <c r="A104" s="26"/>
      <c r="B104" s="12" t="str">
        <f>CONCATENATE("          ","6241"," - ","OFFICE EXPENSE")</f>
        <v xml:space="preserve">          6241 - OFFICE EXPENSE</v>
      </c>
      <c r="C104" s="12"/>
      <c r="D104" s="8">
        <v>53.26</v>
      </c>
      <c r="E104" s="3"/>
      <c r="F104" s="7">
        <f t="shared" si="20"/>
        <v>1.0472863759958659E-3</v>
      </c>
      <c r="G104" s="3"/>
      <c r="H104" s="8">
        <v>151.37</v>
      </c>
      <c r="I104" s="3"/>
      <c r="J104" s="7">
        <f t="shared" si="21"/>
        <v>5.901104551729301E-3</v>
      </c>
      <c r="K104" s="3"/>
      <c r="L104" s="8">
        <f t="shared" si="22"/>
        <v>-98.110000000000014</v>
      </c>
      <c r="M104" s="3"/>
      <c r="N104" s="7">
        <f t="shared" si="23"/>
        <v>-0.64814692475391433</v>
      </c>
      <c r="O104" s="12"/>
      <c r="P104" s="8">
        <v>1338.59</v>
      </c>
      <c r="Q104" s="3"/>
      <c r="R104" s="7">
        <f t="shared" si="24"/>
        <v>6.0783652993059425E-4</v>
      </c>
      <c r="S104" s="3"/>
      <c r="T104" s="8">
        <v>1566.67</v>
      </c>
      <c r="U104" s="3"/>
      <c r="V104" s="7">
        <f t="shared" si="25"/>
        <v>5.8465765349398943E-4</v>
      </c>
      <c r="W104" s="3"/>
      <c r="X104" s="8">
        <f t="shared" si="26"/>
        <v>-228.08000000000015</v>
      </c>
      <c r="Y104" s="3"/>
      <c r="Z104" s="7">
        <f t="shared" si="27"/>
        <v>-0.14558266897304484</v>
      </c>
    </row>
    <row r="105" spans="1:26" s="69" customFormat="1" ht="15" hidden="1" customHeight="1" outlineLevel="2" x14ac:dyDescent="0.3">
      <c r="A105" s="26"/>
      <c r="B105" s="12" t="str">
        <f>CONCATENATE("          ","6247"," - ","STORE SUPPLIES")</f>
        <v xml:space="preserve">          6247 - STORE SUPPLIES</v>
      </c>
      <c r="C105" s="12"/>
      <c r="D105" s="8"/>
      <c r="E105" s="3"/>
      <c r="F105" s="7">
        <f t="shared" si="20"/>
        <v>0</v>
      </c>
      <c r="G105" s="3"/>
      <c r="H105" s="8">
        <v>211.4</v>
      </c>
      <c r="I105" s="3"/>
      <c r="J105" s="7">
        <f t="shared" si="21"/>
        <v>8.2413523302872042E-3</v>
      </c>
      <c r="K105" s="3"/>
      <c r="L105" s="8">
        <f t="shared" si="22"/>
        <v>-211.4</v>
      </c>
      <c r="M105" s="3"/>
      <c r="N105" s="7">
        <f t="shared" si="23"/>
        <v>-1</v>
      </c>
      <c r="O105" s="12"/>
      <c r="P105" s="8">
        <v>195.03</v>
      </c>
      <c r="Q105" s="3"/>
      <c r="R105" s="7">
        <f t="shared" si="24"/>
        <v>8.856061858549952E-5</v>
      </c>
      <c r="S105" s="3"/>
      <c r="T105" s="8">
        <v>3806.76</v>
      </c>
      <c r="U105" s="3"/>
      <c r="V105" s="7">
        <f t="shared" si="25"/>
        <v>1.4206255108062192E-3</v>
      </c>
      <c r="W105" s="3"/>
      <c r="X105" s="8">
        <f t="shared" si="26"/>
        <v>-3611.73</v>
      </c>
      <c r="Y105" s="3"/>
      <c r="Z105" s="7">
        <f t="shared" si="27"/>
        <v>-0.94876745578917498</v>
      </c>
    </row>
    <row r="106" spans="1:26" s="68" customFormat="1" ht="15" customHeight="1" outlineLevel="1" collapsed="1" x14ac:dyDescent="0.3">
      <c r="A106" s="25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526.5</v>
      </c>
      <c r="E106" s="2"/>
      <c r="F106" s="6">
        <f t="shared" si="20"/>
        <v>1.0352915451780386E-2</v>
      </c>
      <c r="G106" s="2"/>
      <c r="H106" s="2">
        <f>SUM(OSRRefH22_12x_0)</f>
        <v>1003.95</v>
      </c>
      <c r="I106" s="2"/>
      <c r="J106" s="6">
        <f t="shared" si="21"/>
        <v>3.9138626641399429E-2</v>
      </c>
      <c r="K106" s="2"/>
      <c r="L106" s="2">
        <f t="shared" si="22"/>
        <v>-477.45000000000005</v>
      </c>
      <c r="M106" s="2"/>
      <c r="N106" s="6">
        <f t="shared" si="23"/>
        <v>-0.47557149260421339</v>
      </c>
      <c r="O106" s="14"/>
      <c r="P106" s="2">
        <f>SUM(OSRRefP22_12x_0)</f>
        <v>5476.55</v>
      </c>
      <c r="Q106" s="2"/>
      <c r="R106" s="6">
        <f t="shared" si="24"/>
        <v>2.486831029659116E-3</v>
      </c>
      <c r="S106" s="2"/>
      <c r="T106" s="2">
        <f>SUM(OSRRefT22_12x_0)</f>
        <v>8185.9</v>
      </c>
      <c r="U106" s="2"/>
      <c r="V106" s="6">
        <f t="shared" si="25"/>
        <v>3.054854618864501E-3</v>
      </c>
      <c r="W106" s="2"/>
      <c r="X106" s="2">
        <f t="shared" si="26"/>
        <v>-2709.3499999999995</v>
      </c>
      <c r="Y106" s="2"/>
      <c r="Z106" s="6">
        <f t="shared" si="27"/>
        <v>-0.33097765670237844</v>
      </c>
    </row>
    <row r="107" spans="1:26" s="69" customFormat="1" ht="15" hidden="1" customHeight="1" outlineLevel="2" x14ac:dyDescent="0.3">
      <c r="A107" s="26"/>
      <c r="B107" s="12" t="str">
        <f>CONCATENATE("          ","6303"," - ","DATA PHONE LINES")</f>
        <v xml:space="preserve">          6303 - DATA PHONE LINES</v>
      </c>
      <c r="C107" s="12"/>
      <c r="D107" s="8"/>
      <c r="E107" s="3"/>
      <c r="F107" s="7">
        <f t="shared" si="20"/>
        <v>0</v>
      </c>
      <c r="G107" s="3"/>
      <c r="H107" s="8">
        <v>590</v>
      </c>
      <c r="I107" s="3"/>
      <c r="J107" s="7">
        <f t="shared" si="21"/>
        <v>2.300093602114215E-2</v>
      </c>
      <c r="K107" s="3"/>
      <c r="L107" s="8">
        <f t="shared" si="22"/>
        <v>-590</v>
      </c>
      <c r="M107" s="3"/>
      <c r="N107" s="7">
        <f t="shared" si="23"/>
        <v>-1</v>
      </c>
      <c r="O107" s="12"/>
      <c r="P107" s="8">
        <v>295</v>
      </c>
      <c r="Q107" s="3"/>
      <c r="R107" s="7">
        <f t="shared" si="24"/>
        <v>1.3395571185316287E-4</v>
      </c>
      <c r="S107" s="3"/>
      <c r="T107" s="8">
        <v>3540</v>
      </c>
      <c r="U107" s="3"/>
      <c r="V107" s="7">
        <f t="shared" si="25"/>
        <v>1.3210746956083428E-3</v>
      </c>
      <c r="W107" s="3"/>
      <c r="X107" s="8">
        <f t="shared" si="26"/>
        <v>-3245</v>
      </c>
      <c r="Y107" s="3"/>
      <c r="Z107" s="7">
        <f t="shared" si="27"/>
        <v>-0.91666666666666663</v>
      </c>
    </row>
    <row r="108" spans="1:26" s="69" customFormat="1" ht="15" hidden="1" customHeight="1" outlineLevel="2" x14ac:dyDescent="0.3">
      <c r="A108" s="26"/>
      <c r="B108" s="12" t="str">
        <f>CONCATENATE("          ","6309"," - ","TELEPHONE")</f>
        <v xml:space="preserve">          6309 - TELEPHONE</v>
      </c>
      <c r="C108" s="12"/>
      <c r="D108" s="8">
        <v>526.5</v>
      </c>
      <c r="E108" s="3"/>
      <c r="F108" s="7">
        <f t="shared" si="20"/>
        <v>1.0352915451780386E-2</v>
      </c>
      <c r="G108" s="3"/>
      <c r="H108" s="8">
        <v>413.95</v>
      </c>
      <c r="I108" s="3"/>
      <c r="J108" s="7">
        <f t="shared" si="21"/>
        <v>1.6137690620257276E-2</v>
      </c>
      <c r="K108" s="3"/>
      <c r="L108" s="8">
        <f t="shared" si="22"/>
        <v>112.55000000000001</v>
      </c>
      <c r="M108" s="3"/>
      <c r="N108" s="7">
        <f t="shared" si="23"/>
        <v>0.27189274066916297</v>
      </c>
      <c r="O108" s="12"/>
      <c r="P108" s="8">
        <v>5181.55</v>
      </c>
      <c r="Q108" s="3"/>
      <c r="R108" s="7">
        <f t="shared" si="24"/>
        <v>2.3528753178059529E-3</v>
      </c>
      <c r="S108" s="3"/>
      <c r="T108" s="8">
        <v>4645.8999999999996</v>
      </c>
      <c r="U108" s="3"/>
      <c r="V108" s="7">
        <f t="shared" si="25"/>
        <v>1.7337799232561581E-3</v>
      </c>
      <c r="W108" s="3"/>
      <c r="X108" s="8">
        <f t="shared" si="26"/>
        <v>535.65000000000055</v>
      </c>
      <c r="Y108" s="3"/>
      <c r="Z108" s="7">
        <f t="shared" si="27"/>
        <v>0.11529520652618451</v>
      </c>
    </row>
    <row r="109" spans="1:26" s="68" customFormat="1" ht="15" customHeight="1" outlineLevel="1" collapsed="1" x14ac:dyDescent="0.3">
      <c r="A109" s="25"/>
      <c r="B109" s="14" t="str">
        <f>CONCATENATE("     ","Training                                          ")</f>
        <v xml:space="preserve">     Training                                          </v>
      </c>
      <c r="C109" s="14"/>
      <c r="D109" s="2">
        <f>SUM(OSRRefD22_13x_0)</f>
        <v>125</v>
      </c>
      <c r="E109" s="2"/>
      <c r="F109" s="6">
        <f t="shared" si="20"/>
        <v>2.4579571348006617E-3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125</v>
      </c>
      <c r="M109" s="2"/>
      <c r="N109" s="6">
        <f t="shared" si="23"/>
        <v>0</v>
      </c>
      <c r="O109" s="14"/>
      <c r="P109" s="2">
        <f>SUM(OSRRefP22_13x_0)</f>
        <v>125</v>
      </c>
      <c r="Q109" s="2"/>
      <c r="R109" s="6">
        <f t="shared" si="24"/>
        <v>5.6760894853035122E-5</v>
      </c>
      <c r="S109" s="2"/>
      <c r="T109" s="2">
        <f>SUM(OSRRefT22_13x_0)</f>
        <v>0</v>
      </c>
      <c r="U109" s="2"/>
      <c r="V109" s="6">
        <f t="shared" si="25"/>
        <v>0</v>
      </c>
      <c r="W109" s="2"/>
      <c r="X109" s="2">
        <f t="shared" si="26"/>
        <v>125</v>
      </c>
      <c r="Y109" s="2"/>
      <c r="Z109" s="6">
        <f t="shared" si="27"/>
        <v>0</v>
      </c>
    </row>
    <row r="110" spans="1:26" s="69" customFormat="1" ht="15" hidden="1" customHeight="1" outlineLevel="2" x14ac:dyDescent="0.3">
      <c r="A110" s="26"/>
      <c r="B110" s="12" t="str">
        <f>CONCATENATE("          ","6376"," - ","TRAINING")</f>
        <v xml:space="preserve">          6376 - TRAINING</v>
      </c>
      <c r="C110" s="12"/>
      <c r="D110" s="8">
        <v>125</v>
      </c>
      <c r="E110" s="3"/>
      <c r="F110" s="7">
        <f t="shared" si="20"/>
        <v>2.4579571348006617E-3</v>
      </c>
      <c r="G110" s="3"/>
      <c r="H110" s="8"/>
      <c r="I110" s="3"/>
      <c r="J110" s="7">
        <f t="shared" si="21"/>
        <v>0</v>
      </c>
      <c r="K110" s="3"/>
      <c r="L110" s="8">
        <f t="shared" si="22"/>
        <v>125</v>
      </c>
      <c r="M110" s="3"/>
      <c r="N110" s="7">
        <f t="shared" si="23"/>
        <v>0</v>
      </c>
      <c r="O110" s="12"/>
      <c r="P110" s="8">
        <v>125</v>
      </c>
      <c r="Q110" s="3"/>
      <c r="R110" s="7">
        <f t="shared" si="24"/>
        <v>5.6760894853035122E-5</v>
      </c>
      <c r="S110" s="3"/>
      <c r="T110" s="8"/>
      <c r="U110" s="3"/>
      <c r="V110" s="7">
        <f t="shared" si="25"/>
        <v>0</v>
      </c>
      <c r="W110" s="3"/>
      <c r="X110" s="8">
        <f t="shared" si="26"/>
        <v>125</v>
      </c>
      <c r="Y110" s="3"/>
      <c r="Z110" s="7">
        <f t="shared" si="27"/>
        <v>0</v>
      </c>
    </row>
    <row r="111" spans="1:26" s="68" customFormat="1" ht="15" customHeight="1" outlineLevel="1" collapsed="1" x14ac:dyDescent="0.3">
      <c r="A111" s="25"/>
      <c r="B111" s="14" t="str">
        <f>CONCATENATE("     ","Travel                                            ")</f>
        <v xml:space="preserve">     Travel                                            </v>
      </c>
      <c r="C111" s="14"/>
      <c r="D111" s="2">
        <f>SUM(OSRRefD22_14x_0)</f>
        <v>0</v>
      </c>
      <c r="E111" s="2"/>
      <c r="F111" s="6">
        <f t="shared" si="20"/>
        <v>0</v>
      </c>
      <c r="G111" s="2"/>
      <c r="H111" s="2">
        <f>SUM(OSRRefH22_14x_0)</f>
        <v>0</v>
      </c>
      <c r="I111" s="2"/>
      <c r="J111" s="6">
        <f t="shared" si="21"/>
        <v>0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SUM(OSRRefP22_14x_0)</f>
        <v>0</v>
      </c>
      <c r="Q111" s="2"/>
      <c r="R111" s="6">
        <f t="shared" si="24"/>
        <v>0</v>
      </c>
      <c r="S111" s="2"/>
      <c r="T111" s="2">
        <f>SUM(OSRRefT22_14x_0)</f>
        <v>0.16</v>
      </c>
      <c r="U111" s="2"/>
      <c r="V111" s="6">
        <f t="shared" si="25"/>
        <v>5.9709590761959001E-8</v>
      </c>
      <c r="W111" s="2"/>
      <c r="X111" s="2">
        <f t="shared" si="26"/>
        <v>-0.16</v>
      </c>
      <c r="Y111" s="2"/>
      <c r="Z111" s="6">
        <f t="shared" si="27"/>
        <v>-1</v>
      </c>
    </row>
    <row r="112" spans="1:26" s="69" customFormat="1" ht="15" hidden="1" customHeight="1" outlineLevel="2" x14ac:dyDescent="0.3">
      <c r="A112" s="26"/>
      <c r="B112" s="12" t="str">
        <f>CONCATENATE("          ","6292"," - ","TRAVEL/CONFERENCE")</f>
        <v xml:space="preserve">          6292 - TRAVEL/CONFERENCE</v>
      </c>
      <c r="C112" s="12"/>
      <c r="D112" s="8"/>
      <c r="E112" s="3"/>
      <c r="F112" s="7">
        <f t="shared" si="20"/>
        <v>0</v>
      </c>
      <c r="G112" s="3"/>
      <c r="H112" s="8"/>
      <c r="I112" s="3"/>
      <c r="J112" s="7">
        <f t="shared" si="21"/>
        <v>0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/>
      <c r="Q112" s="3"/>
      <c r="R112" s="7">
        <f t="shared" si="24"/>
        <v>0</v>
      </c>
      <c r="S112" s="3"/>
      <c r="T112" s="8">
        <v>0.16</v>
      </c>
      <c r="U112" s="3"/>
      <c r="V112" s="7">
        <f t="shared" si="25"/>
        <v>5.9709590761959001E-8</v>
      </c>
      <c r="W112" s="3"/>
      <c r="X112" s="8">
        <f t="shared" si="26"/>
        <v>-0.16</v>
      </c>
      <c r="Y112" s="3"/>
      <c r="Z112" s="7">
        <f t="shared" si="27"/>
        <v>-1</v>
      </c>
    </row>
    <row r="113" spans="1:26" s="64" customFormat="1" ht="15" customHeight="1" x14ac:dyDescent="0.3">
      <c r="A113" s="36"/>
      <c r="B113" s="36"/>
      <c r="C113" s="36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2" customFormat="1" ht="15" customHeight="1" collapsed="1" x14ac:dyDescent="0.3">
      <c r="A114" s="11"/>
      <c r="B114" s="27" t="s">
        <v>290</v>
      </c>
      <c r="C114" s="11"/>
      <c r="D114" s="5">
        <f>SUM(OSRRefD25x_0)</f>
        <v>6860.4</v>
      </c>
      <c r="E114" s="5"/>
      <c r="F114" s="13">
        <f>IF(D$12=0,0,D114/D$12)</f>
        <v>0.13490055302069168</v>
      </c>
      <c r="G114" s="5"/>
      <c r="H114" s="5">
        <f>SUM(OSRRefH25x_0)</f>
        <v>505.94</v>
      </c>
      <c r="I114" s="5"/>
      <c r="J114" s="13">
        <f>IF(H$12=0,0,H114/H$12)</f>
        <v>1.9723887407689253E-2</v>
      </c>
      <c r="K114" s="5"/>
      <c r="L114" s="5">
        <f>+D114-H114</f>
        <v>6354.46</v>
      </c>
      <c r="M114" s="5"/>
      <c r="N114" s="13">
        <f>IF(H114=0,0,L114/H114)</f>
        <v>12.559710637625015</v>
      </c>
      <c r="O114" s="11"/>
      <c r="P114" s="5">
        <f>SUM(OSRRefP25x_0)</f>
        <v>357264.84</v>
      </c>
      <c r="Q114" s="5"/>
      <c r="R114" s="13">
        <f>IF(P$12=0,0,P114/P$12)</f>
        <v>0.16222937614341135</v>
      </c>
      <c r="S114" s="5"/>
      <c r="T114" s="5">
        <f>SUM(OSRRefT25x_0)</f>
        <v>331308.07</v>
      </c>
      <c r="U114" s="5"/>
      <c r="V114" s="13">
        <f>IF(T$12=0,0,T114/T$12)</f>
        <v>0.12363918297396542</v>
      </c>
      <c r="W114" s="5"/>
      <c r="X114" s="5">
        <f>+P114-T114</f>
        <v>25956.770000000019</v>
      </c>
      <c r="Y114" s="5"/>
      <c r="Z114" s="13">
        <f>IF(T114=0,0,X114/T114)</f>
        <v>7.8346325822972004E-2</v>
      </c>
    </row>
    <row r="115" spans="1:26" s="69" customFormat="1" ht="15" hidden="1" customHeight="1" outlineLevel="1" x14ac:dyDescent="0.3">
      <c r="A115" s="42"/>
      <c r="B115" s="12" t="str">
        <f>CONCATENATE("          ","9150"," - ","MISC. INCOME")</f>
        <v xml:space="preserve">          9150 - MISC. INCOME</v>
      </c>
      <c r="C115" s="12"/>
      <c r="D115" s="3">
        <f>--7356.49</f>
        <v>7356.49</v>
      </c>
      <c r="E115" s="3"/>
      <c r="F115" s="20">
        <f>IF(D$12=0,0,D115/D$12)</f>
        <v>0.14465549666071775</v>
      </c>
      <c r="G115" s="3"/>
      <c r="H115" s="3">
        <f>0</f>
        <v>0</v>
      </c>
      <c r="I115" s="3"/>
      <c r="J115" s="20">
        <f>IF(H$12=0,0,H115/H$12)</f>
        <v>0</v>
      </c>
      <c r="K115" s="3"/>
      <c r="L115" s="3">
        <f>+D115-H115</f>
        <v>7356.49</v>
      </c>
      <c r="M115" s="3"/>
      <c r="N115" s="20">
        <f>IF(H115=0,0,L115/H115)</f>
        <v>0</v>
      </c>
      <c r="O115" s="12"/>
      <c r="P115" s="3">
        <f>--29614.71</f>
        <v>29614.71</v>
      </c>
      <c r="Q115" s="3"/>
      <c r="R115" s="20">
        <f>IF(P$12=0,0,P115/P$12)</f>
        <v>1.3447659523305022E-2</v>
      </c>
      <c r="S115" s="3"/>
      <c r="T115" s="3">
        <f>--31463.11</f>
        <v>31463.11</v>
      </c>
      <c r="U115" s="3"/>
      <c r="V115" s="20">
        <f>IF(T$12=0,0,T115/T$12)</f>
        <v>1.1741558888740625E-2</v>
      </c>
      <c r="W115" s="3"/>
      <c r="X115" s="3">
        <f>+P115-T115</f>
        <v>-1848.4000000000015</v>
      </c>
      <c r="Y115" s="3"/>
      <c r="Z115" s="20">
        <f>IF(T115=0,0,X115/T115)</f>
        <v>-5.8748165708984314E-2</v>
      </c>
    </row>
    <row r="116" spans="1:26" s="69" customFormat="1" ht="15" hidden="1" customHeight="1" outlineLevel="1" x14ac:dyDescent="0.3">
      <c r="A116" s="42"/>
      <c r="B116" s="12" t="str">
        <f>CONCATENATE("          ","9151"," - ","MISC. INCOME")</f>
        <v xml:space="preserve">          9151 - MISC.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>
        <f>0</f>
        <v>0</v>
      </c>
      <c r="I116" s="3"/>
      <c r="J116" s="20">
        <f>IF(H$12=0,0,H116/H$12)</f>
        <v>0</v>
      </c>
      <c r="K116" s="3"/>
      <c r="L116" s="3">
        <f>+D116-H116</f>
        <v>0</v>
      </c>
      <c r="M116" s="3"/>
      <c r="N116" s="20">
        <f>IF(H116=0,0,L116/H116)</f>
        <v>0</v>
      </c>
      <c r="O116" s="12"/>
      <c r="P116" s="3">
        <f>--323761.7</f>
        <v>323761.7</v>
      </c>
      <c r="Q116" s="3"/>
      <c r="R116" s="20">
        <f>IF(P$12=0,0,P116/P$12)</f>
        <v>0.14701603048911921</v>
      </c>
      <c r="S116" s="3"/>
      <c r="T116" s="3">
        <f>--295628.46</f>
        <v>295628.46000000002</v>
      </c>
      <c r="U116" s="3"/>
      <c r="V116" s="20">
        <f>IF(T$12=0,0,T116/T$12)</f>
        <v>0.11032408977617605</v>
      </c>
      <c r="W116" s="3"/>
      <c r="X116" s="3">
        <f>+P116-T116</f>
        <v>28133.239999999991</v>
      </c>
      <c r="Y116" s="3"/>
      <c r="Z116" s="20">
        <f>IF(T116=0,0,X116/T116)</f>
        <v>9.5164180065748699E-2</v>
      </c>
    </row>
    <row r="117" spans="1:26" s="69" customFormat="1" ht="15" hidden="1" customHeight="1" outlineLevel="1" x14ac:dyDescent="0.3">
      <c r="A117" s="42"/>
      <c r="B117" s="12" t="str">
        <f>CONCATENATE("          ","9152"," - ","MISC. INCOME")</f>
        <v xml:space="preserve">          9152 - MISC. INCOME</v>
      </c>
      <c r="C117" s="12"/>
      <c r="D117" s="3">
        <f>-496.09</f>
        <v>-496.09</v>
      </c>
      <c r="E117" s="3"/>
      <c r="F117" s="20">
        <f>IF(D$12=0,0,D117/D$12)</f>
        <v>-9.754943640026081E-3</v>
      </c>
      <c r="G117" s="3"/>
      <c r="H117" s="3">
        <f>--505.94</f>
        <v>505.94</v>
      </c>
      <c r="I117" s="3"/>
      <c r="J117" s="20">
        <f>IF(H$12=0,0,H117/H$12)</f>
        <v>1.9723887407689253E-2</v>
      </c>
      <c r="K117" s="3"/>
      <c r="L117" s="3">
        <f>+D117-H117</f>
        <v>-1002.03</v>
      </c>
      <c r="M117" s="3"/>
      <c r="N117" s="20">
        <f>IF(H117=0,0,L117/H117)</f>
        <v>-1.9805312882950548</v>
      </c>
      <c r="O117" s="12"/>
      <c r="P117" s="3">
        <f>--3888.43</f>
        <v>3888.43</v>
      </c>
      <c r="Q117" s="3"/>
      <c r="R117" s="20">
        <f>IF(P$12=0,0,P117/P$12)</f>
        <v>1.7656861309870988E-3</v>
      </c>
      <c r="S117" s="3"/>
      <c r="T117" s="3">
        <f>--4216.5</f>
        <v>4216.5</v>
      </c>
      <c r="U117" s="3"/>
      <c r="V117" s="20">
        <f>IF(T$12=0,0,T117/T$12)</f>
        <v>1.5735343090487509E-3</v>
      </c>
      <c r="W117" s="3"/>
      <c r="X117" s="3">
        <f>+P117-T117</f>
        <v>-328.07000000000016</v>
      </c>
      <c r="Y117" s="3"/>
      <c r="Z117" s="20">
        <f>IF(T117=0,0,X117/T117)</f>
        <v>-7.7806237400687817E-2</v>
      </c>
    </row>
    <row r="118" spans="1:26" ht="15" customHeight="1" x14ac:dyDescent="0.3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11"/>
      <c r="B119" s="28" t="s">
        <v>291</v>
      </c>
      <c r="C119" s="28"/>
      <c r="D119" s="21">
        <f>+D59-D61+D114</f>
        <v>-19306.679999999993</v>
      </c>
      <c r="E119" s="15"/>
      <c r="F119" s="23">
        <f>IF(D$12=0,0,D119/D$12)</f>
        <v>-0.3796399348425058</v>
      </c>
      <c r="G119" s="15"/>
      <c r="H119" s="21">
        <f>+H59-H61+H114</f>
        <v>-57685.580000000016</v>
      </c>
      <c r="I119" s="15"/>
      <c r="J119" s="23">
        <f>IF(H$12=0,0,H119/H$12)</f>
        <v>-2.2488514151228434</v>
      </c>
      <c r="K119" s="16"/>
      <c r="L119" s="21">
        <f>+D119-H119</f>
        <v>38378.900000000023</v>
      </c>
      <c r="M119" s="16"/>
      <c r="N119" s="23">
        <f>IF(H119=0,0,L119/H119)</f>
        <v>-0.66531185089930645</v>
      </c>
      <c r="O119" s="27"/>
      <c r="P119" s="21">
        <f>+P59-P61+P114</f>
        <v>430219.96000000049</v>
      </c>
      <c r="Q119" s="15"/>
      <c r="R119" s="23">
        <f>IF(P$12=0,0,P119/P$12)</f>
        <v>0.19535735930589601</v>
      </c>
      <c r="S119" s="15"/>
      <c r="T119" s="21">
        <f>+T59-T61+T114</f>
        <v>644581.03000000061</v>
      </c>
      <c r="U119" s="15"/>
      <c r="V119" s="23">
        <f>IF(T$12=0,0,T119/T$12)</f>
        <v>0.24054793446388784</v>
      </c>
      <c r="W119" s="16"/>
      <c r="X119" s="21">
        <f>+P119-T119</f>
        <v>-214361.07000000012</v>
      </c>
      <c r="Y119" s="16"/>
      <c r="Z119" s="23">
        <f>IF(T119=0,0,X119/T119)</f>
        <v>-0.3325587630154116</v>
      </c>
    </row>
    <row r="120" spans="1:26" ht="15" customHeight="1" x14ac:dyDescent="0.3">
      <c r="A120" s="10"/>
      <c r="B120" s="11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48"/>
      <c r="B121" s="11" t="s">
        <v>292</v>
      </c>
      <c r="C121" s="11"/>
      <c r="D121" s="5">
        <v>-7284.08</v>
      </c>
      <c r="E121" s="5"/>
      <c r="F121" s="13">
        <f>IF(D$12=0,0,D121/D$12)</f>
        <v>-0.14323165125167042</v>
      </c>
      <c r="G121" s="5"/>
      <c r="H121" s="5">
        <v>13626.98</v>
      </c>
      <c r="I121" s="5"/>
      <c r="J121" s="13">
        <f>IF(H$12=0,0,H121/H$12)</f>
        <v>0.53124287312098928</v>
      </c>
      <c r="K121" s="5"/>
      <c r="L121" s="5">
        <f>+D121-H121</f>
        <v>-20911.059999999998</v>
      </c>
      <c r="M121" s="5"/>
      <c r="N121" s="13">
        <f>IF(H121=0,0,L121/H121)</f>
        <v>-1.5345336971214456</v>
      </c>
      <c r="O121" s="11"/>
      <c r="P121" s="5">
        <v>249476.07</v>
      </c>
      <c r="Q121" s="5"/>
      <c r="R121" s="13">
        <f>IF(P$12=0,0,P121/P$12)</f>
        <v>0.11328387982094744</v>
      </c>
      <c r="S121" s="5"/>
      <c r="T121" s="5">
        <v>560590.82999999996</v>
      </c>
      <c r="U121" s="5"/>
      <c r="V121" s="13">
        <f>IF(T$12=0,0,T121/T$12)</f>
        <v>0.20920405652629329</v>
      </c>
      <c r="W121" s="5"/>
      <c r="X121" s="5">
        <f>+P121-T121</f>
        <v>-311114.75999999995</v>
      </c>
      <c r="Y121" s="5"/>
      <c r="Z121" s="13">
        <f>IF(T121=0,0,X121/T121)</f>
        <v>-0.55497654144645925</v>
      </c>
    </row>
    <row r="122" spans="1:26" ht="15" customHeight="1" x14ac:dyDescent="0.3">
      <c r="A122" s="10"/>
      <c r="B122" s="11"/>
      <c r="C122" s="11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O122" s="11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8" t="s">
        <v>293</v>
      </c>
      <c r="C123" s="28"/>
      <c r="D123" s="34">
        <f>+D119-D121</f>
        <v>-12022.599999999993</v>
      </c>
      <c r="E123" s="15"/>
      <c r="F123" s="30">
        <f>IF(D$12=0,0,D123/D$12)</f>
        <v>-0.23640828359083535</v>
      </c>
      <c r="G123" s="15"/>
      <c r="H123" s="34">
        <f>+H119-H121</f>
        <v>-71312.560000000012</v>
      </c>
      <c r="I123" s="15"/>
      <c r="J123" s="30">
        <f>IF(H$12=0,0,H123/H$12)</f>
        <v>-2.7800942882438324</v>
      </c>
      <c r="K123" s="16"/>
      <c r="L123" s="34">
        <f>D123-H123</f>
        <v>59289.960000000021</v>
      </c>
      <c r="M123" s="16"/>
      <c r="N123" s="30">
        <f>IF(H123=0,0,L123/H123)</f>
        <v>-0.83140978251236541</v>
      </c>
      <c r="O123" s="27"/>
      <c r="P123" s="34">
        <f>+P119-P121</f>
        <v>180743.89000000048</v>
      </c>
      <c r="Q123" s="15"/>
      <c r="R123" s="30">
        <f>IF(P$12=0,0,P123/P$12)</f>
        <v>8.2073479484948586E-2</v>
      </c>
      <c r="S123" s="15"/>
      <c r="T123" s="34">
        <f>+T119-T121</f>
        <v>83990.200000000652</v>
      </c>
      <c r="U123" s="15"/>
      <c r="V123" s="30">
        <f>IF(T$12=0,0,T123/T$12)</f>
        <v>3.134387793759455E-2</v>
      </c>
      <c r="W123" s="16"/>
      <c r="X123" s="34">
        <f>P123-T123</f>
        <v>96753.689999999828</v>
      </c>
      <c r="Y123" s="16"/>
      <c r="Z123" s="30">
        <f>IF(T123=0,0,X123/T123)</f>
        <v>1.1519640386616423</v>
      </c>
    </row>
    <row r="124" spans="1:26" ht="15" customHeight="1" x14ac:dyDescent="0.3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ht="15" customHeight="1" x14ac:dyDescent="0.3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3">
      <c r="A126" s="11"/>
      <c r="B126" s="28" t="s">
        <v>296</v>
      </c>
      <c r="C126" s="28"/>
      <c r="D126" s="29">
        <f>SUM(D123:D125)</f>
        <v>-12022.599999999993</v>
      </c>
      <c r="E126" s="15"/>
      <c r="F126" s="35">
        <f>IF(D$12=0,0,D126/D$12)</f>
        <v>-0.23640828359083535</v>
      </c>
      <c r="G126" s="15"/>
      <c r="H126" s="29">
        <f>SUM(H123:H125)</f>
        <v>-71312.560000000012</v>
      </c>
      <c r="I126" s="15"/>
      <c r="J126" s="35">
        <f>IF(H$12=0,0,H126/H$12)</f>
        <v>-2.7800942882438324</v>
      </c>
      <c r="K126" s="16"/>
      <c r="L126" s="29">
        <f>+D126-H126</f>
        <v>59289.960000000021</v>
      </c>
      <c r="M126" s="16"/>
      <c r="N126" s="35">
        <f>IF(H126=0,0,L126/H126)</f>
        <v>-0.83140978251236541</v>
      </c>
      <c r="O126" s="27"/>
      <c r="P126" s="29">
        <f>SUM(P123:P125)</f>
        <v>180743.89000000048</v>
      </c>
      <c r="Q126" s="15"/>
      <c r="R126" s="35">
        <f>IF(P$12=0,0,P126/P$12)</f>
        <v>8.2073479484948586E-2</v>
      </c>
      <c r="S126" s="15"/>
      <c r="T126" s="29">
        <f>SUM(T123:T125)</f>
        <v>83990.200000000652</v>
      </c>
      <c r="U126" s="15"/>
      <c r="V126" s="35">
        <f>IF(T$12=0,0,T126/T$12)</f>
        <v>3.134387793759455E-2</v>
      </c>
      <c r="W126" s="16"/>
      <c r="X126" s="29">
        <f>+P126-T126</f>
        <v>96753.689999999828</v>
      </c>
      <c r="Y126" s="16"/>
      <c r="Z126" s="35">
        <f>IF(T126=0,0,X126/T126)</f>
        <v>1.1519640386616423</v>
      </c>
    </row>
    <row r="127" spans="1:26" ht="15" customHeight="1" x14ac:dyDescent="0.3">
      <c r="A127" s="10"/>
      <c r="C127" s="10"/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3">
      <c r="A128" s="10"/>
      <c r="B128" s="56">
        <v>44694.890797418979</v>
      </c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  <row r="129" spans="1:24" ht="15" customHeight="1" x14ac:dyDescent="0.3">
      <c r="A129" s="10"/>
      <c r="B129" s="52" t="s">
        <v>297</v>
      </c>
      <c r="D129" s="18"/>
      <c r="E129" s="18"/>
      <c r="G129" s="18"/>
      <c r="H129" s="18"/>
      <c r="I129" s="18"/>
      <c r="J129" s="40"/>
      <c r="K129" s="18"/>
      <c r="L129" s="18"/>
      <c r="M129" s="18"/>
      <c r="P129" s="18"/>
      <c r="Q129" s="18"/>
      <c r="R129" s="40"/>
      <c r="S129" s="18"/>
      <c r="T129" s="18"/>
      <c r="U129" s="18"/>
      <c r="V129" s="40"/>
      <c r="W129" s="18"/>
      <c r="X129" s="18"/>
    </row>
    <row r="130" spans="1:24" ht="15" customHeight="1" x14ac:dyDescent="0.3">
      <c r="A130" s="10"/>
      <c r="B130" s="58"/>
      <c r="D130" s="18"/>
      <c r="E130" s="18"/>
      <c r="G130" s="18"/>
      <c r="H130" s="18"/>
      <c r="I130" s="18"/>
      <c r="J130" s="40"/>
      <c r="K130" s="18"/>
      <c r="L130" s="18"/>
      <c r="M130" s="18"/>
      <c r="P130" s="18"/>
      <c r="Q130" s="18"/>
      <c r="R130" s="40"/>
      <c r="S130" s="18"/>
      <c r="T130" s="18"/>
      <c r="U130" s="18"/>
      <c r="V130" s="40"/>
      <c r="W130" s="18"/>
      <c r="X130" s="18"/>
    </row>
    <row r="131" spans="1:24" ht="15" customHeight="1" x14ac:dyDescent="0.3">
      <c r="D131" s="18"/>
      <c r="E131" s="18"/>
      <c r="G131" s="18"/>
      <c r="H131" s="18"/>
      <c r="I131" s="18"/>
      <c r="J131" s="40"/>
      <c r="K131" s="18"/>
      <c r="L131" s="18"/>
      <c r="M131" s="18"/>
      <c r="P131" s="18"/>
      <c r="Q131" s="18"/>
      <c r="R131" s="40"/>
      <c r="S131" s="18"/>
      <c r="T131" s="18"/>
      <c r="U131" s="18"/>
      <c r="V131" s="40"/>
      <c r="W131" s="18"/>
      <c r="X13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38D17-9938-E289-5E0C-0FFD190EC5CA}">
  <sheetPr>
    <tabColor rgb="FF92D050"/>
    <outlinePr summaryBelow="0" summaryRight="0"/>
  </sheetPr>
  <dimension ref="A2:Z13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","311"," - ","Textbooks")</f>
        <v>Department 311 - Textbooks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54654.67</v>
      </c>
      <c r="E12" s="5"/>
      <c r="F12" s="13"/>
      <c r="G12" s="5"/>
      <c r="H12" s="5">
        <f>SUM(OSRRefH13x_0)</f>
        <v>36803.30999999999</v>
      </c>
      <c r="I12" s="5"/>
      <c r="J12" s="13"/>
      <c r="K12" s="5"/>
      <c r="L12" s="5">
        <f t="shared" ref="L12:L38" si="0">+D12-H12</f>
        <v>17851.360000000008</v>
      </c>
      <c r="M12" s="5"/>
      <c r="N12" s="13">
        <f t="shared" ref="N12:N38" si="1">IF(H12=0,0,L12/H12)</f>
        <v>0.48504767641823554</v>
      </c>
      <c r="O12" s="11"/>
      <c r="P12" s="5">
        <f>SUM(OSRRefP13x_0)</f>
        <v>1767208.1799999997</v>
      </c>
      <c r="Q12" s="5"/>
      <c r="R12" s="13"/>
      <c r="S12" s="5"/>
      <c r="T12" s="5">
        <f>SUM(OSRRefT13x_0)</f>
        <v>1914556.7099999997</v>
      </c>
      <c r="U12" s="5"/>
      <c r="V12" s="13"/>
      <c r="W12" s="5"/>
      <c r="X12" s="5">
        <f t="shared" ref="X12:X38" si="2">+P12-T12</f>
        <v>-147348.53000000003</v>
      </c>
      <c r="Y12" s="5"/>
      <c r="Z12" s="13">
        <f t="shared" ref="Z12:Z38" si="3">IF(T12=0,0,X12/T12)</f>
        <v>-7.6962217535985158E-2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--38546.36</f>
        <v>38546.36</v>
      </c>
      <c r="E13" s="3"/>
      <c r="F13" s="20"/>
      <c r="G13" s="3"/>
      <c r="H13" s="3">
        <f>-219.91</f>
        <v>-219.91</v>
      </c>
      <c r="I13" s="3"/>
      <c r="J13" s="20"/>
      <c r="K13" s="3"/>
      <c r="L13" s="3">
        <f t="shared" si="0"/>
        <v>38766.270000000004</v>
      </c>
      <c r="M13" s="3"/>
      <c r="N13" s="20">
        <f t="shared" si="1"/>
        <v>-176.28243372288665</v>
      </c>
      <c r="O13" s="12"/>
      <c r="P13" s="3">
        <f>--1394155.2</f>
        <v>1394155.2</v>
      </c>
      <c r="Q13" s="3"/>
      <c r="R13" s="20"/>
      <c r="S13" s="3"/>
      <c r="T13" s="3">
        <f>-8578.72</f>
        <v>-8578.7199999999993</v>
      </c>
      <c r="U13" s="3"/>
      <c r="V13" s="20"/>
      <c r="W13" s="3"/>
      <c r="X13" s="3">
        <f t="shared" si="2"/>
        <v>1402733.92</v>
      </c>
      <c r="Y13" s="3"/>
      <c r="Z13" s="20">
        <f t="shared" si="3"/>
        <v>-163.51319544174422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--30794.67</f>
        <v>30794.67</v>
      </c>
      <c r="I14" s="3"/>
      <c r="J14" s="20"/>
      <c r="K14" s="3"/>
      <c r="L14" s="3">
        <f t="shared" si="0"/>
        <v>-30794.67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--999804.98</f>
        <v>999804.98</v>
      </c>
      <c r="U14" s="3"/>
      <c r="V14" s="20"/>
      <c r="W14" s="3"/>
      <c r="X14" s="3">
        <f t="shared" si="2"/>
        <v>-999804.98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--1290.6</f>
        <v>1290.5999999999999</v>
      </c>
      <c r="I15" s="3"/>
      <c r="J15" s="20"/>
      <c r="K15" s="3"/>
      <c r="L15" s="3">
        <f t="shared" si="0"/>
        <v>-1290.5999999999999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--351532.97</f>
        <v>351532.97</v>
      </c>
      <c r="U15" s="3"/>
      <c r="V15" s="20"/>
      <c r="W15" s="3"/>
      <c r="X15" s="3">
        <f t="shared" si="2"/>
        <v>-351532.97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","4003"," - ","TAXABLE SALES-RENTAL TEXT")</f>
        <v xml:space="preserve">          4003 - TAXABLE SALES-RENTAL TEXT</v>
      </c>
      <c r="C16" s="12"/>
      <c r="D16" s="3">
        <f>0</f>
        <v>0</v>
      </c>
      <c r="E16" s="3"/>
      <c r="F16" s="20"/>
      <c r="G16" s="3"/>
      <c r="H16" s="3">
        <f>--20</f>
        <v>20</v>
      </c>
      <c r="I16" s="3"/>
      <c r="J16" s="20"/>
      <c r="K16" s="3"/>
      <c r="L16" s="3">
        <f t="shared" si="0"/>
        <v>-20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--17997.88</f>
        <v>17997.88</v>
      </c>
      <c r="U16" s="3"/>
      <c r="V16" s="20"/>
      <c r="W16" s="3"/>
      <c r="X16" s="3">
        <f t="shared" si="2"/>
        <v>-17997.88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","4004"," - ","TAXABLE SALES-DIGITAL TEXT")</f>
        <v xml:space="preserve">          4004 - TAXABLE SALES-DIGITAL TEXT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--2659.66</f>
        <v>2659.66</v>
      </c>
      <c r="U17" s="3"/>
      <c r="V17" s="20"/>
      <c r="W17" s="3"/>
      <c r="X17" s="3">
        <f t="shared" si="2"/>
        <v>-2659.66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","4013"," - ","TAXABLE SALES-TRADE BOOKS")</f>
        <v xml:space="preserve">          4013 - TAXABLE SALES-TRADE BOOKS</v>
      </c>
      <c r="C18" s="12"/>
      <c r="D18" s="3">
        <f>0</f>
        <v>0</v>
      </c>
      <c r="E18" s="3"/>
      <c r="F18" s="20"/>
      <c r="G18" s="3"/>
      <c r="H18" s="3">
        <f>--61.81</f>
        <v>61.81</v>
      </c>
      <c r="I18" s="3"/>
      <c r="J18" s="20"/>
      <c r="K18" s="3"/>
      <c r="L18" s="3">
        <f t="shared" si="0"/>
        <v>-61.81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--1263.83</f>
        <v>1263.83</v>
      </c>
      <c r="U18" s="3"/>
      <c r="V18" s="20"/>
      <c r="W18" s="3"/>
      <c r="X18" s="3">
        <f t="shared" si="2"/>
        <v>-1263.83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","4014"," - ","TAXABLE SALES-REMAINDERS")</f>
        <v xml:space="preserve">          4014 - TAXABLE SALES-REMAINDERS</v>
      </c>
      <c r="C19" s="12"/>
      <c r="D19" s="3">
        <f>0</f>
        <v>0</v>
      </c>
      <c r="E19" s="3"/>
      <c r="F19" s="20"/>
      <c r="G19" s="3"/>
      <c r="H19" s="3">
        <f>--36.85</f>
        <v>36.85</v>
      </c>
      <c r="I19" s="3"/>
      <c r="J19" s="20"/>
      <c r="K19" s="3"/>
      <c r="L19" s="3">
        <f t="shared" si="0"/>
        <v>-36.85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--484.55</f>
        <v>484.55</v>
      </c>
      <c r="U19" s="3"/>
      <c r="V19" s="20"/>
      <c r="W19" s="3"/>
      <c r="X19" s="3">
        <f t="shared" si="2"/>
        <v>-484.55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","4018"," - ","TAXABLE SALES-STUDY GUIDES")</f>
        <v xml:space="preserve">          4018 - TAXABLE SALES-STUDY GUIDES</v>
      </c>
      <c r="C20" s="12"/>
      <c r="D20" s="3">
        <f>0</f>
        <v>0</v>
      </c>
      <c r="E20" s="3"/>
      <c r="F20" s="20"/>
      <c r="G20" s="3"/>
      <c r="H20" s="3">
        <f>--72.96</f>
        <v>72.959999999999994</v>
      </c>
      <c r="I20" s="3"/>
      <c r="J20" s="20"/>
      <c r="K20" s="3"/>
      <c r="L20" s="3">
        <f t="shared" si="0"/>
        <v>-72.959999999999994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--473.1</f>
        <v>473.1</v>
      </c>
      <c r="U20" s="3"/>
      <c r="V20" s="20"/>
      <c r="W20" s="3"/>
      <c r="X20" s="3">
        <f t="shared" si="2"/>
        <v>-473.1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","4100"," - ","NON-TAXABLE SALES")</f>
        <v xml:space="preserve">          4100 - NON-TAXABLE SALES</v>
      </c>
      <c r="C21" s="12"/>
      <c r="D21" s="3">
        <f>--22133.53</f>
        <v>22133.53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22133.53</v>
      </c>
      <c r="M21" s="3"/>
      <c r="N21" s="20">
        <f t="shared" si="1"/>
        <v>0</v>
      </c>
      <c r="O21" s="12"/>
      <c r="P21" s="3">
        <f>--471368.12</f>
        <v>471368.12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471368.12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","4101"," - ","NON-TAXABLE SALES-NEW TEXT")</f>
        <v xml:space="preserve">          4101 - NON-TAXABLE SALES-NEW TEXT</v>
      </c>
      <c r="C22" s="12"/>
      <c r="D22" s="3">
        <f>0</f>
        <v>0</v>
      </c>
      <c r="E22" s="3"/>
      <c r="F22" s="20"/>
      <c r="G22" s="3"/>
      <c r="H22" s="3">
        <f>--741.03</f>
        <v>741.03</v>
      </c>
      <c r="I22" s="3"/>
      <c r="J22" s="20"/>
      <c r="K22" s="3"/>
      <c r="L22" s="3">
        <f t="shared" si="0"/>
        <v>-741.03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--112796.74</f>
        <v>112796.74</v>
      </c>
      <c r="U22" s="3"/>
      <c r="V22" s="20"/>
      <c r="W22" s="3"/>
      <c r="X22" s="3">
        <f t="shared" si="2"/>
        <v>-112796.74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","4102"," - ","NON-TAXABLE SALES-USED TEXT")</f>
        <v xml:space="preserve">          4102 - NON-TAXABLE SALES-USED TEXT</v>
      </c>
      <c r="C23" s="12"/>
      <c r="D23" s="3">
        <f>0</f>
        <v>0</v>
      </c>
      <c r="E23" s="3"/>
      <c r="F23" s="20"/>
      <c r="G23" s="3"/>
      <c r="H23" s="3">
        <f>--743.99</f>
        <v>743.99</v>
      </c>
      <c r="I23" s="3"/>
      <c r="J23" s="20"/>
      <c r="K23" s="3"/>
      <c r="L23" s="3">
        <f t="shared" si="0"/>
        <v>-743.99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--48703.42</f>
        <v>48703.42</v>
      </c>
      <c r="U23" s="3"/>
      <c r="V23" s="20"/>
      <c r="W23" s="3"/>
      <c r="X23" s="3">
        <f t="shared" si="2"/>
        <v>-48703.42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","4103"," - ","NON-TAXABLE SALES-RENTAL TEXT")</f>
        <v xml:space="preserve">          4103 - NON-TAXABLE SALES-RENTAL TEXT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--1138.95</f>
        <v>1138.95</v>
      </c>
      <c r="U24" s="3"/>
      <c r="V24" s="20"/>
      <c r="W24" s="3"/>
      <c r="X24" s="3">
        <f t="shared" si="2"/>
        <v>-1138.95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","4104"," - ","NON-TAXABLE SALES-DIGITAL TEXT")</f>
        <v xml:space="preserve">          4104 - NON-TAXABLE SALES-DIGITAL TEXT</v>
      </c>
      <c r="C25" s="12"/>
      <c r="D25" s="3">
        <f>0</f>
        <v>0</v>
      </c>
      <c r="E25" s="3"/>
      <c r="F25" s="20"/>
      <c r="G25" s="3"/>
      <c r="H25" s="3">
        <f>--3431.99</f>
        <v>3431.99</v>
      </c>
      <c r="I25" s="3"/>
      <c r="J25" s="20"/>
      <c r="K25" s="3"/>
      <c r="L25" s="3">
        <f t="shared" si="0"/>
        <v>-3431.99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--480403.17</f>
        <v>480403.17</v>
      </c>
      <c r="U25" s="3"/>
      <c r="V25" s="20"/>
      <c r="W25" s="3"/>
      <c r="X25" s="3">
        <f t="shared" si="2"/>
        <v>-480403.17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","4113"," - ","NON-TAXABLE SALES-TRADE BOOKS")</f>
        <v xml:space="preserve">          4113 - NON-TAXABLE SALES-TRADE BOOKS</v>
      </c>
      <c r="C26" s="12"/>
      <c r="D26" s="3">
        <f>0</f>
        <v>0</v>
      </c>
      <c r="E26" s="3"/>
      <c r="F26" s="20"/>
      <c r="G26" s="3"/>
      <c r="H26" s="3">
        <f>--738</f>
        <v>738</v>
      </c>
      <c r="I26" s="3"/>
      <c r="J26" s="20"/>
      <c r="K26" s="3"/>
      <c r="L26" s="3">
        <f t="shared" si="0"/>
        <v>-738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--12127.25</f>
        <v>12127.25</v>
      </c>
      <c r="U26" s="3"/>
      <c r="V26" s="20"/>
      <c r="W26" s="3"/>
      <c r="X26" s="3">
        <f t="shared" si="2"/>
        <v>-12127.25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","4118"," - ","NON-TAXABLE SALES-STUDY GUIDES")</f>
        <v xml:space="preserve">          4118 - NON-TAXABLE SALES-STUDY GUIDES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--771.73</f>
        <v>771.73</v>
      </c>
      <c r="U27" s="3"/>
      <c r="V27" s="20"/>
      <c r="W27" s="3"/>
      <c r="X27" s="3">
        <f t="shared" si="2"/>
        <v>-771.73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--2760.42</f>
        <v>2760.42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2760.42</v>
      </c>
      <c r="M28" s="3"/>
      <c r="N28" s="20">
        <f t="shared" si="1"/>
        <v>0</v>
      </c>
      <c r="O28" s="12"/>
      <c r="P28" s="3">
        <f>-52751.87</f>
        <v>-52751.87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-52751.87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","4201"," - ","SALES RETURN TAXABLE-NEW TEXT")</f>
        <v xml:space="preserve">          4201 - SALES RETURN TAXABLE-NEW TEXT</v>
      </c>
      <c r="C29" s="12"/>
      <c r="D29" s="3">
        <f>0</f>
        <v>0</v>
      </c>
      <c r="E29" s="3"/>
      <c r="F29" s="20"/>
      <c r="G29" s="3"/>
      <c r="H29" s="3">
        <f>-376.85</f>
        <v>-376.85</v>
      </c>
      <c r="I29" s="3"/>
      <c r="J29" s="20"/>
      <c r="K29" s="3"/>
      <c r="L29" s="3">
        <f t="shared" si="0"/>
        <v>376.85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-51638.02</f>
        <v>-51638.02</v>
      </c>
      <c r="U29" s="3"/>
      <c r="V29" s="20"/>
      <c r="W29" s="3"/>
      <c r="X29" s="3">
        <f t="shared" si="2"/>
        <v>51638.02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","4202"," - ","SALES RETURN TAXABLE-USED TEXT")</f>
        <v xml:space="preserve">          4202 - SALES RETURN TAXABLE-USED TEXT</v>
      </c>
      <c r="C30" s="12"/>
      <c r="D30" s="3">
        <f>0</f>
        <v>0</v>
      </c>
      <c r="E30" s="3"/>
      <c r="F30" s="20"/>
      <c r="G30" s="3"/>
      <c r="H30" s="3">
        <f>-206.95</f>
        <v>-206.95</v>
      </c>
      <c r="I30" s="3"/>
      <c r="J30" s="20"/>
      <c r="K30" s="3"/>
      <c r="L30" s="3">
        <f t="shared" si="0"/>
        <v>206.95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-20096.26</f>
        <v>-20096.259999999998</v>
      </c>
      <c r="U30" s="3"/>
      <c r="V30" s="20"/>
      <c r="W30" s="3"/>
      <c r="X30" s="3">
        <f t="shared" si="2"/>
        <v>20096.259999999998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","4204"," - ","SALES RETURN TAXABLE-DIGITAL T")</f>
        <v xml:space="preserve">          4204 - SALES RETURN TAXABLE-DIGITAL T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-1763.1</f>
        <v>-1763.1</v>
      </c>
      <c r="U31" s="3"/>
      <c r="V31" s="20"/>
      <c r="W31" s="3"/>
      <c r="X31" s="3">
        <f t="shared" si="2"/>
        <v>1763.1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","4213"," - ","NON-TAXABLE SALES-TRADE BOOKS")</f>
        <v xml:space="preserve">          4213 - NON-TAXABLE SALES-TRADE BOOKS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-69.93</f>
        <v>-69.930000000000007</v>
      </c>
      <c r="U32" s="3"/>
      <c r="V32" s="20"/>
      <c r="W32" s="3"/>
      <c r="X32" s="3">
        <f t="shared" si="2"/>
        <v>69.930000000000007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","4218"," - ","SALES RETURN TAXABLE-STUDY GUI")</f>
        <v xml:space="preserve">          4218 - SALES RETURN TAXABLE-STUDY GUI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-5.21</f>
        <v>-5.21</v>
      </c>
      <c r="U33" s="3"/>
      <c r="V33" s="20"/>
      <c r="W33" s="3"/>
      <c r="X33" s="3">
        <f t="shared" si="2"/>
        <v>5.21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","4300"," - ","NON-TAX RETURNS")</f>
        <v xml:space="preserve">          4300 - NON-TAX RETURNS</v>
      </c>
      <c r="C34" s="12"/>
      <c r="D34" s="3">
        <f>-8718.04</f>
        <v>-8718.0400000000009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-8718.0400000000009</v>
      </c>
      <c r="M34" s="3"/>
      <c r="N34" s="20">
        <f t="shared" si="1"/>
        <v>0</v>
      </c>
      <c r="O34" s="12"/>
      <c r="P34" s="3">
        <f>-38066.71</f>
        <v>-38066.71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-38066.71</v>
      </c>
      <c r="Y34" s="3"/>
      <c r="Z34" s="20">
        <f t="shared" si="3"/>
        <v>0</v>
      </c>
    </row>
    <row r="35" spans="1:26" s="69" customFormat="1" ht="15" hidden="1" customHeight="1" outlineLevel="1" x14ac:dyDescent="0.3">
      <c r="A35" s="42"/>
      <c r="B35" s="12" t="str">
        <f>CONCATENATE("          ","4301"," - ","SALES RETURN NON TAXABLE-NEW T")</f>
        <v xml:space="preserve">          4301 - SALES RETURN NON TAXABLE-NEW T</v>
      </c>
      <c r="C35" s="12"/>
      <c r="D35" s="3">
        <f>0</f>
        <v>0</v>
      </c>
      <c r="E35" s="3"/>
      <c r="F35" s="20"/>
      <c r="G35" s="3"/>
      <c r="H35" s="3">
        <f>-225.91</f>
        <v>-225.91</v>
      </c>
      <c r="I35" s="3"/>
      <c r="J35" s="20"/>
      <c r="K35" s="3"/>
      <c r="L35" s="3">
        <f t="shared" si="0"/>
        <v>225.91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-3463.2</f>
        <v>-3463.2</v>
      </c>
      <c r="U35" s="3"/>
      <c r="V35" s="20"/>
      <c r="W35" s="3"/>
      <c r="X35" s="3">
        <f t="shared" si="2"/>
        <v>3463.2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","4302"," - ","SALES RETURN NON TAXABLE-TEXT")</f>
        <v xml:space="preserve">          4302 - SALES RETURN NON TAXABLE-TEXT</v>
      </c>
      <c r="C36" s="12"/>
      <c r="D36" s="3">
        <f>0</f>
        <v>0</v>
      </c>
      <c r="E36" s="3"/>
      <c r="F36" s="20"/>
      <c r="G36" s="3"/>
      <c r="H36" s="3">
        <f>-98.97</f>
        <v>-98.97</v>
      </c>
      <c r="I36" s="3"/>
      <c r="J36" s="20"/>
      <c r="K36" s="3"/>
      <c r="L36" s="3">
        <f t="shared" si="0"/>
        <v>98.97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-2443.32</f>
        <v>-2443.3200000000002</v>
      </c>
      <c r="U36" s="3"/>
      <c r="V36" s="20"/>
      <c r="W36" s="3"/>
      <c r="X36" s="3">
        <f t="shared" si="2"/>
        <v>2443.3200000000002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","4304"," - ","SALES RETURN NON TAXABLE-DIGIT")</f>
        <v xml:space="preserve">          4304 - SALES RETURN NON TAXABLE-DIGIT</v>
      </c>
      <c r="C37" s="12"/>
      <c r="D37" s="3">
        <f>0</f>
        <v>0</v>
      </c>
      <c r="E37" s="3"/>
      <c r="F37" s="20"/>
      <c r="G37" s="3"/>
      <c r="H37" s="3">
        <f>0</f>
        <v>0</v>
      </c>
      <c r="I37" s="3"/>
      <c r="J37" s="20"/>
      <c r="K37" s="3"/>
      <c r="L37" s="3">
        <f t="shared" si="0"/>
        <v>0</v>
      </c>
      <c r="M37" s="3"/>
      <c r="N37" s="20">
        <f t="shared" si="1"/>
        <v>0</v>
      </c>
      <c r="O37" s="12"/>
      <c r="P37" s="3">
        <f>0</f>
        <v>0</v>
      </c>
      <c r="Q37" s="3"/>
      <c r="R37" s="20"/>
      <c r="S37" s="3"/>
      <c r="T37" s="3">
        <f>-27543.76</f>
        <v>-27543.759999999998</v>
      </c>
      <c r="U37" s="3"/>
      <c r="V37" s="20"/>
      <c r="W37" s="3"/>
      <c r="X37" s="3">
        <f t="shared" si="2"/>
        <v>27543.759999999998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","4500"," - ","SALES DISCOUNT")</f>
        <v xml:space="preserve">          4500 - SALES DISCOUNT</v>
      </c>
      <c r="C38" s="12"/>
      <c r="D38" s="3">
        <f>-67.6</f>
        <v>-67.599999999999994</v>
      </c>
      <c r="E38" s="3"/>
      <c r="F38" s="20"/>
      <c r="G38" s="3"/>
      <c r="H38" s="3">
        <f>0</f>
        <v>0</v>
      </c>
      <c r="I38" s="3"/>
      <c r="J38" s="20"/>
      <c r="K38" s="3"/>
      <c r="L38" s="3">
        <f t="shared" si="0"/>
        <v>-67.599999999999994</v>
      </c>
      <c r="M38" s="3"/>
      <c r="N38" s="20">
        <f t="shared" si="1"/>
        <v>0</v>
      </c>
      <c r="O38" s="12"/>
      <c r="P38" s="3">
        <f>-7496.56</f>
        <v>-7496.56</v>
      </c>
      <c r="Q38" s="3"/>
      <c r="R38" s="20"/>
      <c r="S38" s="3"/>
      <c r="T38" s="3">
        <f>0</f>
        <v>0</v>
      </c>
      <c r="U38" s="3"/>
      <c r="V38" s="20"/>
      <c r="W38" s="3"/>
      <c r="X38" s="3">
        <f t="shared" si="2"/>
        <v>-7496.56</v>
      </c>
      <c r="Y38" s="3"/>
      <c r="Z38" s="20">
        <f t="shared" si="3"/>
        <v>0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collapsed="1" x14ac:dyDescent="0.3">
      <c r="A40" s="11"/>
      <c r="B40" s="27" t="s">
        <v>287</v>
      </c>
      <c r="C40" s="11"/>
      <c r="D40" s="5">
        <f>SUM(OSRRefD16x_0)</f>
        <v>49207.610000000015</v>
      </c>
      <c r="E40" s="5"/>
      <c r="F40" s="13">
        <f t="shared" ref="F40:F57" si="4">IF(D$12=0,0,D40/D$12)</f>
        <v>0.90033678732302325</v>
      </c>
      <c r="G40" s="5"/>
      <c r="H40" s="5">
        <f>SUM(OSRRefH16x_0)</f>
        <v>30994.000000000022</v>
      </c>
      <c r="I40" s="5"/>
      <c r="J40" s="13">
        <f t="shared" ref="J40:J57" si="5">IF(H$12=0,0,H40/H$12)</f>
        <v>0.84215251291256221</v>
      </c>
      <c r="K40" s="5"/>
      <c r="L40" s="5">
        <f t="shared" ref="L40:L57" si="6">+D40-H40</f>
        <v>18213.609999999993</v>
      </c>
      <c r="M40" s="5"/>
      <c r="N40" s="13">
        <f t="shared" ref="N40:N57" si="7">IF(H40=0,0,L40/H40)</f>
        <v>0.5876495450732393</v>
      </c>
      <c r="O40" s="11"/>
      <c r="P40" s="5">
        <f>SUM(OSRRefP16x_0)</f>
        <v>1378380.4499999997</v>
      </c>
      <c r="Q40" s="5"/>
      <c r="R40" s="13">
        <f t="shared" ref="R40:R57" si="8">IF(P$12=0,0,P40/P$12)</f>
        <v>0.7799762730840234</v>
      </c>
      <c r="S40" s="5"/>
      <c r="T40" s="5">
        <f>SUM(OSRRefT16x_0)</f>
        <v>1361321.9999999998</v>
      </c>
      <c r="U40" s="5"/>
      <c r="V40" s="13">
        <f t="shared" ref="V40:V57" si="9">IF(T$12=0,0,T40/T$12)</f>
        <v>0.71103770020998747</v>
      </c>
      <c r="W40" s="5"/>
      <c r="X40" s="5">
        <f t="shared" ref="X40:X57" si="10">+P40-T40</f>
        <v>17058.449999999953</v>
      </c>
      <c r="Y40" s="5"/>
      <c r="Z40" s="13">
        <f t="shared" ref="Z40:Z57" si="11">IF(T40=0,0,X40/T40)</f>
        <v>1.2530797269125126E-2</v>
      </c>
    </row>
    <row r="41" spans="1:26" s="69" customFormat="1" ht="15" hidden="1" customHeight="1" outlineLevel="1" x14ac:dyDescent="0.3">
      <c r="A41" s="42"/>
      <c r="B41" s="12" t="str">
        <f>CONCATENATE("          ","5000"," - ","PURCHASES @ COST")</f>
        <v xml:space="preserve">          5000 - PURCHASES @ COST</v>
      </c>
      <c r="C41" s="12"/>
      <c r="D41" s="3">
        <v>-163387.74</v>
      </c>
      <c r="E41" s="3"/>
      <c r="F41" s="20">
        <f t="shared" si="4"/>
        <v>-2.989456161751594</v>
      </c>
      <c r="G41" s="3"/>
      <c r="H41" s="3"/>
      <c r="I41" s="3"/>
      <c r="J41" s="20">
        <f t="shared" si="5"/>
        <v>0</v>
      </c>
      <c r="K41" s="3"/>
      <c r="L41" s="3">
        <f t="shared" si="6"/>
        <v>-163387.74</v>
      </c>
      <c r="M41" s="3"/>
      <c r="N41" s="20">
        <f t="shared" si="7"/>
        <v>0</v>
      </c>
      <c r="O41" s="12"/>
      <c r="P41" s="3">
        <v>1121910.8</v>
      </c>
      <c r="Q41" s="3"/>
      <c r="R41" s="20">
        <f t="shared" si="8"/>
        <v>0.63484925697888084</v>
      </c>
      <c r="S41" s="3"/>
      <c r="T41" s="3">
        <v>0</v>
      </c>
      <c r="U41" s="3"/>
      <c r="V41" s="20">
        <f t="shared" si="9"/>
        <v>0</v>
      </c>
      <c r="W41" s="3"/>
      <c r="X41" s="3">
        <f t="shared" si="10"/>
        <v>1121910.8</v>
      </c>
      <c r="Y41" s="3"/>
      <c r="Z41" s="20">
        <f t="shared" si="11"/>
        <v>0</v>
      </c>
    </row>
    <row r="42" spans="1:26" s="69" customFormat="1" ht="15" hidden="1" customHeight="1" outlineLevel="1" x14ac:dyDescent="0.3">
      <c r="A42" s="42"/>
      <c r="B42" s="12" t="str">
        <f>CONCATENATE("          ","5001"," - ","PURCHASES @ COST-NEW TEXT")</f>
        <v xml:space="preserve">          5001 - PURCHASES @ COST-NEW TEXT</v>
      </c>
      <c r="C42" s="12"/>
      <c r="D42" s="3"/>
      <c r="E42" s="3"/>
      <c r="F42" s="20">
        <f t="shared" si="4"/>
        <v>0</v>
      </c>
      <c r="G42" s="3"/>
      <c r="H42" s="3">
        <v>-29098.82</v>
      </c>
      <c r="I42" s="3"/>
      <c r="J42" s="20">
        <f t="shared" si="5"/>
        <v>-0.79065768812642145</v>
      </c>
      <c r="K42" s="3"/>
      <c r="L42" s="3">
        <f t="shared" si="6"/>
        <v>29098.82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705987.44</v>
      </c>
      <c r="U42" s="3"/>
      <c r="V42" s="20">
        <f t="shared" si="9"/>
        <v>0.36874720728434313</v>
      </c>
      <c r="W42" s="3"/>
      <c r="X42" s="3">
        <f t="shared" si="10"/>
        <v>-705987.44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","5002"," - ","PURCHASES @ COST-USED TEXT")</f>
        <v xml:space="preserve">          5002 - PURCHASES @ COST-USED TEXT</v>
      </c>
      <c r="C43" s="12"/>
      <c r="D43" s="3"/>
      <c r="E43" s="3"/>
      <c r="F43" s="20">
        <f t="shared" si="4"/>
        <v>0</v>
      </c>
      <c r="G43" s="3"/>
      <c r="H43" s="3">
        <v>-122237.26</v>
      </c>
      <c r="I43" s="3"/>
      <c r="J43" s="20">
        <f t="shared" si="5"/>
        <v>-3.3213659314882285</v>
      </c>
      <c r="K43" s="3"/>
      <c r="L43" s="3">
        <f t="shared" si="6"/>
        <v>122237.26</v>
      </c>
      <c r="M43" s="3"/>
      <c r="N43" s="20">
        <f t="shared" si="7"/>
        <v>-1</v>
      </c>
      <c r="O43" s="12"/>
      <c r="P43" s="3">
        <v>0</v>
      </c>
      <c r="Q43" s="3"/>
      <c r="R43" s="20">
        <f t="shared" si="8"/>
        <v>0</v>
      </c>
      <c r="S43" s="3"/>
      <c r="T43" s="3">
        <v>32322.83</v>
      </c>
      <c r="U43" s="3"/>
      <c r="V43" s="20">
        <f t="shared" si="9"/>
        <v>1.6882670453778309E-2</v>
      </c>
      <c r="W43" s="3"/>
      <c r="X43" s="3">
        <f t="shared" si="10"/>
        <v>-32322.83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","5003"," - ","PURCHASES @ COST-RENTAL TEXT")</f>
        <v xml:space="preserve">          5003 - PURCHASES @ COST-RENTAL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/>
      <c r="Q44" s="3"/>
      <c r="R44" s="20">
        <f t="shared" si="8"/>
        <v>0</v>
      </c>
      <c r="S44" s="3"/>
      <c r="T44" s="3">
        <v>32.520000000000003</v>
      </c>
      <c r="U44" s="3"/>
      <c r="V44" s="20">
        <f t="shared" si="9"/>
        <v>1.6985655128491862E-5</v>
      </c>
      <c r="W44" s="3"/>
      <c r="X44" s="3">
        <f t="shared" si="10"/>
        <v>-32.520000000000003</v>
      </c>
      <c r="Y44" s="3"/>
      <c r="Z44" s="20">
        <f t="shared" si="11"/>
        <v>-1</v>
      </c>
    </row>
    <row r="45" spans="1:26" s="69" customFormat="1" ht="15" hidden="1" customHeight="1" outlineLevel="1" x14ac:dyDescent="0.3">
      <c r="A45" s="42"/>
      <c r="B45" s="12" t="str">
        <f>CONCATENATE("          ","5004"," - ","PURCHASES @ COST-DIGITAL TEXT")</f>
        <v xml:space="preserve">          5004 - PURCHASES @ COST-DIGITAL TEXT</v>
      </c>
      <c r="C45" s="12"/>
      <c r="D45" s="3"/>
      <c r="E45" s="3"/>
      <c r="F45" s="20">
        <f t="shared" si="4"/>
        <v>0</v>
      </c>
      <c r="G45" s="3"/>
      <c r="H45" s="3">
        <v>887.88</v>
      </c>
      <c r="I45" s="3"/>
      <c r="J45" s="20">
        <f t="shared" si="5"/>
        <v>2.4125003973827362E-2</v>
      </c>
      <c r="K45" s="3"/>
      <c r="L45" s="3">
        <f t="shared" si="6"/>
        <v>-887.88</v>
      </c>
      <c r="M45" s="3"/>
      <c r="N45" s="20">
        <f t="shared" si="7"/>
        <v>-1</v>
      </c>
      <c r="O45" s="12"/>
      <c r="P45" s="3">
        <v>0</v>
      </c>
      <c r="Q45" s="3"/>
      <c r="R45" s="20">
        <f t="shared" si="8"/>
        <v>0</v>
      </c>
      <c r="S45" s="3"/>
      <c r="T45" s="3">
        <v>207450.38</v>
      </c>
      <c r="U45" s="3"/>
      <c r="V45" s="20">
        <f t="shared" si="9"/>
        <v>0.1083542623294768</v>
      </c>
      <c r="W45" s="3"/>
      <c r="X45" s="3">
        <f t="shared" si="10"/>
        <v>-207450.38</v>
      </c>
      <c r="Y45" s="3"/>
      <c r="Z45" s="20">
        <f t="shared" si="11"/>
        <v>-1</v>
      </c>
    </row>
    <row r="46" spans="1:26" s="69" customFormat="1" ht="15" hidden="1" customHeight="1" outlineLevel="1" x14ac:dyDescent="0.3">
      <c r="A46" s="42"/>
      <c r="B46" s="12" t="str">
        <f>CONCATENATE("          ","5011"," - ","PURCHASES @ COST-NO VALUE TEXT")</f>
        <v xml:space="preserve">          5011 - PURCHASES @ COST-NO VALUE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67.17</v>
      </c>
      <c r="U46" s="3"/>
      <c r="V46" s="20">
        <f t="shared" si="9"/>
        <v>3.5083839329052836E-5</v>
      </c>
      <c r="W46" s="3"/>
      <c r="X46" s="3">
        <f t="shared" si="10"/>
        <v>-67.17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","5013"," - ","PURCHASES @ COST-TRADE BOOKS")</f>
        <v xml:space="preserve">          5013 - PURCHASES @ COST-TRADE BOOKS</v>
      </c>
      <c r="C47" s="12"/>
      <c r="D47" s="3"/>
      <c r="E47" s="3"/>
      <c r="F47" s="20">
        <f t="shared" si="4"/>
        <v>0</v>
      </c>
      <c r="G47" s="3"/>
      <c r="H47" s="3">
        <v>800</v>
      </c>
      <c r="I47" s="3"/>
      <c r="J47" s="20">
        <f t="shared" si="5"/>
        <v>2.1737175270376503E-2</v>
      </c>
      <c r="K47" s="3"/>
      <c r="L47" s="3">
        <f t="shared" si="6"/>
        <v>-800</v>
      </c>
      <c r="M47" s="3"/>
      <c r="N47" s="20">
        <f t="shared" si="7"/>
        <v>-1</v>
      </c>
      <c r="O47" s="12"/>
      <c r="P47" s="3"/>
      <c r="Q47" s="3"/>
      <c r="R47" s="20">
        <f t="shared" si="8"/>
        <v>0</v>
      </c>
      <c r="S47" s="3"/>
      <c r="T47" s="3">
        <v>9670.02</v>
      </c>
      <c r="U47" s="3"/>
      <c r="V47" s="20">
        <f t="shared" si="9"/>
        <v>5.0507879706524865E-3</v>
      </c>
      <c r="W47" s="3"/>
      <c r="X47" s="3">
        <f t="shared" si="10"/>
        <v>-9670.02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","5014"," - ","PURCHASES @ COST-REMAINDERS")</f>
        <v xml:space="preserve">          5014 - PURCHASES @ COST-REMAINDERS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/>
      <c r="Q48" s="3"/>
      <c r="R48" s="20">
        <f t="shared" si="8"/>
        <v>0</v>
      </c>
      <c r="S48" s="3"/>
      <c r="T48" s="3">
        <v>111.57</v>
      </c>
      <c r="U48" s="3"/>
      <c r="V48" s="20">
        <f t="shared" si="9"/>
        <v>5.8274586183451318E-5</v>
      </c>
      <c r="W48" s="3"/>
      <c r="X48" s="3">
        <f t="shared" si="10"/>
        <v>-111.57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","5018"," - ","PURCHASES @ COST-STUDY GUIDES")</f>
        <v xml:space="preserve">          5018 - PURCHASES @ COST-STUDY GUIDES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967.21</v>
      </c>
      <c r="U49" s="3"/>
      <c r="V49" s="20">
        <f t="shared" si="9"/>
        <v>5.051874384018639E-4</v>
      </c>
      <c r="W49" s="3"/>
      <c r="X49" s="3">
        <f t="shared" si="10"/>
        <v>-967.21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","5200"," - ","PURCHASES OFFSET")</f>
        <v xml:space="preserve">          5200 - PURCHASES OFFSET</v>
      </c>
      <c r="C50" s="12"/>
      <c r="D50" s="3">
        <v>160822.91</v>
      </c>
      <c r="E50" s="3"/>
      <c r="F50" s="20">
        <f t="shared" si="4"/>
        <v>2.942528241411027</v>
      </c>
      <c r="G50" s="3"/>
      <c r="H50" s="3">
        <v>149318.16</v>
      </c>
      <c r="I50" s="3"/>
      <c r="J50" s="20">
        <f t="shared" si="5"/>
        <v>4.0571937687126525</v>
      </c>
      <c r="K50" s="3"/>
      <c r="L50" s="3">
        <f t="shared" si="6"/>
        <v>11504.75</v>
      </c>
      <c r="M50" s="3"/>
      <c r="N50" s="20">
        <f t="shared" si="7"/>
        <v>7.7048565291723395E-2</v>
      </c>
      <c r="O50" s="12"/>
      <c r="P50" s="3">
        <v>-1201082.6100000001</v>
      </c>
      <c r="Q50" s="3"/>
      <c r="R50" s="20">
        <f t="shared" si="8"/>
        <v>-0.67964975694035112</v>
      </c>
      <c r="S50" s="3"/>
      <c r="T50" s="3">
        <v>-1024895.97</v>
      </c>
      <c r="U50" s="3"/>
      <c r="V50" s="20">
        <f t="shared" si="9"/>
        <v>-0.53531763496313467</v>
      </c>
      <c r="W50" s="3"/>
      <c r="X50" s="3">
        <f t="shared" si="10"/>
        <v>-176186.64000000013</v>
      </c>
      <c r="Y50" s="3"/>
      <c r="Z50" s="20">
        <f t="shared" si="11"/>
        <v>0.17190685216568871</v>
      </c>
    </row>
    <row r="51" spans="1:26" s="69" customFormat="1" ht="15" hidden="1" customHeight="1" outlineLevel="1" x14ac:dyDescent="0.3">
      <c r="A51" s="42"/>
      <c r="B51" s="12" t="str">
        <f>CONCATENATE("          ","5300"," - ","COG$ OFFSET")</f>
        <v xml:space="preserve">          5300 - COG$ OFFSET</v>
      </c>
      <c r="C51" s="12"/>
      <c r="D51" s="3">
        <v>49207.61</v>
      </c>
      <c r="E51" s="3"/>
      <c r="F51" s="20">
        <f t="shared" si="4"/>
        <v>0.90033678732302291</v>
      </c>
      <c r="G51" s="3"/>
      <c r="H51" s="3">
        <v>30994</v>
      </c>
      <c r="I51" s="3"/>
      <c r="J51" s="20">
        <f t="shared" si="5"/>
        <v>0.84215251291256166</v>
      </c>
      <c r="K51" s="3"/>
      <c r="L51" s="3">
        <f t="shared" si="6"/>
        <v>18213.61</v>
      </c>
      <c r="M51" s="3"/>
      <c r="N51" s="20">
        <f t="shared" si="7"/>
        <v>0.58764954507323997</v>
      </c>
      <c r="O51" s="12"/>
      <c r="P51" s="3">
        <v>1378493.64</v>
      </c>
      <c r="Q51" s="3"/>
      <c r="R51" s="20">
        <f t="shared" si="8"/>
        <v>0.78004032326287676</v>
      </c>
      <c r="S51" s="3"/>
      <c r="T51" s="3">
        <v>1361322</v>
      </c>
      <c r="U51" s="3"/>
      <c r="V51" s="20">
        <f t="shared" si="9"/>
        <v>0.71103770020998758</v>
      </c>
      <c r="W51" s="3"/>
      <c r="X51" s="3">
        <f t="shared" si="10"/>
        <v>17171.639999999898</v>
      </c>
      <c r="Y51" s="3"/>
      <c r="Z51" s="20">
        <f t="shared" si="11"/>
        <v>1.2613944386412545E-2</v>
      </c>
    </row>
    <row r="52" spans="1:26" s="69" customFormat="1" ht="15" hidden="1" customHeight="1" outlineLevel="1" x14ac:dyDescent="0.3">
      <c r="A52" s="42"/>
      <c r="B52" s="12" t="str">
        <f>CONCATENATE("          ","5500"," - ","FREIGHT-IN")</f>
        <v xml:space="preserve">          5500 - FREIGHT-IN</v>
      </c>
      <c r="C52" s="12"/>
      <c r="D52" s="3">
        <v>2564.83</v>
      </c>
      <c r="E52" s="3"/>
      <c r="F52" s="20">
        <f t="shared" si="4"/>
        <v>4.6927920340567419E-2</v>
      </c>
      <c r="G52" s="3"/>
      <c r="H52" s="3"/>
      <c r="I52" s="3"/>
      <c r="J52" s="20">
        <f t="shared" si="5"/>
        <v>0</v>
      </c>
      <c r="K52" s="3"/>
      <c r="L52" s="3">
        <f t="shared" si="6"/>
        <v>2564.83</v>
      </c>
      <c r="M52" s="3"/>
      <c r="N52" s="20">
        <f t="shared" si="7"/>
        <v>0</v>
      </c>
      <c r="O52" s="12"/>
      <c r="P52" s="3">
        <v>79058.62</v>
      </c>
      <c r="Q52" s="3"/>
      <c r="R52" s="20">
        <f t="shared" si="8"/>
        <v>4.473644978261701E-2</v>
      </c>
      <c r="S52" s="3"/>
      <c r="T52" s="3">
        <v>0</v>
      </c>
      <c r="U52" s="3"/>
      <c r="V52" s="20">
        <f t="shared" si="9"/>
        <v>0</v>
      </c>
      <c r="W52" s="3"/>
      <c r="X52" s="3">
        <f t="shared" si="10"/>
        <v>79058.62</v>
      </c>
      <c r="Y52" s="3"/>
      <c r="Z52" s="20">
        <f t="shared" si="11"/>
        <v>0</v>
      </c>
    </row>
    <row r="53" spans="1:26" s="69" customFormat="1" ht="15" hidden="1" customHeight="1" outlineLevel="1" x14ac:dyDescent="0.3">
      <c r="A53" s="42"/>
      <c r="B53" s="12" t="str">
        <f>CONCATENATE("          ","5501"," - ","FREIGHT-IN-NEW TEXT")</f>
        <v xml:space="preserve">          5501 - FREIGHT-IN-NEW TEXT</v>
      </c>
      <c r="C53" s="12"/>
      <c r="D53" s="3"/>
      <c r="E53" s="3"/>
      <c r="F53" s="20">
        <f t="shared" si="4"/>
        <v>0</v>
      </c>
      <c r="G53" s="3"/>
      <c r="H53" s="3">
        <v>271.27</v>
      </c>
      <c r="I53" s="3"/>
      <c r="J53" s="20">
        <f t="shared" si="5"/>
        <v>7.3708044194937912E-3</v>
      </c>
      <c r="K53" s="3"/>
      <c r="L53" s="3">
        <f t="shared" si="6"/>
        <v>-271.27</v>
      </c>
      <c r="M53" s="3"/>
      <c r="N53" s="20">
        <f t="shared" si="7"/>
        <v>-1</v>
      </c>
      <c r="O53" s="12"/>
      <c r="P53" s="3">
        <v>0</v>
      </c>
      <c r="Q53" s="3"/>
      <c r="R53" s="20">
        <f t="shared" si="8"/>
        <v>0</v>
      </c>
      <c r="S53" s="3"/>
      <c r="T53" s="3">
        <v>50313.73</v>
      </c>
      <c r="U53" s="3"/>
      <c r="V53" s="20">
        <f t="shared" si="9"/>
        <v>2.6279571525462942E-2</v>
      </c>
      <c r="W53" s="3"/>
      <c r="X53" s="3">
        <f t="shared" si="10"/>
        <v>-50313.73</v>
      </c>
      <c r="Y53" s="3"/>
      <c r="Z53" s="20">
        <f t="shared" si="11"/>
        <v>-1</v>
      </c>
    </row>
    <row r="54" spans="1:26" s="69" customFormat="1" ht="15" hidden="1" customHeight="1" outlineLevel="1" x14ac:dyDescent="0.3">
      <c r="A54" s="42"/>
      <c r="B54" s="12" t="str">
        <f>CONCATENATE("          ","5502"," - ","FREIGHT-IN-USED TEXT")</f>
        <v xml:space="preserve">          5502 - FREIGHT-IN-USED TEXT</v>
      </c>
      <c r="C54" s="12"/>
      <c r="D54" s="3"/>
      <c r="E54" s="3"/>
      <c r="F54" s="20">
        <f t="shared" si="4"/>
        <v>0</v>
      </c>
      <c r="G54" s="3"/>
      <c r="H54" s="3">
        <v>58.77</v>
      </c>
      <c r="I54" s="3"/>
      <c r="J54" s="20">
        <f t="shared" si="5"/>
        <v>1.5968672383000339E-3</v>
      </c>
      <c r="K54" s="3"/>
      <c r="L54" s="3">
        <f t="shared" si="6"/>
        <v>-58.77</v>
      </c>
      <c r="M54" s="3"/>
      <c r="N54" s="20">
        <f t="shared" si="7"/>
        <v>-1</v>
      </c>
      <c r="O54" s="12"/>
      <c r="P54" s="3">
        <v>0</v>
      </c>
      <c r="Q54" s="3"/>
      <c r="R54" s="20">
        <f t="shared" si="8"/>
        <v>0</v>
      </c>
      <c r="S54" s="3"/>
      <c r="T54" s="3">
        <v>17858.900000000001</v>
      </c>
      <c r="U54" s="3"/>
      <c r="V54" s="20">
        <f t="shared" si="9"/>
        <v>9.3279556080634474E-3</v>
      </c>
      <c r="W54" s="3"/>
      <c r="X54" s="3">
        <f t="shared" si="10"/>
        <v>-17858.900000000001</v>
      </c>
      <c r="Y54" s="3"/>
      <c r="Z54" s="20">
        <f t="shared" si="11"/>
        <v>-1</v>
      </c>
    </row>
    <row r="55" spans="1:26" s="69" customFormat="1" ht="15" hidden="1" customHeight="1" outlineLevel="1" x14ac:dyDescent="0.3">
      <c r="A55" s="42"/>
      <c r="B55" s="12" t="str">
        <f>CONCATENATE("          ","5504"," - ","FREIGHT-IN-DIGITAL TEXT")</f>
        <v xml:space="preserve">          5504 - FREIGHT-IN-DIGITAL TEXT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/>
      <c r="Q55" s="3"/>
      <c r="R55" s="20">
        <f t="shared" si="8"/>
        <v>0</v>
      </c>
      <c r="S55" s="3"/>
      <c r="T55" s="3">
        <v>28.92</v>
      </c>
      <c r="U55" s="3"/>
      <c r="V55" s="20">
        <f t="shared" si="9"/>
        <v>1.5105324302459553E-5</v>
      </c>
      <c r="W55" s="3"/>
      <c r="X55" s="3">
        <f t="shared" si="10"/>
        <v>-28.92</v>
      </c>
      <c r="Y55" s="3"/>
      <c r="Z55" s="20">
        <f t="shared" si="11"/>
        <v>-1</v>
      </c>
    </row>
    <row r="56" spans="1:26" s="69" customFormat="1" ht="15" hidden="1" customHeight="1" outlineLevel="1" x14ac:dyDescent="0.3">
      <c r="A56" s="42"/>
      <c r="B56" s="12" t="str">
        <f>CONCATENATE("          ","5513"," - ","FREIGHT-IN-TRADE BOOKS")</f>
        <v xml:space="preserve">          5513 - FREIGHT-IN-TRADE BOOKS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/>
      <c r="Q56" s="3"/>
      <c r="R56" s="20">
        <f t="shared" si="8"/>
        <v>0</v>
      </c>
      <c r="S56" s="3"/>
      <c r="T56" s="3">
        <v>85.28</v>
      </c>
      <c r="U56" s="3"/>
      <c r="V56" s="20">
        <f t="shared" si="9"/>
        <v>4.4542948012232038E-5</v>
      </c>
      <c r="W56" s="3"/>
      <c r="X56" s="3">
        <f t="shared" si="10"/>
        <v>-85.28</v>
      </c>
      <c r="Y56" s="3"/>
      <c r="Z56" s="20">
        <f t="shared" si="11"/>
        <v>-1</v>
      </c>
    </row>
    <row r="57" spans="1:26" s="69" customFormat="1" ht="15" hidden="1" customHeight="1" outlineLevel="1" x14ac:dyDescent="0.3">
      <c r="A57" s="42"/>
      <c r="B57" s="12" t="str">
        <f>CONCATENATE("          ","5518"," - ","FREIGHT-IN-STUDY GUIDES")</f>
        <v xml:space="preserve">          5518 - FREIGHT-IN-STUDY GUIDES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8" t="s">
        <v>288</v>
      </c>
      <c r="C59" s="28"/>
      <c r="D59" s="21">
        <f>D12-D40</f>
        <v>5447.0599999999831</v>
      </c>
      <c r="E59" s="15"/>
      <c r="F59" s="23">
        <f>IF(D$12=0,0,D59/D$12)</f>
        <v>9.9663212676976795E-2</v>
      </c>
      <c r="G59" s="15"/>
      <c r="H59" s="21">
        <f>H12-H40</f>
        <v>5809.3099999999686</v>
      </c>
      <c r="I59" s="15"/>
      <c r="J59" s="23">
        <f>IF(H$12=0,0,H59/H$12)</f>
        <v>0.15784748708743779</v>
      </c>
      <c r="K59" s="16"/>
      <c r="L59" s="21">
        <f>+D59-H59</f>
        <v>-362.24999999998545</v>
      </c>
      <c r="M59" s="16"/>
      <c r="N59" s="23">
        <f>IF(H59=0,0,L59/H59)</f>
        <v>-6.235680313152292E-2</v>
      </c>
      <c r="O59" s="27"/>
      <c r="P59" s="21">
        <f>P12-P40</f>
        <v>388827.73</v>
      </c>
      <c r="Q59" s="15"/>
      <c r="R59" s="23">
        <f>IF(P$12=0,0,P59/P$12)</f>
        <v>0.2200237269159766</v>
      </c>
      <c r="S59" s="15"/>
      <c r="T59" s="21">
        <f>T12-T40</f>
        <v>553234.71</v>
      </c>
      <c r="U59" s="15"/>
      <c r="V59" s="23">
        <f>IF(T$12=0,0,T59/T$12)</f>
        <v>0.28896229979001253</v>
      </c>
      <c r="W59" s="16"/>
      <c r="X59" s="21">
        <f>+P59-T59</f>
        <v>-164406.97999999998</v>
      </c>
      <c r="Y59" s="16"/>
      <c r="Z59" s="23">
        <f>IF(T59=0,0,X59/T59)</f>
        <v>-0.29717401498542995</v>
      </c>
    </row>
    <row r="60" spans="1:26" ht="15" customHeight="1" x14ac:dyDescent="0.3">
      <c r="A60" s="10"/>
      <c r="B60" s="11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x14ac:dyDescent="0.3">
      <c r="A61" s="11"/>
      <c r="B61" s="27" t="s">
        <v>289</v>
      </c>
      <c r="C61" s="11"/>
      <c r="D61" s="22" cm="1">
        <f t="array" ref="D61">SUM(OSRRefD22x_0)</f>
        <v>50638.14</v>
      </c>
      <c r="E61" s="22"/>
      <c r="F61" s="32">
        <f t="shared" ref="F61:F92" si="12">IF(D$12=0,0,D61/D$12)</f>
        <v>0.92651076294120893</v>
      </c>
      <c r="G61" s="22"/>
      <c r="H61" s="22" cm="1">
        <f t="array" ref="H61">SUM(OSRRefH22x_0)</f>
        <v>52574.149999999994</v>
      </c>
      <c r="I61" s="22"/>
      <c r="J61" s="32">
        <f t="shared" ref="J61:J92" si="13">IF(H$12=0,0,H61/H$12)</f>
        <v>1.4285168915513309</v>
      </c>
      <c r="K61" s="5"/>
      <c r="L61" s="22">
        <f t="shared" ref="L61:L92" si="14">+D61-H61</f>
        <v>-1936.0099999999948</v>
      </c>
      <c r="M61" s="5"/>
      <c r="N61" s="32">
        <f t="shared" ref="N61:N92" si="15">IF(H61=0,0,L61/H61)</f>
        <v>-3.6824370912320881E-2</v>
      </c>
      <c r="O61" s="11"/>
      <c r="P61" s="22" cm="1">
        <f t="array" ref="P61">SUM(OSRRefP22x_0)</f>
        <v>448482.06999999995</v>
      </c>
      <c r="Q61" s="22"/>
      <c r="R61" s="32">
        <f t="shared" ref="R61:R92" si="16">IF(P$12=0,0,P61/P$12)</f>
        <v>0.25377998759602843</v>
      </c>
      <c r="S61" s="22"/>
      <c r="T61" s="22" cm="1">
        <f t="array" ref="T61">SUM(OSRRefT22x_0)</f>
        <v>461844.33999999991</v>
      </c>
      <c r="U61" s="22"/>
      <c r="V61" s="32">
        <f t="shared" ref="V61:V92" si="17">IF(T$12=0,0,T61/T$12)</f>
        <v>0.24122781925848516</v>
      </c>
      <c r="W61" s="5"/>
      <c r="X61" s="22">
        <f t="shared" ref="X61:X92" si="18">+P61-T61</f>
        <v>-13362.26999999996</v>
      </c>
      <c r="Y61" s="5"/>
      <c r="Z61" s="32">
        <f t="shared" ref="Z61:Z92" si="19">IF(T61=0,0,X61/T61)</f>
        <v>-2.8932410430752412E-2</v>
      </c>
    </row>
    <row r="62" spans="1:26" s="68" customFormat="1" ht="15" customHeight="1" outlineLevel="1" collapsed="1" x14ac:dyDescent="0.3">
      <c r="A62" s="25"/>
      <c r="B62" s="14" t="str">
        <f>CONCATENATE("     ","*Benefits                                         ")</f>
        <v xml:space="preserve">     *Benefits                                         </v>
      </c>
      <c r="C62" s="14"/>
      <c r="D62" s="2">
        <f>SUM(OSRRefD22_0x_0)</f>
        <v>14153.779999999999</v>
      </c>
      <c r="E62" s="2"/>
      <c r="F62" s="6">
        <f t="shared" si="12"/>
        <v>0.2589674404767241</v>
      </c>
      <c r="G62" s="2"/>
      <c r="H62" s="2">
        <f>SUM(OSRRefH22_0x_0)</f>
        <v>14359.289999999997</v>
      </c>
      <c r="I62" s="2"/>
      <c r="J62" s="6">
        <f t="shared" si="13"/>
        <v>0.39016300436020568</v>
      </c>
      <c r="K62" s="2"/>
      <c r="L62" s="2">
        <f t="shared" si="14"/>
        <v>-205.5099999999984</v>
      </c>
      <c r="M62" s="2"/>
      <c r="N62" s="6">
        <f t="shared" si="15"/>
        <v>-1.4311988963242503E-2</v>
      </c>
      <c r="O62" s="14"/>
      <c r="P62" s="2">
        <f>SUM(OSRRefP22_0x_0)</f>
        <v>106932.53999999998</v>
      </c>
      <c r="Q62" s="2"/>
      <c r="R62" s="6">
        <f t="shared" si="16"/>
        <v>6.0509305700474969E-2</v>
      </c>
      <c r="S62" s="2"/>
      <c r="T62" s="2">
        <f>SUM(OSRRefT22_0x_0)</f>
        <v>120169.99</v>
      </c>
      <c r="U62" s="2"/>
      <c r="V62" s="6">
        <f t="shared" si="17"/>
        <v>6.2766482378053989E-2</v>
      </c>
      <c r="W62" s="2"/>
      <c r="X62" s="2">
        <f t="shared" si="18"/>
        <v>-13237.450000000026</v>
      </c>
      <c r="Y62" s="2"/>
      <c r="Z62" s="6">
        <f t="shared" si="19"/>
        <v>-0.1101560381256587</v>
      </c>
    </row>
    <row r="63" spans="1:26" s="69" customFormat="1" ht="15" hidden="1" customHeight="1" outlineLevel="2" x14ac:dyDescent="0.3">
      <c r="A63" s="26"/>
      <c r="B63" s="12" t="str">
        <f>CONCATENATE("          ","6111"," - ","F.I.C.A.")</f>
        <v xml:space="preserve">          6111 - F.I.C.A.</v>
      </c>
      <c r="C63" s="12"/>
      <c r="D63" s="8">
        <v>2400.81</v>
      </c>
      <c r="E63" s="3"/>
      <c r="F63" s="7">
        <f t="shared" si="12"/>
        <v>4.3926895908437465E-2</v>
      </c>
      <c r="G63" s="3"/>
      <c r="H63" s="8">
        <v>2997.29</v>
      </c>
      <c r="I63" s="3"/>
      <c r="J63" s="7">
        <f t="shared" si="13"/>
        <v>8.1440772582683479E-2</v>
      </c>
      <c r="K63" s="3"/>
      <c r="L63" s="8">
        <f t="shared" si="14"/>
        <v>-596.48</v>
      </c>
      <c r="M63" s="3"/>
      <c r="N63" s="7">
        <f t="shared" si="15"/>
        <v>-0.19900643581368505</v>
      </c>
      <c r="O63" s="12"/>
      <c r="P63" s="8">
        <v>21882.080000000002</v>
      </c>
      <c r="Q63" s="3"/>
      <c r="R63" s="7">
        <f t="shared" si="16"/>
        <v>1.2382287637441789E-2</v>
      </c>
      <c r="S63" s="3"/>
      <c r="T63" s="8">
        <v>21909.06</v>
      </c>
      <c r="U63" s="3"/>
      <c r="V63" s="7">
        <f t="shared" si="17"/>
        <v>1.144341135760873E-2</v>
      </c>
      <c r="W63" s="3"/>
      <c r="X63" s="8">
        <f t="shared" si="18"/>
        <v>-26.979999999999563</v>
      </c>
      <c r="Y63" s="3"/>
      <c r="Z63" s="7">
        <f t="shared" si="19"/>
        <v>-1.2314540194786796E-3</v>
      </c>
    </row>
    <row r="64" spans="1:26" s="69" customFormat="1" ht="15" hidden="1" customHeight="1" outlineLevel="2" x14ac:dyDescent="0.3">
      <c r="A64" s="26"/>
      <c r="B64" s="12" t="str">
        <f>CONCATENATE("          ","6112"," - ","COMPENSATION INSURANCE")</f>
        <v xml:space="preserve">          6112 - COMPENSATION INSURANCE</v>
      </c>
      <c r="C64" s="12"/>
      <c r="D64" s="8">
        <v>295.63</v>
      </c>
      <c r="E64" s="3"/>
      <c r="F64" s="7">
        <f t="shared" si="12"/>
        <v>5.4090528769087801E-3</v>
      </c>
      <c r="G64" s="3"/>
      <c r="H64" s="8">
        <v>137.72</v>
      </c>
      <c r="I64" s="3"/>
      <c r="J64" s="7">
        <f t="shared" si="13"/>
        <v>3.7420547227953148E-3</v>
      </c>
      <c r="K64" s="3"/>
      <c r="L64" s="8">
        <f t="shared" si="14"/>
        <v>157.91</v>
      </c>
      <c r="M64" s="3"/>
      <c r="N64" s="7">
        <f t="shared" si="15"/>
        <v>1.1466018007551553</v>
      </c>
      <c r="O64" s="12"/>
      <c r="P64" s="8">
        <v>4061.6</v>
      </c>
      <c r="Q64" s="3"/>
      <c r="R64" s="7">
        <f t="shared" si="16"/>
        <v>2.2983143955343172E-3</v>
      </c>
      <c r="S64" s="3"/>
      <c r="T64" s="8">
        <v>1185.44</v>
      </c>
      <c r="U64" s="3"/>
      <c r="V64" s="7">
        <f t="shared" si="17"/>
        <v>6.1917204844770578E-4</v>
      </c>
      <c r="W64" s="3"/>
      <c r="X64" s="8">
        <f t="shared" si="18"/>
        <v>2876.16</v>
      </c>
      <c r="Y64" s="3"/>
      <c r="Z64" s="7">
        <f t="shared" si="19"/>
        <v>2.426238358752868</v>
      </c>
    </row>
    <row r="65" spans="1:26" s="69" customFormat="1" ht="15" hidden="1" customHeight="1" outlineLevel="2" x14ac:dyDescent="0.3">
      <c r="A65" s="26"/>
      <c r="B65" s="12" t="str">
        <f>CONCATENATE("          ","6113"," - ","GROUP INSURANCE")</f>
        <v xml:space="preserve">          6113 - GROUP INSURANCE</v>
      </c>
      <c r="C65" s="12"/>
      <c r="D65" s="8">
        <v>4253.97</v>
      </c>
      <c r="E65" s="3"/>
      <c r="F65" s="7">
        <f t="shared" si="12"/>
        <v>7.7833605069795503E-2</v>
      </c>
      <c r="G65" s="3"/>
      <c r="H65" s="8">
        <v>4943.91</v>
      </c>
      <c r="I65" s="3"/>
      <c r="J65" s="7">
        <f t="shared" si="13"/>
        <v>0.13433329773870886</v>
      </c>
      <c r="K65" s="3"/>
      <c r="L65" s="8">
        <f t="shared" si="14"/>
        <v>-689.9399999999996</v>
      </c>
      <c r="M65" s="3"/>
      <c r="N65" s="7">
        <f t="shared" si="15"/>
        <v>-0.13955351128964719</v>
      </c>
      <c r="O65" s="12"/>
      <c r="P65" s="8">
        <v>43597.69</v>
      </c>
      <c r="Q65" s="3"/>
      <c r="R65" s="7">
        <f t="shared" si="16"/>
        <v>2.4670375846721132E-2</v>
      </c>
      <c r="S65" s="3"/>
      <c r="T65" s="8">
        <v>45163.86</v>
      </c>
      <c r="U65" s="3"/>
      <c r="V65" s="7">
        <f t="shared" si="17"/>
        <v>2.3589721716835439E-2</v>
      </c>
      <c r="W65" s="3"/>
      <c r="X65" s="8">
        <f t="shared" si="18"/>
        <v>-1566.1699999999983</v>
      </c>
      <c r="Y65" s="3"/>
      <c r="Z65" s="7">
        <f t="shared" si="19"/>
        <v>-3.4677505421370054E-2</v>
      </c>
    </row>
    <row r="66" spans="1:26" s="69" customFormat="1" ht="15" hidden="1" customHeight="1" outlineLevel="2" x14ac:dyDescent="0.3">
      <c r="A66" s="26"/>
      <c r="B66" s="12" t="str">
        <f>CONCATENATE("          ","6114"," - ","STATE UNEMPLOYMENT INSURANCE")</f>
        <v xml:space="preserve">          6114 - STATE UNEMPLOYMENT INSURANCE</v>
      </c>
      <c r="C66" s="12"/>
      <c r="D66" s="8">
        <v>58.32</v>
      </c>
      <c r="E66" s="3"/>
      <c r="F66" s="7">
        <f t="shared" si="12"/>
        <v>1.0670634366651561E-3</v>
      </c>
      <c r="G66" s="3"/>
      <c r="H66" s="8">
        <v>91.65</v>
      </c>
      <c r="I66" s="3"/>
      <c r="J66" s="7">
        <f t="shared" si="13"/>
        <v>2.490265141912508E-3</v>
      </c>
      <c r="K66" s="3"/>
      <c r="L66" s="8">
        <f t="shared" si="14"/>
        <v>-33.330000000000005</v>
      </c>
      <c r="M66" s="3"/>
      <c r="N66" s="7">
        <f t="shared" si="15"/>
        <v>-0.36366612111292967</v>
      </c>
      <c r="O66" s="12"/>
      <c r="P66" s="8">
        <v>805.62</v>
      </c>
      <c r="Q66" s="3"/>
      <c r="R66" s="7">
        <f t="shared" si="16"/>
        <v>4.5587158837166552E-4</v>
      </c>
      <c r="S66" s="3"/>
      <c r="T66" s="8">
        <v>762.51</v>
      </c>
      <c r="U66" s="3"/>
      <c r="V66" s="7">
        <f t="shared" si="17"/>
        <v>3.982697383771934E-4</v>
      </c>
      <c r="W66" s="3"/>
      <c r="X66" s="8">
        <f t="shared" si="18"/>
        <v>43.110000000000014</v>
      </c>
      <c r="Y66" s="3"/>
      <c r="Z66" s="7">
        <f t="shared" si="19"/>
        <v>5.6536963449659694E-2</v>
      </c>
    </row>
    <row r="67" spans="1:26" s="69" customFormat="1" ht="15" hidden="1" customHeight="1" outlineLevel="2" x14ac:dyDescent="0.3">
      <c r="A67" s="26"/>
      <c r="B67" s="12" t="str">
        <f>CONCATENATE("          ","6115"," - ","P.E.R.S.")</f>
        <v xml:space="preserve">          6115 - P.E.R.S.</v>
      </c>
      <c r="C67" s="12"/>
      <c r="D67" s="8">
        <v>2109.5500000000002</v>
      </c>
      <c r="E67" s="3"/>
      <c r="F67" s="7">
        <f t="shared" si="12"/>
        <v>3.8597799602485938E-2</v>
      </c>
      <c r="G67" s="3"/>
      <c r="H67" s="8">
        <v>1722.62</v>
      </c>
      <c r="I67" s="3"/>
      <c r="J67" s="7">
        <f t="shared" si="13"/>
        <v>4.6806116080319961E-2</v>
      </c>
      <c r="K67" s="3"/>
      <c r="L67" s="8">
        <f t="shared" si="14"/>
        <v>386.93000000000029</v>
      </c>
      <c r="M67" s="3"/>
      <c r="N67" s="7">
        <f t="shared" si="15"/>
        <v>0.22461715294144985</v>
      </c>
      <c r="O67" s="12"/>
      <c r="P67" s="8">
        <v>18955.59</v>
      </c>
      <c r="Q67" s="3"/>
      <c r="R67" s="7">
        <f t="shared" si="16"/>
        <v>1.072629145480755E-2</v>
      </c>
      <c r="S67" s="3"/>
      <c r="T67" s="8">
        <v>18464.349999999999</v>
      </c>
      <c r="U67" s="3"/>
      <c r="V67" s="7">
        <f t="shared" si="17"/>
        <v>9.6441906910137969E-3</v>
      </c>
      <c r="W67" s="3"/>
      <c r="X67" s="8">
        <f t="shared" si="18"/>
        <v>491.2400000000016</v>
      </c>
      <c r="Y67" s="3"/>
      <c r="Z67" s="7">
        <f t="shared" si="19"/>
        <v>2.6604781646795129E-2</v>
      </c>
    </row>
    <row r="68" spans="1:26" s="69" customFormat="1" ht="15" hidden="1" customHeight="1" outlineLevel="2" x14ac:dyDescent="0.3">
      <c r="A68" s="26"/>
      <c r="B68" s="12" t="str">
        <f>CONCATENATE("          ","6117"," - ","RETIREMENT STAFF HOURLY")</f>
        <v xml:space="preserve">          6117 - RETIREMENT STAFF HOURLY</v>
      </c>
      <c r="C68" s="12"/>
      <c r="D68" s="8">
        <v>258.64999999999998</v>
      </c>
      <c r="E68" s="3"/>
      <c r="F68" s="7">
        <f t="shared" si="12"/>
        <v>4.732440978968494E-3</v>
      </c>
      <c r="G68" s="3"/>
      <c r="H68" s="8">
        <v>246.24</v>
      </c>
      <c r="I68" s="3"/>
      <c r="J68" s="7">
        <f t="shared" si="13"/>
        <v>6.6907025482218878E-3</v>
      </c>
      <c r="K68" s="3"/>
      <c r="L68" s="8">
        <f t="shared" si="14"/>
        <v>12.409999999999968</v>
      </c>
      <c r="M68" s="3"/>
      <c r="N68" s="7">
        <f t="shared" si="15"/>
        <v>5.0397985705003118E-2</v>
      </c>
      <c r="O68" s="12"/>
      <c r="P68" s="8">
        <v>3215.36</v>
      </c>
      <c r="Q68" s="3"/>
      <c r="R68" s="7">
        <f t="shared" si="16"/>
        <v>1.8194573997501531E-3</v>
      </c>
      <c r="S68" s="3"/>
      <c r="T68" s="8">
        <v>2755.82</v>
      </c>
      <c r="U68" s="3"/>
      <c r="V68" s="7">
        <f t="shared" si="17"/>
        <v>1.4394036936100998E-3</v>
      </c>
      <c r="W68" s="3"/>
      <c r="X68" s="8">
        <f t="shared" si="18"/>
        <v>459.53999999999996</v>
      </c>
      <c r="Y68" s="3"/>
      <c r="Z68" s="7">
        <f t="shared" si="19"/>
        <v>0.16675254552184102</v>
      </c>
    </row>
    <row r="69" spans="1:26" s="69" customFormat="1" ht="15" hidden="1" customHeight="1" outlineLevel="2" x14ac:dyDescent="0.3">
      <c r="A69" s="26"/>
      <c r="B69" s="12" t="str">
        <f>CONCATENATE("          ","6118"," - ","VACATION")</f>
        <v xml:space="preserve">          6118 - VACATION</v>
      </c>
      <c r="C69" s="12"/>
      <c r="D69" s="8">
        <v>2277.9</v>
      </c>
      <c r="E69" s="3"/>
      <c r="F69" s="7">
        <f t="shared" si="12"/>
        <v>4.1678048737646758E-2</v>
      </c>
      <c r="G69" s="3"/>
      <c r="H69" s="8">
        <v>2466.27</v>
      </c>
      <c r="I69" s="3"/>
      <c r="J69" s="7">
        <f t="shared" si="13"/>
        <v>6.7012179067589314E-2</v>
      </c>
      <c r="K69" s="3"/>
      <c r="L69" s="8">
        <f t="shared" si="14"/>
        <v>-188.36999999999989</v>
      </c>
      <c r="M69" s="3"/>
      <c r="N69" s="7">
        <f t="shared" si="15"/>
        <v>-7.6378498704521361E-2</v>
      </c>
      <c r="O69" s="12"/>
      <c r="P69" s="8">
        <v>19283.98</v>
      </c>
      <c r="Q69" s="3"/>
      <c r="R69" s="7">
        <f t="shared" si="16"/>
        <v>1.0912115628618244E-2</v>
      </c>
      <c r="S69" s="3"/>
      <c r="T69" s="8">
        <v>14500.95</v>
      </c>
      <c r="U69" s="3"/>
      <c r="V69" s="7">
        <f t="shared" si="17"/>
        <v>7.5740509143758933E-3</v>
      </c>
      <c r="W69" s="3"/>
      <c r="X69" s="8">
        <f t="shared" si="18"/>
        <v>4783.0299999999988</v>
      </c>
      <c r="Y69" s="3"/>
      <c r="Z69" s="7">
        <f t="shared" si="19"/>
        <v>0.32984252755853916</v>
      </c>
    </row>
    <row r="70" spans="1:26" s="69" customFormat="1" ht="15" hidden="1" customHeight="1" outlineLevel="2" x14ac:dyDescent="0.3">
      <c r="A70" s="26"/>
      <c r="B70" s="12" t="str">
        <f>CONCATENATE("          ","6119"," - ","SICK LEAVE")</f>
        <v xml:space="preserve">          6119 - SICK LEAVE</v>
      </c>
      <c r="C70" s="12"/>
      <c r="D70" s="8">
        <v>1427.27</v>
      </c>
      <c r="E70" s="3"/>
      <c r="F70" s="7">
        <f t="shared" si="12"/>
        <v>2.6114328382185824E-2</v>
      </c>
      <c r="G70" s="3"/>
      <c r="H70" s="8">
        <v>1289.8800000000001</v>
      </c>
      <c r="I70" s="3"/>
      <c r="J70" s="7">
        <f t="shared" si="13"/>
        <v>3.5047934547191559E-2</v>
      </c>
      <c r="K70" s="3"/>
      <c r="L70" s="8">
        <f t="shared" si="14"/>
        <v>137.38999999999987</v>
      </c>
      <c r="M70" s="3"/>
      <c r="N70" s="7">
        <f t="shared" si="15"/>
        <v>0.1065137842279901</v>
      </c>
      <c r="O70" s="12"/>
      <c r="P70" s="8">
        <v>-13902.82</v>
      </c>
      <c r="Q70" s="3"/>
      <c r="R70" s="7">
        <f t="shared" si="16"/>
        <v>-7.8671093521081384E-3</v>
      </c>
      <c r="S70" s="3"/>
      <c r="T70" s="8">
        <v>11176.9</v>
      </c>
      <c r="U70" s="3"/>
      <c r="V70" s="7">
        <f t="shared" si="17"/>
        <v>5.8378526693001441E-3</v>
      </c>
      <c r="W70" s="3"/>
      <c r="X70" s="8">
        <f t="shared" si="18"/>
        <v>-25079.72</v>
      </c>
      <c r="Y70" s="3"/>
      <c r="Z70" s="7">
        <f t="shared" si="19"/>
        <v>-2.2438887348012422</v>
      </c>
    </row>
    <row r="71" spans="1:26" s="69" customFormat="1" ht="15" hidden="1" customHeight="1" outlineLevel="2" x14ac:dyDescent="0.3">
      <c r="A71" s="26"/>
      <c r="B71" s="12" t="str">
        <f>CONCATENATE("          ","6156"," - ","EMPLOYEE MEALS")</f>
        <v xml:space="preserve">          6156 - EMPLOYEE MEALS</v>
      </c>
      <c r="C71" s="12"/>
      <c r="D71" s="8">
        <v>1071.68</v>
      </c>
      <c r="E71" s="3"/>
      <c r="F71" s="7">
        <f t="shared" si="12"/>
        <v>1.9608205483630219E-2</v>
      </c>
      <c r="G71" s="3"/>
      <c r="H71" s="8">
        <v>463.71</v>
      </c>
      <c r="I71" s="3"/>
      <c r="J71" s="7">
        <f t="shared" si="13"/>
        <v>1.2599681930782859E-2</v>
      </c>
      <c r="K71" s="3"/>
      <c r="L71" s="8">
        <f t="shared" si="14"/>
        <v>607.97</v>
      </c>
      <c r="M71" s="3"/>
      <c r="N71" s="7">
        <f t="shared" si="15"/>
        <v>1.3110996096698369</v>
      </c>
      <c r="O71" s="12"/>
      <c r="P71" s="8">
        <v>9033.44</v>
      </c>
      <c r="Q71" s="3"/>
      <c r="R71" s="7">
        <f t="shared" si="16"/>
        <v>5.1117011013382717E-3</v>
      </c>
      <c r="S71" s="3"/>
      <c r="T71" s="8">
        <v>4251.1000000000004</v>
      </c>
      <c r="U71" s="3"/>
      <c r="V71" s="7">
        <f t="shared" si="17"/>
        <v>2.2204095484849862E-3</v>
      </c>
      <c r="W71" s="3"/>
      <c r="X71" s="8">
        <f t="shared" si="18"/>
        <v>4782.34</v>
      </c>
      <c r="Y71" s="3"/>
      <c r="Z71" s="7">
        <f t="shared" si="19"/>
        <v>1.1249653030980216</v>
      </c>
    </row>
    <row r="72" spans="1:26" s="68" customFormat="1" ht="15" customHeight="1" outlineLevel="1" collapsed="1" x14ac:dyDescent="0.3">
      <c r="A72" s="25"/>
      <c r="B72" s="14" t="str">
        <f>CONCATENATE("     ","*Payroll                                          ")</f>
        <v xml:space="preserve">     *Payroll                                          </v>
      </c>
      <c r="C72" s="14"/>
      <c r="D72" s="2">
        <f>SUM(OSRRefD22_1x_0)</f>
        <v>25386.38</v>
      </c>
      <c r="E72" s="2"/>
      <c r="F72" s="6">
        <f t="shared" si="12"/>
        <v>0.464486932223724</v>
      </c>
      <c r="G72" s="2"/>
      <c r="H72" s="2">
        <f>SUM(OSRRefH22_1x_0)</f>
        <v>29075.89</v>
      </c>
      <c r="I72" s="2"/>
      <c r="J72" s="6">
        <f t="shared" si="13"/>
        <v>0.79003464634023424</v>
      </c>
      <c r="K72" s="2"/>
      <c r="L72" s="2">
        <f t="shared" si="14"/>
        <v>-3689.5099999999984</v>
      </c>
      <c r="M72" s="2"/>
      <c r="N72" s="6">
        <f t="shared" si="15"/>
        <v>-0.12689241842640064</v>
      </c>
      <c r="O72" s="14"/>
      <c r="P72" s="2">
        <f>SUM(OSRRefP22_1x_0)</f>
        <v>295270.24</v>
      </c>
      <c r="Q72" s="2"/>
      <c r="R72" s="6">
        <f t="shared" si="16"/>
        <v>0.16708288437189106</v>
      </c>
      <c r="S72" s="2"/>
      <c r="T72" s="2">
        <f>SUM(OSRRefT22_1x_0)</f>
        <v>282209.40999999997</v>
      </c>
      <c r="U72" s="2"/>
      <c r="V72" s="6">
        <f t="shared" si="17"/>
        <v>0.14740195917205295</v>
      </c>
      <c r="W72" s="2"/>
      <c r="X72" s="2">
        <f t="shared" si="18"/>
        <v>13060.830000000016</v>
      </c>
      <c r="Y72" s="2"/>
      <c r="Z72" s="6">
        <f t="shared" si="19"/>
        <v>4.628063252745547E-2</v>
      </c>
    </row>
    <row r="73" spans="1:26" s="69" customFormat="1" ht="15" hidden="1" customHeight="1" outlineLevel="2" x14ac:dyDescent="0.3">
      <c r="A73" s="26"/>
      <c r="B73" s="12" t="str">
        <f>CONCATENATE("          ","6001"," - ","ADMINISTRATIVE SALARIES")</f>
        <v xml:space="preserve">          6001 - ADMINISTRATIVE SALARIES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-311.32</v>
      </c>
      <c r="U73" s="3"/>
      <c r="V73" s="7">
        <f t="shared" si="17"/>
        <v>-1.6260683132232736E-4</v>
      </c>
      <c r="W73" s="3"/>
      <c r="X73" s="8">
        <f t="shared" si="18"/>
        <v>311.32</v>
      </c>
      <c r="Y73" s="3"/>
      <c r="Z73" s="7">
        <f t="shared" si="19"/>
        <v>-1</v>
      </c>
    </row>
    <row r="74" spans="1:26" s="69" customFormat="1" ht="15" hidden="1" customHeight="1" outlineLevel="2" x14ac:dyDescent="0.3">
      <c r="A74" s="26"/>
      <c r="B74" s="12" t="str">
        <f>CONCATENATE("          ","6002"," - ","STAFF SALARIES")</f>
        <v xml:space="preserve">          6002 - STAFF SALARIES</v>
      </c>
      <c r="C74" s="12"/>
      <c r="D74" s="8">
        <v>19061.86</v>
      </c>
      <c r="E74" s="3"/>
      <c r="F74" s="7">
        <f t="shared" si="12"/>
        <v>0.34876909877966517</v>
      </c>
      <c r="G74" s="3"/>
      <c r="H74" s="8">
        <v>19208.37</v>
      </c>
      <c r="I74" s="3"/>
      <c r="J74" s="7">
        <f t="shared" si="13"/>
        <v>0.52191963168530231</v>
      </c>
      <c r="K74" s="3"/>
      <c r="L74" s="8">
        <f t="shared" si="14"/>
        <v>-146.5099999999984</v>
      </c>
      <c r="M74" s="3"/>
      <c r="N74" s="7">
        <f t="shared" si="15"/>
        <v>-7.6274040951938354E-3</v>
      </c>
      <c r="O74" s="12"/>
      <c r="P74" s="8">
        <v>189059.20000000001</v>
      </c>
      <c r="Q74" s="3"/>
      <c r="R74" s="7">
        <f t="shared" si="16"/>
        <v>0.1069818497558109</v>
      </c>
      <c r="S74" s="3"/>
      <c r="T74" s="8">
        <v>173924.05</v>
      </c>
      <c r="U74" s="3"/>
      <c r="V74" s="7">
        <f t="shared" si="17"/>
        <v>9.0842986834273512E-2</v>
      </c>
      <c r="W74" s="3"/>
      <c r="X74" s="8">
        <f t="shared" si="18"/>
        <v>15135.150000000023</v>
      </c>
      <c r="Y74" s="3"/>
      <c r="Z74" s="7">
        <f t="shared" si="19"/>
        <v>8.7021605120166101E-2</v>
      </c>
    </row>
    <row r="75" spans="1:26" s="69" customFormat="1" ht="15" hidden="1" customHeight="1" outlineLevel="2" x14ac:dyDescent="0.3">
      <c r="A75" s="26"/>
      <c r="B75" s="12" t="str">
        <f>CONCATENATE("          ","6004"," - ","STAFF HOURLY")</f>
        <v xml:space="preserve">          6004 - STAFF HOURLY</v>
      </c>
      <c r="C75" s="12"/>
      <c r="D75" s="8">
        <v>6483.84</v>
      </c>
      <c r="E75" s="3"/>
      <c r="F75" s="7">
        <f t="shared" si="12"/>
        <v>0.11863286339483892</v>
      </c>
      <c r="G75" s="3"/>
      <c r="H75" s="8">
        <v>8559.48</v>
      </c>
      <c r="I75" s="3"/>
      <c r="J75" s="7">
        <f t="shared" si="13"/>
        <v>0.23257364622910282</v>
      </c>
      <c r="K75" s="3"/>
      <c r="L75" s="8">
        <f t="shared" si="14"/>
        <v>-2075.6399999999994</v>
      </c>
      <c r="M75" s="3"/>
      <c r="N75" s="7">
        <f t="shared" si="15"/>
        <v>-0.24249603947903373</v>
      </c>
      <c r="O75" s="12"/>
      <c r="P75" s="8">
        <v>61835.519999999997</v>
      </c>
      <c r="Q75" s="3"/>
      <c r="R75" s="7">
        <f t="shared" si="16"/>
        <v>3.4990512549574103E-2</v>
      </c>
      <c r="S75" s="3"/>
      <c r="T75" s="8">
        <v>68298.740000000005</v>
      </c>
      <c r="U75" s="3"/>
      <c r="V75" s="7">
        <f t="shared" si="17"/>
        <v>3.5673396166990536E-2</v>
      </c>
      <c r="W75" s="3"/>
      <c r="X75" s="8">
        <f t="shared" si="18"/>
        <v>-6463.2200000000084</v>
      </c>
      <c r="Y75" s="3"/>
      <c r="Z75" s="7">
        <f t="shared" si="19"/>
        <v>-9.463161399463603E-2</v>
      </c>
    </row>
    <row r="76" spans="1:26" s="69" customFormat="1" ht="15" hidden="1" customHeight="1" outlineLevel="2" x14ac:dyDescent="0.3">
      <c r="A76" s="26"/>
      <c r="B76" s="12" t="str">
        <f>CONCATENATE("          ","6005"," - ","TEMPORARY WAGES-HOURLY")</f>
        <v xml:space="preserve">          6005 - TEMPORARY WAGES-HOURLY</v>
      </c>
      <c r="C76" s="12"/>
      <c r="D76" s="8"/>
      <c r="E76" s="3"/>
      <c r="F76" s="7">
        <f t="shared" si="12"/>
        <v>0</v>
      </c>
      <c r="G76" s="3"/>
      <c r="H76" s="8">
        <v>2368.27</v>
      </c>
      <c r="I76" s="3"/>
      <c r="J76" s="7">
        <f t="shared" si="13"/>
        <v>6.4349375096968198E-2</v>
      </c>
      <c r="K76" s="3"/>
      <c r="L76" s="8">
        <f t="shared" si="14"/>
        <v>-2368.27</v>
      </c>
      <c r="M76" s="3"/>
      <c r="N76" s="7">
        <f t="shared" si="15"/>
        <v>-1</v>
      </c>
      <c r="O76" s="12"/>
      <c r="P76" s="8">
        <v>14698.31</v>
      </c>
      <c r="Q76" s="3"/>
      <c r="R76" s="7">
        <f t="shared" si="16"/>
        <v>8.3172487352338991E-3</v>
      </c>
      <c r="S76" s="3"/>
      <c r="T76" s="8">
        <v>15685.16</v>
      </c>
      <c r="U76" s="3"/>
      <c r="V76" s="7">
        <f t="shared" si="17"/>
        <v>8.1925805164580374E-3</v>
      </c>
      <c r="W76" s="3"/>
      <c r="X76" s="8">
        <f t="shared" si="18"/>
        <v>-986.85000000000036</v>
      </c>
      <c r="Y76" s="3"/>
      <c r="Z76" s="7">
        <f t="shared" si="19"/>
        <v>-6.2916157693004113E-2</v>
      </c>
    </row>
    <row r="77" spans="1:26" s="69" customFormat="1" ht="15" hidden="1" customHeight="1" outlineLevel="2" x14ac:dyDescent="0.3">
      <c r="A77" s="26"/>
      <c r="B77" s="12" t="str">
        <f>CONCATENATE("          ","6006"," - ","TEMPORARY PART TIME")</f>
        <v xml:space="preserve">          6006 - TEMPORARY PART TIME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502.29</v>
      </c>
      <c r="U77" s="3"/>
      <c r="V77" s="7">
        <f t="shared" si="17"/>
        <v>2.6235315850215796E-4</v>
      </c>
      <c r="W77" s="3"/>
      <c r="X77" s="8">
        <f t="shared" si="18"/>
        <v>-502.29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6"/>
      <c r="B78" s="12" t="str">
        <f>CONCATENATE("          ","6007"," - ","STUDENT HOURLY")</f>
        <v xml:space="preserve">          6007 - STUDENT HOURLY</v>
      </c>
      <c r="C78" s="12"/>
      <c r="D78" s="8">
        <v>-159.32</v>
      </c>
      <c r="E78" s="3"/>
      <c r="F78" s="7">
        <f t="shared" si="12"/>
        <v>-2.9150299507800523E-3</v>
      </c>
      <c r="G78" s="3"/>
      <c r="H78" s="8">
        <v>-1060.23</v>
      </c>
      <c r="I78" s="3"/>
      <c r="J78" s="7">
        <f t="shared" si="13"/>
        <v>-2.88080066711391E-2</v>
      </c>
      <c r="K78" s="3"/>
      <c r="L78" s="8">
        <f t="shared" si="14"/>
        <v>900.91000000000008</v>
      </c>
      <c r="M78" s="3"/>
      <c r="N78" s="7">
        <f t="shared" si="15"/>
        <v>-0.8497307188062968</v>
      </c>
      <c r="O78" s="12"/>
      <c r="P78" s="8">
        <v>25710.73</v>
      </c>
      <c r="Q78" s="3"/>
      <c r="R78" s="7">
        <f t="shared" si="16"/>
        <v>1.4548783946891873E-2</v>
      </c>
      <c r="S78" s="3"/>
      <c r="T78" s="8">
        <v>23143.23</v>
      </c>
      <c r="U78" s="3"/>
      <c r="V78" s="7">
        <f t="shared" si="17"/>
        <v>1.2088035773043257E-2</v>
      </c>
      <c r="W78" s="3"/>
      <c r="X78" s="8">
        <f t="shared" si="18"/>
        <v>2567.5</v>
      </c>
      <c r="Y78" s="3"/>
      <c r="Z78" s="7">
        <f t="shared" si="19"/>
        <v>0.11093957066494176</v>
      </c>
    </row>
    <row r="79" spans="1:26" s="69" customFormat="1" ht="15" hidden="1" customHeight="1" outlineLevel="2" x14ac:dyDescent="0.3">
      <c r="A79" s="26"/>
      <c r="B79" s="12" t="str">
        <f>CONCATENATE("          ","6008"," - ","STUDENT HOURLY-FICA EXEMPT")</f>
        <v xml:space="preserve">          6008 - STUDENT HOURLY-FICA EXEMPT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3966.48</v>
      </c>
      <c r="Q79" s="3"/>
      <c r="R79" s="7">
        <f t="shared" si="16"/>
        <v>2.2444893843802834E-3</v>
      </c>
      <c r="S79" s="3"/>
      <c r="T79" s="8">
        <v>967.26</v>
      </c>
      <c r="U79" s="3"/>
      <c r="V79" s="7">
        <f t="shared" si="17"/>
        <v>5.0521355410778094E-4</v>
      </c>
      <c r="W79" s="3"/>
      <c r="X79" s="8">
        <f t="shared" si="18"/>
        <v>2999.2200000000003</v>
      </c>
      <c r="Y79" s="3"/>
      <c r="Z79" s="7">
        <f t="shared" si="19"/>
        <v>3.100738167607469</v>
      </c>
    </row>
    <row r="80" spans="1:26" s="68" customFormat="1" ht="15" customHeight="1" outlineLevel="1" collapsed="1" x14ac:dyDescent="0.3">
      <c r="A80" s="25"/>
      <c r="B80" s="14" t="str">
        <f>CONCATENATE("     ","Advertising/Promo                                 ")</f>
        <v xml:space="preserve">     Advertising/Promo                                 </v>
      </c>
      <c r="C80" s="14"/>
      <c r="D80" s="2">
        <f>SUM(OSRRefD22_2x_0)</f>
        <v>97.81</v>
      </c>
      <c r="E80" s="2"/>
      <c r="F80" s="6">
        <f t="shared" si="12"/>
        <v>1.7896000469859209E-3</v>
      </c>
      <c r="G80" s="2"/>
      <c r="H80" s="2">
        <f>SUM(OSRRefH22_2x_0)</f>
        <v>2.21</v>
      </c>
      <c r="I80" s="2"/>
      <c r="J80" s="6">
        <f t="shared" si="13"/>
        <v>6.0048946684415082E-5</v>
      </c>
      <c r="K80" s="2"/>
      <c r="L80" s="2">
        <f t="shared" si="14"/>
        <v>95.600000000000009</v>
      </c>
      <c r="M80" s="2"/>
      <c r="N80" s="6">
        <f t="shared" si="15"/>
        <v>43.257918552036202</v>
      </c>
      <c r="O80" s="14"/>
      <c r="P80" s="2">
        <f>SUM(OSRRefP22_2x_0)</f>
        <v>935.6</v>
      </c>
      <c r="Q80" s="2"/>
      <c r="R80" s="6">
        <f t="shared" si="16"/>
        <v>5.2942262863450544E-4</v>
      </c>
      <c r="S80" s="2"/>
      <c r="T80" s="2">
        <f>SUM(OSRRefT22_2x_0)</f>
        <v>2032.59</v>
      </c>
      <c r="U80" s="2"/>
      <c r="V80" s="6">
        <f t="shared" si="17"/>
        <v>1.061650453801392E-3</v>
      </c>
      <c r="W80" s="2"/>
      <c r="X80" s="2">
        <f t="shared" si="18"/>
        <v>-1096.9899999999998</v>
      </c>
      <c r="Y80" s="2"/>
      <c r="Z80" s="6">
        <f t="shared" si="19"/>
        <v>-0.53970057906414959</v>
      </c>
    </row>
    <row r="81" spans="1:26" s="69" customFormat="1" ht="15" hidden="1" customHeight="1" outlineLevel="2" x14ac:dyDescent="0.3">
      <c r="A81" s="26"/>
      <c r="B81" s="12" t="str">
        <f>CONCATENATE("          ","6362"," - ","ADVERTISING EXPENSE")</f>
        <v xml:space="preserve">          6362 - ADVERTISING EXPENSE</v>
      </c>
      <c r="C81" s="12"/>
      <c r="D81" s="8">
        <v>97.81</v>
      </c>
      <c r="E81" s="3"/>
      <c r="F81" s="7">
        <f t="shared" si="12"/>
        <v>1.7896000469859209E-3</v>
      </c>
      <c r="G81" s="3"/>
      <c r="H81" s="8">
        <v>2.21</v>
      </c>
      <c r="I81" s="3"/>
      <c r="J81" s="7">
        <f t="shared" si="13"/>
        <v>6.0048946684415082E-5</v>
      </c>
      <c r="K81" s="3"/>
      <c r="L81" s="8">
        <f t="shared" si="14"/>
        <v>95.600000000000009</v>
      </c>
      <c r="M81" s="3"/>
      <c r="N81" s="7">
        <f t="shared" si="15"/>
        <v>43.257918552036202</v>
      </c>
      <c r="O81" s="12"/>
      <c r="P81" s="8">
        <v>935.6</v>
      </c>
      <c r="Q81" s="3"/>
      <c r="R81" s="7">
        <f t="shared" si="16"/>
        <v>5.2942262863450544E-4</v>
      </c>
      <c r="S81" s="3"/>
      <c r="T81" s="8">
        <v>2032.59</v>
      </c>
      <c r="U81" s="3"/>
      <c r="V81" s="7">
        <f t="shared" si="17"/>
        <v>1.061650453801392E-3</v>
      </c>
      <c r="W81" s="3"/>
      <c r="X81" s="8">
        <f t="shared" si="18"/>
        <v>-1096.9899999999998</v>
      </c>
      <c r="Y81" s="3"/>
      <c r="Z81" s="7">
        <f t="shared" si="19"/>
        <v>-0.53970057906414959</v>
      </c>
    </row>
    <row r="82" spans="1:26" s="68" customFormat="1" ht="15" customHeight="1" outlineLevel="1" collapsed="1" x14ac:dyDescent="0.3">
      <c r="A82" s="25"/>
      <c r="B82" s="14" t="str">
        <f>CONCATENATE("     ","Discounts and Markdowns                           ")</f>
        <v xml:space="preserve">     Discounts and Markdowns                           </v>
      </c>
      <c r="C82" s="14"/>
      <c r="D82" s="2">
        <f>SUM(OSRRefD22_3x_0)</f>
        <v>0</v>
      </c>
      <c r="E82" s="2"/>
      <c r="F82" s="6">
        <f t="shared" si="12"/>
        <v>0</v>
      </c>
      <c r="G82" s="2"/>
      <c r="H82" s="2">
        <f>SUM(OSRRefH22_3x_0)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SUM(OSRRefP22_3x_0)</f>
        <v>1.35</v>
      </c>
      <c r="Q82" s="2"/>
      <c r="R82" s="6">
        <f t="shared" si="16"/>
        <v>7.6391678992794177E-7</v>
      </c>
      <c r="S82" s="2"/>
      <c r="T82" s="2">
        <f>SUM(OSRRefT22_3x_0)</f>
        <v>0</v>
      </c>
      <c r="U82" s="2"/>
      <c r="V82" s="6">
        <f t="shared" si="17"/>
        <v>0</v>
      </c>
      <c r="W82" s="2"/>
      <c r="X82" s="2">
        <f t="shared" si="18"/>
        <v>1.35</v>
      </c>
      <c r="Y82" s="2"/>
      <c r="Z82" s="6">
        <f t="shared" si="19"/>
        <v>0</v>
      </c>
    </row>
    <row r="83" spans="1:26" s="69" customFormat="1" ht="15" hidden="1" customHeight="1" outlineLevel="2" x14ac:dyDescent="0.3">
      <c r="A83" s="26"/>
      <c r="B83" s="12" t="str">
        <f>CONCATENATE("          ","6382"," - ","DISCOUNTS/MARK DOWNS")</f>
        <v xml:space="preserve">          6382 - DISCOUNTS/MARK DOWNS</v>
      </c>
      <c r="C83" s="12"/>
      <c r="D83" s="8"/>
      <c r="E83" s="3"/>
      <c r="F83" s="7">
        <f t="shared" si="12"/>
        <v>0</v>
      </c>
      <c r="G83" s="3"/>
      <c r="H83" s="8">
        <v>0</v>
      </c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1.35</v>
      </c>
      <c r="Q83" s="3"/>
      <c r="R83" s="7">
        <f t="shared" si="16"/>
        <v>7.6391678992794177E-7</v>
      </c>
      <c r="S83" s="3"/>
      <c r="T83" s="8">
        <v>0</v>
      </c>
      <c r="U83" s="3"/>
      <c r="V83" s="7">
        <f t="shared" si="17"/>
        <v>0</v>
      </c>
      <c r="W83" s="3"/>
      <c r="X83" s="8">
        <f t="shared" si="18"/>
        <v>1.35</v>
      </c>
      <c r="Y83" s="3"/>
      <c r="Z83" s="7">
        <f t="shared" si="19"/>
        <v>0</v>
      </c>
    </row>
    <row r="84" spans="1:26" s="69" customFormat="1" ht="15" hidden="1" customHeight="1" outlineLevel="2" x14ac:dyDescent="0.3">
      <c r="A84" s="26"/>
      <c r="B84" s="12" t="str">
        <f>CONCATENATE("          ","9175"," - ","EARNED DISCOUNTS")</f>
        <v xml:space="preserve">          9175 - EARNED DISCOUNTS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/>
      <c r="Q84" s="3"/>
      <c r="R84" s="7">
        <f t="shared" si="16"/>
        <v>0</v>
      </c>
      <c r="S84" s="3"/>
      <c r="T84" s="8">
        <v>0</v>
      </c>
      <c r="U84" s="3"/>
      <c r="V84" s="7">
        <f t="shared" si="17"/>
        <v>0</v>
      </c>
      <c r="W84" s="3"/>
      <c r="X84" s="8">
        <f t="shared" si="18"/>
        <v>0</v>
      </c>
      <c r="Y84" s="3"/>
      <c r="Z84" s="7">
        <f t="shared" si="19"/>
        <v>0</v>
      </c>
    </row>
    <row r="85" spans="1:26" s="68" customFormat="1" ht="15" customHeight="1" outlineLevel="1" collapsed="1" x14ac:dyDescent="0.3">
      <c r="A85" s="25"/>
      <c r="B85" s="14" t="str">
        <f>CONCATENATE("     ","Employees' Appreciation                           ")</f>
        <v xml:space="preserve">     Employees' Appreciation                           </v>
      </c>
      <c r="C85" s="14"/>
      <c r="D85" s="2">
        <f>SUM(OSRRefD22_4x_0)</f>
        <v>0</v>
      </c>
      <c r="E85" s="2"/>
      <c r="F85" s="6">
        <f t="shared" si="12"/>
        <v>0</v>
      </c>
      <c r="G85" s="2"/>
      <c r="H85" s="2">
        <f>SUM(OSRRefH22_4x_0)</f>
        <v>0</v>
      </c>
      <c r="I85" s="2"/>
      <c r="J85" s="6">
        <f t="shared" si="13"/>
        <v>0</v>
      </c>
      <c r="K85" s="2"/>
      <c r="L85" s="2">
        <f t="shared" si="14"/>
        <v>0</v>
      </c>
      <c r="M85" s="2"/>
      <c r="N85" s="6">
        <f t="shared" si="15"/>
        <v>0</v>
      </c>
      <c r="O85" s="14"/>
      <c r="P85" s="2">
        <f>SUM(OSRRefP22_4x_0)</f>
        <v>0</v>
      </c>
      <c r="Q85" s="2"/>
      <c r="R85" s="6">
        <f t="shared" si="16"/>
        <v>0</v>
      </c>
      <c r="S85" s="2"/>
      <c r="T85" s="2">
        <f>SUM(OSRRefT22_4x_0)</f>
        <v>107.7</v>
      </c>
      <c r="U85" s="2"/>
      <c r="V85" s="6">
        <f t="shared" si="17"/>
        <v>5.6253230545466586E-5</v>
      </c>
      <c r="W85" s="2"/>
      <c r="X85" s="2">
        <f t="shared" si="18"/>
        <v>-107.7</v>
      </c>
      <c r="Y85" s="2"/>
      <c r="Z85" s="6">
        <f t="shared" si="19"/>
        <v>-1</v>
      </c>
    </row>
    <row r="86" spans="1:26" s="69" customFormat="1" ht="15" hidden="1" customHeight="1" outlineLevel="2" x14ac:dyDescent="0.3">
      <c r="A86" s="26"/>
      <c r="B86" s="12" t="str">
        <f>CONCATENATE("          ","6277"," - ","EMPLOYEE APPRECIATION")</f>
        <v xml:space="preserve">          6277 - EMPLOYEE APPRECIATION</v>
      </c>
      <c r="C86" s="12"/>
      <c r="D86" s="8"/>
      <c r="E86" s="3"/>
      <c r="F86" s="7">
        <f t="shared" si="12"/>
        <v>0</v>
      </c>
      <c r="G86" s="3"/>
      <c r="H86" s="8"/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/>
      <c r="Q86" s="3"/>
      <c r="R86" s="7">
        <f t="shared" si="16"/>
        <v>0</v>
      </c>
      <c r="S86" s="3"/>
      <c r="T86" s="8">
        <v>107.7</v>
      </c>
      <c r="U86" s="3"/>
      <c r="V86" s="7">
        <f t="shared" si="17"/>
        <v>5.6253230545466586E-5</v>
      </c>
      <c r="W86" s="3"/>
      <c r="X86" s="8">
        <f t="shared" si="18"/>
        <v>-107.7</v>
      </c>
      <c r="Y86" s="3"/>
      <c r="Z86" s="7">
        <f t="shared" si="19"/>
        <v>-1</v>
      </c>
    </row>
    <row r="87" spans="1:26" s="68" customFormat="1" ht="15" customHeight="1" outlineLevel="1" collapsed="1" x14ac:dyDescent="0.3">
      <c r="A87" s="25"/>
      <c r="B87" s="14" t="str">
        <f>CONCATENATE("     ","Equipment Rental                                  ")</f>
        <v xml:space="preserve">     Equipment Rental                                  </v>
      </c>
      <c r="C87" s="14"/>
      <c r="D87" s="2">
        <f>SUM(OSRRefD22_5x_0)</f>
        <v>91.26</v>
      </c>
      <c r="E87" s="2"/>
      <c r="F87" s="6">
        <f t="shared" si="12"/>
        <v>1.669756674040846E-3</v>
      </c>
      <c r="G87" s="2"/>
      <c r="H87" s="2">
        <f>SUM(OSRRefH22_5x_0)</f>
        <v>91.26</v>
      </c>
      <c r="I87" s="2"/>
      <c r="J87" s="6">
        <f t="shared" si="13"/>
        <v>2.4796682689681997E-3</v>
      </c>
      <c r="K87" s="2"/>
      <c r="L87" s="2">
        <f t="shared" si="14"/>
        <v>0</v>
      </c>
      <c r="M87" s="2"/>
      <c r="N87" s="6">
        <f t="shared" si="15"/>
        <v>0</v>
      </c>
      <c r="O87" s="14"/>
      <c r="P87" s="2">
        <f>SUM(OSRRefP22_5x_0)</f>
        <v>912.6</v>
      </c>
      <c r="Q87" s="2"/>
      <c r="R87" s="6">
        <f t="shared" si="16"/>
        <v>5.1640774999128867E-4</v>
      </c>
      <c r="S87" s="2"/>
      <c r="T87" s="2">
        <f>SUM(OSRRefT22_5x_0)</f>
        <v>912.6</v>
      </c>
      <c r="U87" s="2"/>
      <c r="V87" s="6">
        <f t="shared" si="17"/>
        <v>4.7666386439919041E-4</v>
      </c>
      <c r="W87" s="2"/>
      <c r="X87" s="2">
        <f t="shared" si="18"/>
        <v>0</v>
      </c>
      <c r="Y87" s="2"/>
      <c r="Z87" s="6">
        <f t="shared" si="19"/>
        <v>0</v>
      </c>
    </row>
    <row r="88" spans="1:26" s="69" customFormat="1" ht="15" hidden="1" customHeight="1" outlineLevel="2" x14ac:dyDescent="0.3">
      <c r="A88" s="26"/>
      <c r="B88" s="12" t="str">
        <f>CONCATENATE("          ","6351"," - ","EQUIPMENT RENTAL")</f>
        <v xml:space="preserve">          6351 - EQUIPMENT RENTAL</v>
      </c>
      <c r="C88" s="12"/>
      <c r="D88" s="8">
        <v>91.26</v>
      </c>
      <c r="E88" s="3"/>
      <c r="F88" s="7">
        <f t="shared" si="12"/>
        <v>1.669756674040846E-3</v>
      </c>
      <c r="G88" s="3"/>
      <c r="H88" s="8">
        <v>91.26</v>
      </c>
      <c r="I88" s="3"/>
      <c r="J88" s="7">
        <f t="shared" si="13"/>
        <v>2.4796682689681997E-3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912.6</v>
      </c>
      <c r="Q88" s="3"/>
      <c r="R88" s="7">
        <f t="shared" si="16"/>
        <v>5.1640774999128867E-4</v>
      </c>
      <c r="S88" s="3"/>
      <c r="T88" s="8">
        <v>912.6</v>
      </c>
      <c r="U88" s="3"/>
      <c r="V88" s="7">
        <f t="shared" si="17"/>
        <v>4.7666386439919041E-4</v>
      </c>
      <c r="W88" s="3"/>
      <c r="X88" s="8">
        <f t="shared" si="18"/>
        <v>0</v>
      </c>
      <c r="Y88" s="3"/>
      <c r="Z88" s="7">
        <f t="shared" si="19"/>
        <v>0</v>
      </c>
    </row>
    <row r="89" spans="1:26" s="68" customFormat="1" ht="15" customHeight="1" outlineLevel="1" collapsed="1" x14ac:dyDescent="0.3">
      <c r="A89" s="25"/>
      <c r="B89" s="14" t="str">
        <f>CONCATENATE("     ","Freight out/Postage                               ")</f>
        <v xml:space="preserve">     Freight out/Postage                               </v>
      </c>
      <c r="C89" s="14"/>
      <c r="D89" s="2">
        <f>SUM(OSRRefD22_6x_0)</f>
        <v>6768.61</v>
      </c>
      <c r="E89" s="2"/>
      <c r="F89" s="6">
        <f t="shared" si="12"/>
        <v>0.12384321412973494</v>
      </c>
      <c r="G89" s="2"/>
      <c r="H89" s="2">
        <f>SUM(OSRRefH22_6x_0)</f>
        <v>6096.13</v>
      </c>
      <c r="I89" s="2"/>
      <c r="J89" s="6">
        <f t="shared" si="13"/>
        <v>0.16564080785125038</v>
      </c>
      <c r="K89" s="2"/>
      <c r="L89" s="2">
        <f t="shared" si="14"/>
        <v>672.47999999999956</v>
      </c>
      <c r="M89" s="2"/>
      <c r="N89" s="6">
        <f t="shared" si="15"/>
        <v>0.11031260816288359</v>
      </c>
      <c r="O89" s="14"/>
      <c r="P89" s="2">
        <f>SUM(OSRRefP22_6x_0)</f>
        <v>12391.78</v>
      </c>
      <c r="Q89" s="2"/>
      <c r="R89" s="6">
        <f t="shared" si="16"/>
        <v>7.0120657771061265E-3</v>
      </c>
      <c r="S89" s="2"/>
      <c r="T89" s="2">
        <f>SUM(OSRRefT22_6x_0)</f>
        <v>23777.99</v>
      </c>
      <c r="U89" s="2"/>
      <c r="V89" s="6">
        <f t="shared" si="17"/>
        <v>1.241957988280222E-2</v>
      </c>
      <c r="W89" s="2"/>
      <c r="X89" s="2">
        <f t="shared" si="18"/>
        <v>-11386.210000000001</v>
      </c>
      <c r="Y89" s="2"/>
      <c r="Z89" s="6">
        <f t="shared" si="19"/>
        <v>-0.47885502517243889</v>
      </c>
    </row>
    <row r="90" spans="1:26" s="69" customFormat="1" ht="15" hidden="1" customHeight="1" outlineLevel="2" x14ac:dyDescent="0.3">
      <c r="A90" s="26"/>
      <c r="B90" s="12" t="str">
        <f>CONCATENATE("          ","6305"," - ","FREIGHT OUT")</f>
        <v xml:space="preserve">          6305 - FREIGHT OUT</v>
      </c>
      <c r="C90" s="12"/>
      <c r="D90" s="8">
        <v>6768.61</v>
      </c>
      <c r="E90" s="3"/>
      <c r="F90" s="7">
        <f t="shared" si="12"/>
        <v>0.12384321412973494</v>
      </c>
      <c r="G90" s="3"/>
      <c r="H90" s="8">
        <v>6096.13</v>
      </c>
      <c r="I90" s="3"/>
      <c r="J90" s="7">
        <f t="shared" si="13"/>
        <v>0.16564080785125038</v>
      </c>
      <c r="K90" s="3"/>
      <c r="L90" s="8">
        <f t="shared" si="14"/>
        <v>672.47999999999956</v>
      </c>
      <c r="M90" s="3"/>
      <c r="N90" s="7">
        <f t="shared" si="15"/>
        <v>0.11031260816288359</v>
      </c>
      <c r="O90" s="12"/>
      <c r="P90" s="8">
        <v>12390.19</v>
      </c>
      <c r="Q90" s="3"/>
      <c r="R90" s="7">
        <f t="shared" si="16"/>
        <v>7.0111660528868773E-3</v>
      </c>
      <c r="S90" s="3"/>
      <c r="T90" s="8">
        <v>23777.49</v>
      </c>
      <c r="U90" s="3"/>
      <c r="V90" s="7">
        <f t="shared" si="17"/>
        <v>1.2419318725743049E-2</v>
      </c>
      <c r="W90" s="3"/>
      <c r="X90" s="8">
        <f t="shared" si="18"/>
        <v>-11387.300000000001</v>
      </c>
      <c r="Y90" s="3"/>
      <c r="Z90" s="7">
        <f t="shared" si="19"/>
        <v>-0.47891093635198673</v>
      </c>
    </row>
    <row r="91" spans="1:26" s="69" customFormat="1" ht="15" hidden="1" customHeight="1" outlineLevel="2" x14ac:dyDescent="0.3">
      <c r="A91" s="26"/>
      <c r="B91" s="12" t="str">
        <f>CONCATENATE("          ","6307"," - ","POSTAGE")</f>
        <v xml:space="preserve">          6307 - POSTAGE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1.59</v>
      </c>
      <c r="Q91" s="3"/>
      <c r="R91" s="7">
        <f t="shared" si="16"/>
        <v>8.9972421924846474E-7</v>
      </c>
      <c r="S91" s="3"/>
      <c r="T91" s="8">
        <v>0.5</v>
      </c>
      <c r="U91" s="3"/>
      <c r="V91" s="7">
        <f t="shared" si="17"/>
        <v>2.6115705917115409E-7</v>
      </c>
      <c r="W91" s="3"/>
      <c r="X91" s="8">
        <f t="shared" si="18"/>
        <v>1.0900000000000001</v>
      </c>
      <c r="Y91" s="3"/>
      <c r="Z91" s="7">
        <f t="shared" si="19"/>
        <v>2.1800000000000002</v>
      </c>
    </row>
    <row r="92" spans="1:26" s="68" customFormat="1" ht="15" customHeight="1" outlineLevel="1" collapsed="1" x14ac:dyDescent="0.3">
      <c r="A92" s="25"/>
      <c r="B92" s="14" t="str">
        <f>CONCATENATE("     ","General                                           ")</f>
        <v xml:space="preserve">     General                                           </v>
      </c>
      <c r="C92" s="14"/>
      <c r="D92" s="2">
        <f>SUM(OSRRefD22_7x_0)</f>
        <v>0</v>
      </c>
      <c r="E92" s="2"/>
      <c r="F92" s="6">
        <f t="shared" si="12"/>
        <v>0</v>
      </c>
      <c r="G92" s="2"/>
      <c r="H92" s="2">
        <f>SUM(OSRRefH22_7x_0)</f>
        <v>-0.99</v>
      </c>
      <c r="I92" s="2"/>
      <c r="J92" s="6">
        <f t="shared" si="13"/>
        <v>-2.689975439709092E-5</v>
      </c>
      <c r="K92" s="2"/>
      <c r="L92" s="2">
        <f t="shared" si="14"/>
        <v>0.99</v>
      </c>
      <c r="M92" s="2"/>
      <c r="N92" s="6">
        <f t="shared" si="15"/>
        <v>-1</v>
      </c>
      <c r="O92" s="14"/>
      <c r="P92" s="2">
        <f>SUM(OSRRefP22_7x_0)</f>
        <v>0</v>
      </c>
      <c r="Q92" s="2"/>
      <c r="R92" s="6">
        <f t="shared" si="16"/>
        <v>0</v>
      </c>
      <c r="S92" s="2"/>
      <c r="T92" s="2">
        <f>SUM(OSRRefT22_7x_0)</f>
        <v>-1043.02</v>
      </c>
      <c r="U92" s="2"/>
      <c r="V92" s="6">
        <f t="shared" si="17"/>
        <v>-5.4478407171339421E-4</v>
      </c>
      <c r="W92" s="2"/>
      <c r="X92" s="2">
        <f t="shared" si="18"/>
        <v>1043.02</v>
      </c>
      <c r="Y92" s="2"/>
      <c r="Z92" s="6">
        <f t="shared" si="19"/>
        <v>-1</v>
      </c>
    </row>
    <row r="93" spans="1:26" s="69" customFormat="1" ht="15" hidden="1" customHeight="1" outlineLevel="2" x14ac:dyDescent="0.3">
      <c r="A93" s="26"/>
      <c r="B93" s="12" t="str">
        <f>CONCATENATE("          ","6279"," - ","GENERAL EXPENSE")</f>
        <v xml:space="preserve">          6279 - GENERAL EXPENSE</v>
      </c>
      <c r="C93" s="12"/>
      <c r="D93" s="8"/>
      <c r="E93" s="3"/>
      <c r="F93" s="7">
        <f t="shared" ref="F93:F112" si="20">IF(D$12=0,0,D93/D$12)</f>
        <v>0</v>
      </c>
      <c r="G93" s="3"/>
      <c r="H93" s="8">
        <v>-0.99</v>
      </c>
      <c r="I93" s="3"/>
      <c r="J93" s="7">
        <f t="shared" ref="J93:J112" si="21">IF(H$12=0,0,H93/H$12)</f>
        <v>-2.689975439709092E-5</v>
      </c>
      <c r="K93" s="3"/>
      <c r="L93" s="8">
        <f t="shared" ref="L93:L112" si="22">+D93-H93</f>
        <v>0.99</v>
      </c>
      <c r="M93" s="3"/>
      <c r="N93" s="7">
        <f t="shared" ref="N93:N112" si="23">IF(H93=0,0,L93/H93)</f>
        <v>-1</v>
      </c>
      <c r="O93" s="12"/>
      <c r="P93" s="8"/>
      <c r="Q93" s="3"/>
      <c r="R93" s="7">
        <f t="shared" ref="R93:R112" si="24">IF(P$12=0,0,P93/P$12)</f>
        <v>0</v>
      </c>
      <c r="S93" s="3"/>
      <c r="T93" s="8">
        <v>-1043.02</v>
      </c>
      <c r="U93" s="3"/>
      <c r="V93" s="7">
        <f t="shared" ref="V93:V112" si="25">IF(T$12=0,0,T93/T$12)</f>
        <v>-5.4478407171339421E-4</v>
      </c>
      <c r="W93" s="3"/>
      <c r="X93" s="8">
        <f t="shared" ref="X93:X112" si="26">+P93-T93</f>
        <v>1043.02</v>
      </c>
      <c r="Y93" s="3"/>
      <c r="Z93" s="7">
        <f t="shared" ref="Z93:Z112" si="27">IF(T93=0,0,X93/T93)</f>
        <v>-1</v>
      </c>
    </row>
    <row r="94" spans="1:26" s="68" customFormat="1" ht="15" customHeight="1" outlineLevel="1" collapsed="1" x14ac:dyDescent="0.3">
      <c r="A94" s="25"/>
      <c r="B94" s="14" t="str">
        <f>CONCATENATE("     ","Inventory Adjustment                              ")</f>
        <v xml:space="preserve">     Inventory Adjustment                              </v>
      </c>
      <c r="C94" s="14"/>
      <c r="D94" s="2">
        <f>SUM(OSRRefD22_8x_0)</f>
        <v>1000</v>
      </c>
      <c r="E94" s="2"/>
      <c r="F94" s="6">
        <f t="shared" si="20"/>
        <v>1.829669815955343E-2</v>
      </c>
      <c r="G94" s="2"/>
      <c r="H94" s="2">
        <f>SUM(OSRRefH22_8x_0)</f>
        <v>1000</v>
      </c>
      <c r="I94" s="2"/>
      <c r="J94" s="6">
        <f t="shared" si="21"/>
        <v>2.7171469087970627E-2</v>
      </c>
      <c r="K94" s="2"/>
      <c r="L94" s="2">
        <f t="shared" si="22"/>
        <v>0</v>
      </c>
      <c r="M94" s="2"/>
      <c r="N94" s="6">
        <f t="shared" si="23"/>
        <v>0</v>
      </c>
      <c r="O94" s="14"/>
      <c r="P94" s="2">
        <f>SUM(OSRRefP22_8x_0)</f>
        <v>14000</v>
      </c>
      <c r="Q94" s="2"/>
      <c r="R94" s="6">
        <f t="shared" si="24"/>
        <v>7.922100043697174E-3</v>
      </c>
      <c r="S94" s="2"/>
      <c r="T94" s="2">
        <f>SUM(OSRRefT22_8x_0)</f>
        <v>15000</v>
      </c>
      <c r="U94" s="2"/>
      <c r="V94" s="6">
        <f t="shared" si="25"/>
        <v>7.8347117751346226E-3</v>
      </c>
      <c r="W94" s="2"/>
      <c r="X94" s="2">
        <f t="shared" si="26"/>
        <v>-1000</v>
      </c>
      <c r="Y94" s="2"/>
      <c r="Z94" s="6">
        <f t="shared" si="27"/>
        <v>-6.6666666666666666E-2</v>
      </c>
    </row>
    <row r="95" spans="1:26" s="69" customFormat="1" ht="15" hidden="1" customHeight="1" outlineLevel="2" x14ac:dyDescent="0.3">
      <c r="A95" s="26"/>
      <c r="B95" s="12" t="str">
        <f>CONCATENATE("          ","6408"," - ","INVENTORY ADJUSTMENT")</f>
        <v xml:space="preserve">          6408 - INVENTORY ADJUSTMENT</v>
      </c>
      <c r="C95" s="12"/>
      <c r="D95" s="8">
        <v>1000</v>
      </c>
      <c r="E95" s="3"/>
      <c r="F95" s="7">
        <f t="shared" si="20"/>
        <v>1.829669815955343E-2</v>
      </c>
      <c r="G95" s="3"/>
      <c r="H95" s="8">
        <v>1000</v>
      </c>
      <c r="I95" s="3"/>
      <c r="J95" s="7">
        <f t="shared" si="21"/>
        <v>2.7171469087970627E-2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14000</v>
      </c>
      <c r="Q95" s="3"/>
      <c r="R95" s="7">
        <f t="shared" si="24"/>
        <v>7.922100043697174E-3</v>
      </c>
      <c r="S95" s="3"/>
      <c r="T95" s="8">
        <v>15000</v>
      </c>
      <c r="U95" s="3"/>
      <c r="V95" s="7">
        <f t="shared" si="25"/>
        <v>7.8347117751346226E-3</v>
      </c>
      <c r="W95" s="3"/>
      <c r="X95" s="8">
        <f t="shared" si="26"/>
        <v>-1000</v>
      </c>
      <c r="Y95" s="3"/>
      <c r="Z95" s="7">
        <f t="shared" si="27"/>
        <v>-6.6666666666666666E-2</v>
      </c>
    </row>
    <row r="96" spans="1:26" s="68" customFormat="1" ht="15" customHeight="1" outlineLevel="1" collapsed="1" x14ac:dyDescent="0.3">
      <c r="A96" s="25"/>
      <c r="B96" s="14" t="str">
        <f>CONCATENATE("     ","Repair and Maintenance                            ")</f>
        <v xml:space="preserve">     Repair and Maintenance                            </v>
      </c>
      <c r="C96" s="14"/>
      <c r="D96" s="2">
        <f>SUM(OSRRefD22_9x_0)</f>
        <v>17.25</v>
      </c>
      <c r="E96" s="2"/>
      <c r="F96" s="6">
        <f t="shared" si="20"/>
        <v>3.1561804325229664E-4</v>
      </c>
      <c r="G96" s="2"/>
      <c r="H96" s="2">
        <f>SUM(OSRRefH22_9x_0)</f>
        <v>254.93</v>
      </c>
      <c r="I96" s="2"/>
      <c r="J96" s="6">
        <f t="shared" si="21"/>
        <v>6.9268226145963521E-3</v>
      </c>
      <c r="K96" s="2"/>
      <c r="L96" s="2">
        <f t="shared" si="22"/>
        <v>-237.68</v>
      </c>
      <c r="M96" s="2"/>
      <c r="N96" s="6">
        <f t="shared" si="23"/>
        <v>-0.93233436629663047</v>
      </c>
      <c r="O96" s="14"/>
      <c r="P96" s="2">
        <f>SUM(OSRRefP22_9x_0)</f>
        <v>6062.4</v>
      </c>
      <c r="Q96" s="2"/>
      <c r="R96" s="6">
        <f t="shared" si="24"/>
        <v>3.4304956646364101E-3</v>
      </c>
      <c r="S96" s="2"/>
      <c r="T96" s="2">
        <f>SUM(OSRRefT22_9x_0)</f>
        <v>462.25</v>
      </c>
      <c r="U96" s="2"/>
      <c r="V96" s="6">
        <f t="shared" si="25"/>
        <v>2.4143970120373194E-4</v>
      </c>
      <c r="W96" s="2"/>
      <c r="X96" s="2">
        <f t="shared" si="26"/>
        <v>5600.15</v>
      </c>
      <c r="Y96" s="2"/>
      <c r="Z96" s="6">
        <f t="shared" si="27"/>
        <v>12.114981070849106</v>
      </c>
    </row>
    <row r="97" spans="1:26" s="69" customFormat="1" ht="15" hidden="1" customHeight="1" outlineLevel="2" x14ac:dyDescent="0.3">
      <c r="A97" s="26"/>
      <c r="B97" s="12" t="str">
        <f>CONCATENATE("          ","6371"," - ","COMPUTER SOFTWARE MAINTENANCE")</f>
        <v xml:space="preserve">          6371 - COMPUTER SOFTWARE MAINTENANCE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5775</v>
      </c>
      <c r="Q97" s="3"/>
      <c r="R97" s="7">
        <f t="shared" si="24"/>
        <v>3.2678662680250842E-3</v>
      </c>
      <c r="S97" s="3"/>
      <c r="T97" s="8"/>
      <c r="U97" s="3"/>
      <c r="V97" s="7">
        <f t="shared" si="25"/>
        <v>0</v>
      </c>
      <c r="W97" s="3"/>
      <c r="X97" s="8">
        <f t="shared" si="26"/>
        <v>5775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6"/>
      <c r="B98" s="12" t="str">
        <f>CONCATENATE("          ","6373"," - ","MAINTENANCE CONTRACTS")</f>
        <v xml:space="preserve">          6373 - MAINTENANCE CONTRACTS</v>
      </c>
      <c r="C98" s="12"/>
      <c r="D98" s="8">
        <v>17.25</v>
      </c>
      <c r="E98" s="3"/>
      <c r="F98" s="7">
        <f t="shared" si="20"/>
        <v>3.1561804325229664E-4</v>
      </c>
      <c r="G98" s="3"/>
      <c r="H98" s="8">
        <v>22.53</v>
      </c>
      <c r="I98" s="3"/>
      <c r="J98" s="7">
        <f t="shared" si="21"/>
        <v>6.1217319855197828E-4</v>
      </c>
      <c r="K98" s="3"/>
      <c r="L98" s="8">
        <f t="shared" si="22"/>
        <v>-5.2800000000000011</v>
      </c>
      <c r="M98" s="3"/>
      <c r="N98" s="7">
        <f t="shared" si="23"/>
        <v>-0.23435419440745675</v>
      </c>
      <c r="O98" s="12"/>
      <c r="P98" s="8">
        <v>149.97999999999999</v>
      </c>
      <c r="Q98" s="3"/>
      <c r="R98" s="7">
        <f t="shared" si="24"/>
        <v>8.4868326039550136E-5</v>
      </c>
      <c r="S98" s="3"/>
      <c r="T98" s="8">
        <v>204.74</v>
      </c>
      <c r="U98" s="3"/>
      <c r="V98" s="7">
        <f t="shared" si="25"/>
        <v>1.0693859258940418E-4</v>
      </c>
      <c r="W98" s="3"/>
      <c r="X98" s="8">
        <f t="shared" si="26"/>
        <v>-54.760000000000019</v>
      </c>
      <c r="Y98" s="3"/>
      <c r="Z98" s="7">
        <f t="shared" si="27"/>
        <v>-0.2674611702647261</v>
      </c>
    </row>
    <row r="99" spans="1:26" s="69" customFormat="1" ht="15" hidden="1" customHeight="1" outlineLevel="2" x14ac:dyDescent="0.3">
      <c r="A99" s="26"/>
      <c r="B99" s="12" t="str">
        <f>CONCATENATE("          ","6375"," - ","OUTSIDE REPAIRS &amp; MAINTENANCE")</f>
        <v xml:space="preserve">          6375 - OUTSIDE REPAIRS &amp; MAINTENANCE</v>
      </c>
      <c r="C99" s="12"/>
      <c r="D99" s="8"/>
      <c r="E99" s="3"/>
      <c r="F99" s="7">
        <f t="shared" si="20"/>
        <v>0</v>
      </c>
      <c r="G99" s="3"/>
      <c r="H99" s="8">
        <v>232.4</v>
      </c>
      <c r="I99" s="3"/>
      <c r="J99" s="7">
        <f t="shared" si="21"/>
        <v>6.3146494160443737E-3</v>
      </c>
      <c r="K99" s="3"/>
      <c r="L99" s="8">
        <f t="shared" si="22"/>
        <v>-232.4</v>
      </c>
      <c r="M99" s="3"/>
      <c r="N99" s="7">
        <f t="shared" si="23"/>
        <v>-1</v>
      </c>
      <c r="O99" s="12"/>
      <c r="P99" s="8">
        <v>137.41999999999999</v>
      </c>
      <c r="Q99" s="3"/>
      <c r="R99" s="7">
        <f t="shared" si="24"/>
        <v>7.7761070571776101E-5</v>
      </c>
      <c r="S99" s="3"/>
      <c r="T99" s="8">
        <v>257.51</v>
      </c>
      <c r="U99" s="3"/>
      <c r="V99" s="7">
        <f t="shared" si="25"/>
        <v>1.3450110861432777E-4</v>
      </c>
      <c r="W99" s="3"/>
      <c r="X99" s="8">
        <f t="shared" si="26"/>
        <v>-120.09</v>
      </c>
      <c r="Y99" s="3"/>
      <c r="Z99" s="7">
        <f t="shared" si="27"/>
        <v>-0.46635082132732714</v>
      </c>
    </row>
    <row r="100" spans="1:26" s="68" customFormat="1" ht="15" customHeight="1" outlineLevel="1" collapsed="1" x14ac:dyDescent="0.3">
      <c r="A100" s="25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SUM(OSRRefD22_10x_0)</f>
        <v>2418.29</v>
      </c>
      <c r="E100" s="2"/>
      <c r="F100" s="6">
        <f t="shared" si="20"/>
        <v>4.4246722192266462E-2</v>
      </c>
      <c r="G100" s="2"/>
      <c r="H100" s="2">
        <f>SUM(OSRRefH22_10x_0)</f>
        <v>328.71</v>
      </c>
      <c r="I100" s="2"/>
      <c r="J100" s="6">
        <f t="shared" si="21"/>
        <v>8.931533603906824E-3</v>
      </c>
      <c r="K100" s="2"/>
      <c r="L100" s="2">
        <f t="shared" si="22"/>
        <v>2089.58</v>
      </c>
      <c r="M100" s="2"/>
      <c r="N100" s="6">
        <f t="shared" si="23"/>
        <v>6.356910346506039</v>
      </c>
      <c r="O100" s="14"/>
      <c r="P100" s="2">
        <f>SUM(OSRRefP22_10x_0)</f>
        <v>4840.3900000000003</v>
      </c>
      <c r="Q100" s="2"/>
      <c r="R100" s="6">
        <f t="shared" si="24"/>
        <v>2.7390038450365258E-3</v>
      </c>
      <c r="S100" s="2"/>
      <c r="T100" s="2">
        <f>SUM(OSRRefT22_10x_0)</f>
        <v>4655.34</v>
      </c>
      <c r="U100" s="2"/>
      <c r="V100" s="6">
        <f t="shared" si="25"/>
        <v>2.4315498076836811E-3</v>
      </c>
      <c r="W100" s="2"/>
      <c r="X100" s="2">
        <f t="shared" si="26"/>
        <v>185.05000000000018</v>
      </c>
      <c r="Y100" s="2"/>
      <c r="Z100" s="6">
        <f t="shared" si="27"/>
        <v>3.9750050479664255E-2</v>
      </c>
    </row>
    <row r="101" spans="1:26" s="69" customFormat="1" ht="15" hidden="1" customHeight="1" outlineLevel="2" x14ac:dyDescent="0.3">
      <c r="A101" s="26"/>
      <c r="B101" s="12" t="str">
        <f>CONCATENATE("          ","6258"," - ","MEMBERSHIP DUES")</f>
        <v xml:space="preserve">          6258 - MEMBERSHIP DUES</v>
      </c>
      <c r="C101" s="12"/>
      <c r="D101" s="8">
        <v>510.65</v>
      </c>
      <c r="E101" s="3"/>
      <c r="F101" s="7">
        <f t="shared" si="20"/>
        <v>9.343208915175958E-3</v>
      </c>
      <c r="G101" s="3"/>
      <c r="H101" s="8">
        <v>328.71</v>
      </c>
      <c r="I101" s="3"/>
      <c r="J101" s="7">
        <f t="shared" si="21"/>
        <v>8.931533603906824E-3</v>
      </c>
      <c r="K101" s="3"/>
      <c r="L101" s="8">
        <f t="shared" si="22"/>
        <v>181.94</v>
      </c>
      <c r="M101" s="3"/>
      <c r="N101" s="7">
        <f t="shared" si="23"/>
        <v>0.55349700343768071</v>
      </c>
      <c r="O101" s="12"/>
      <c r="P101" s="8">
        <v>2932.75</v>
      </c>
      <c r="Q101" s="3"/>
      <c r="R101" s="7">
        <f t="shared" si="24"/>
        <v>1.6595384930823489E-3</v>
      </c>
      <c r="S101" s="3"/>
      <c r="T101" s="8">
        <v>2803.26</v>
      </c>
      <c r="U101" s="3"/>
      <c r="V101" s="7">
        <f t="shared" si="25"/>
        <v>1.4641822753842589E-3</v>
      </c>
      <c r="W101" s="3"/>
      <c r="X101" s="8">
        <f t="shared" si="26"/>
        <v>129.48999999999978</v>
      </c>
      <c r="Y101" s="3"/>
      <c r="Z101" s="7">
        <f t="shared" si="27"/>
        <v>4.6192647132267353E-2</v>
      </c>
    </row>
    <row r="102" spans="1:26" s="69" customFormat="1" ht="15" hidden="1" customHeight="1" outlineLevel="2" x14ac:dyDescent="0.3">
      <c r="A102" s="26"/>
      <c r="B102" s="12" t="str">
        <f>CONCATENATE("          ","6275"," - ","SUBSCRIPTIONS")</f>
        <v xml:space="preserve">          6275 - SUBSCRIPTIONS</v>
      </c>
      <c r="C102" s="12"/>
      <c r="D102" s="8">
        <v>1907.64</v>
      </c>
      <c r="E102" s="3"/>
      <c r="F102" s="7">
        <f t="shared" si="20"/>
        <v>3.4903513277090507E-2</v>
      </c>
      <c r="G102" s="3"/>
      <c r="H102" s="8"/>
      <c r="I102" s="3"/>
      <c r="J102" s="7">
        <f t="shared" si="21"/>
        <v>0</v>
      </c>
      <c r="K102" s="3"/>
      <c r="L102" s="8">
        <f t="shared" si="22"/>
        <v>1907.64</v>
      </c>
      <c r="M102" s="3"/>
      <c r="N102" s="7">
        <f t="shared" si="23"/>
        <v>0</v>
      </c>
      <c r="O102" s="12"/>
      <c r="P102" s="8">
        <v>1907.64</v>
      </c>
      <c r="Q102" s="3"/>
      <c r="R102" s="7">
        <f t="shared" si="24"/>
        <v>1.0794653519541769E-3</v>
      </c>
      <c r="S102" s="3"/>
      <c r="T102" s="8">
        <v>1852.08</v>
      </c>
      <c r="U102" s="3"/>
      <c r="V102" s="7">
        <f t="shared" si="25"/>
        <v>9.67367532299422E-4</v>
      </c>
      <c r="W102" s="3"/>
      <c r="X102" s="8">
        <f t="shared" si="26"/>
        <v>55.560000000000173</v>
      </c>
      <c r="Y102" s="3"/>
      <c r="Z102" s="7">
        <f t="shared" si="27"/>
        <v>2.9998704159647626E-2</v>
      </c>
    </row>
    <row r="103" spans="1:26" s="68" customFormat="1" ht="15" customHeight="1" outlineLevel="1" collapsed="1" x14ac:dyDescent="0.3">
      <c r="A103" s="25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SUM(OSRRefD22_11x_0)</f>
        <v>53.26</v>
      </c>
      <c r="E103" s="2"/>
      <c r="F103" s="6">
        <f t="shared" si="20"/>
        <v>9.744821439778156E-4</v>
      </c>
      <c r="G103" s="2"/>
      <c r="H103" s="2">
        <f>SUM(OSRRefH22_11x_0)</f>
        <v>362.77</v>
      </c>
      <c r="I103" s="2"/>
      <c r="J103" s="6">
        <f t="shared" si="21"/>
        <v>9.8569938410431046E-3</v>
      </c>
      <c r="K103" s="2"/>
      <c r="L103" s="2">
        <f t="shared" si="22"/>
        <v>-309.51</v>
      </c>
      <c r="M103" s="2"/>
      <c r="N103" s="6">
        <f t="shared" si="23"/>
        <v>-0.85318521377181133</v>
      </c>
      <c r="O103" s="14"/>
      <c r="P103" s="2">
        <f>SUM(OSRRefP22_11x_0)</f>
        <v>1533.62</v>
      </c>
      <c r="Q103" s="2"/>
      <c r="R103" s="6">
        <f t="shared" si="24"/>
        <v>8.6782079064391844E-4</v>
      </c>
      <c r="S103" s="2"/>
      <c r="T103" s="2">
        <f>SUM(OSRRefT22_11x_0)</f>
        <v>5373.43</v>
      </c>
      <c r="U103" s="2"/>
      <c r="V103" s="6">
        <f t="shared" si="25"/>
        <v>2.8066183529241091E-3</v>
      </c>
      <c r="W103" s="2"/>
      <c r="X103" s="2">
        <f t="shared" si="26"/>
        <v>-3839.8100000000004</v>
      </c>
      <c r="Y103" s="2"/>
      <c r="Z103" s="6">
        <f t="shared" si="27"/>
        <v>-0.71459198314670525</v>
      </c>
    </row>
    <row r="104" spans="1:26" s="69" customFormat="1" ht="15" hidden="1" customHeight="1" outlineLevel="2" x14ac:dyDescent="0.3">
      <c r="A104" s="26"/>
      <c r="B104" s="12" t="str">
        <f>CONCATENATE("          ","6241"," - ","OFFICE EXPENSE")</f>
        <v xml:space="preserve">          6241 - OFFICE EXPENSE</v>
      </c>
      <c r="C104" s="12"/>
      <c r="D104" s="8">
        <v>53.26</v>
      </c>
      <c r="E104" s="3"/>
      <c r="F104" s="7">
        <f t="shared" si="20"/>
        <v>9.744821439778156E-4</v>
      </c>
      <c r="G104" s="3"/>
      <c r="H104" s="8">
        <v>151.37</v>
      </c>
      <c r="I104" s="3"/>
      <c r="J104" s="7">
        <f t="shared" si="21"/>
        <v>4.112945275846114E-3</v>
      </c>
      <c r="K104" s="3"/>
      <c r="L104" s="8">
        <f t="shared" si="22"/>
        <v>-98.110000000000014</v>
      </c>
      <c r="M104" s="3"/>
      <c r="N104" s="7">
        <f t="shared" si="23"/>
        <v>-0.64814692475391433</v>
      </c>
      <c r="O104" s="12"/>
      <c r="P104" s="8">
        <v>1338.59</v>
      </c>
      <c r="Q104" s="3"/>
      <c r="R104" s="7">
        <f t="shared" si="24"/>
        <v>7.5746027839232845E-4</v>
      </c>
      <c r="S104" s="3"/>
      <c r="T104" s="8">
        <v>1566.67</v>
      </c>
      <c r="U104" s="3"/>
      <c r="V104" s="7">
        <f t="shared" si="25"/>
        <v>8.1829385978334391E-4</v>
      </c>
      <c r="W104" s="3"/>
      <c r="X104" s="8">
        <f t="shared" si="26"/>
        <v>-228.08000000000015</v>
      </c>
      <c r="Y104" s="3"/>
      <c r="Z104" s="7">
        <f t="shared" si="27"/>
        <v>-0.14558266897304484</v>
      </c>
    </row>
    <row r="105" spans="1:26" s="69" customFormat="1" ht="15" hidden="1" customHeight="1" outlineLevel="2" x14ac:dyDescent="0.3">
      <c r="A105" s="26"/>
      <c r="B105" s="12" t="str">
        <f>CONCATENATE("          ","6247"," - ","STORE SUPPLIES")</f>
        <v xml:space="preserve">          6247 - STORE SUPPLIES</v>
      </c>
      <c r="C105" s="12"/>
      <c r="D105" s="8"/>
      <c r="E105" s="3"/>
      <c r="F105" s="7">
        <f t="shared" si="20"/>
        <v>0</v>
      </c>
      <c r="G105" s="3"/>
      <c r="H105" s="8">
        <v>211.4</v>
      </c>
      <c r="I105" s="3"/>
      <c r="J105" s="7">
        <f t="shared" si="21"/>
        <v>5.7440485651969906E-3</v>
      </c>
      <c r="K105" s="3"/>
      <c r="L105" s="8">
        <f t="shared" si="22"/>
        <v>-211.4</v>
      </c>
      <c r="M105" s="3"/>
      <c r="N105" s="7">
        <f t="shared" si="23"/>
        <v>-1</v>
      </c>
      <c r="O105" s="12"/>
      <c r="P105" s="8">
        <v>195.03</v>
      </c>
      <c r="Q105" s="3"/>
      <c r="R105" s="7">
        <f t="shared" si="24"/>
        <v>1.1036051225158998E-4</v>
      </c>
      <c r="S105" s="3"/>
      <c r="T105" s="8">
        <v>3806.76</v>
      </c>
      <c r="U105" s="3"/>
      <c r="V105" s="7">
        <f t="shared" si="25"/>
        <v>1.9883244931407653E-3</v>
      </c>
      <c r="W105" s="3"/>
      <c r="X105" s="8">
        <f t="shared" si="26"/>
        <v>-3611.73</v>
      </c>
      <c r="Y105" s="3"/>
      <c r="Z105" s="7">
        <f t="shared" si="27"/>
        <v>-0.94876745578917498</v>
      </c>
    </row>
    <row r="106" spans="1:26" s="68" customFormat="1" ht="15" customHeight="1" outlineLevel="1" collapsed="1" x14ac:dyDescent="0.3">
      <c r="A106" s="25"/>
      <c r="B106" s="14" t="str">
        <f>CONCATENATE("     ","Telephone/Data Lines                              ")</f>
        <v xml:space="preserve">     Telephone/Data Lines                              </v>
      </c>
      <c r="C106" s="14"/>
      <c r="D106" s="2">
        <f>SUM(OSRRefD22_12x_0)</f>
        <v>526.5</v>
      </c>
      <c r="E106" s="2"/>
      <c r="F106" s="6">
        <f t="shared" si="20"/>
        <v>9.6332115810048805E-3</v>
      </c>
      <c r="G106" s="2"/>
      <c r="H106" s="2">
        <f>SUM(OSRRefH22_12x_0)</f>
        <v>1003.95</v>
      </c>
      <c r="I106" s="2"/>
      <c r="J106" s="6">
        <f t="shared" si="21"/>
        <v>2.7278796390868113E-2</v>
      </c>
      <c r="K106" s="2"/>
      <c r="L106" s="2">
        <f t="shared" si="22"/>
        <v>-477.45000000000005</v>
      </c>
      <c r="M106" s="2"/>
      <c r="N106" s="6">
        <f t="shared" si="23"/>
        <v>-0.47557149260421339</v>
      </c>
      <c r="O106" s="14"/>
      <c r="P106" s="2">
        <f>SUM(OSRRefP22_12x_0)</f>
        <v>5476.55</v>
      </c>
      <c r="Q106" s="2"/>
      <c r="R106" s="6">
        <f t="shared" si="24"/>
        <v>3.0989840710221256E-3</v>
      </c>
      <c r="S106" s="2"/>
      <c r="T106" s="2">
        <f>SUM(OSRRefT22_12x_0)</f>
        <v>8185.9</v>
      </c>
      <c r="U106" s="2"/>
      <c r="V106" s="6">
        <f t="shared" si="25"/>
        <v>4.2756111413382999E-3</v>
      </c>
      <c r="W106" s="2"/>
      <c r="X106" s="2">
        <f t="shared" si="26"/>
        <v>-2709.3499999999995</v>
      </c>
      <c r="Y106" s="2"/>
      <c r="Z106" s="6">
        <f t="shared" si="27"/>
        <v>-0.33097765670237844</v>
      </c>
    </row>
    <row r="107" spans="1:26" s="69" customFormat="1" ht="15" hidden="1" customHeight="1" outlineLevel="2" x14ac:dyDescent="0.3">
      <c r="A107" s="26"/>
      <c r="B107" s="12" t="str">
        <f>CONCATENATE("          ","6303"," - ","DATA PHONE LINES")</f>
        <v xml:space="preserve">          6303 - DATA PHONE LINES</v>
      </c>
      <c r="C107" s="12"/>
      <c r="D107" s="8"/>
      <c r="E107" s="3"/>
      <c r="F107" s="7">
        <f t="shared" si="20"/>
        <v>0</v>
      </c>
      <c r="G107" s="3"/>
      <c r="H107" s="8">
        <v>590</v>
      </c>
      <c r="I107" s="3"/>
      <c r="J107" s="7">
        <f t="shared" si="21"/>
        <v>1.6031166761902669E-2</v>
      </c>
      <c r="K107" s="3"/>
      <c r="L107" s="8">
        <f t="shared" si="22"/>
        <v>-590</v>
      </c>
      <c r="M107" s="3"/>
      <c r="N107" s="7">
        <f t="shared" si="23"/>
        <v>-1</v>
      </c>
      <c r="O107" s="12"/>
      <c r="P107" s="8">
        <v>295</v>
      </c>
      <c r="Q107" s="3"/>
      <c r="R107" s="7">
        <f t="shared" si="24"/>
        <v>1.6692996520647615E-4</v>
      </c>
      <c r="S107" s="3"/>
      <c r="T107" s="8">
        <v>3540</v>
      </c>
      <c r="U107" s="3"/>
      <c r="V107" s="7">
        <f t="shared" si="25"/>
        <v>1.8489919789317708E-3</v>
      </c>
      <c r="W107" s="3"/>
      <c r="X107" s="8">
        <f t="shared" si="26"/>
        <v>-3245</v>
      </c>
      <c r="Y107" s="3"/>
      <c r="Z107" s="7">
        <f t="shared" si="27"/>
        <v>-0.91666666666666663</v>
      </c>
    </row>
    <row r="108" spans="1:26" s="69" customFormat="1" ht="15" hidden="1" customHeight="1" outlineLevel="2" x14ac:dyDescent="0.3">
      <c r="A108" s="26"/>
      <c r="B108" s="12" t="str">
        <f>CONCATENATE("          ","6309"," - ","TELEPHONE")</f>
        <v xml:space="preserve">          6309 - TELEPHONE</v>
      </c>
      <c r="C108" s="12"/>
      <c r="D108" s="8">
        <v>526.5</v>
      </c>
      <c r="E108" s="3"/>
      <c r="F108" s="7">
        <f t="shared" si="20"/>
        <v>9.6332115810048805E-3</v>
      </c>
      <c r="G108" s="3"/>
      <c r="H108" s="8">
        <v>413.95</v>
      </c>
      <c r="I108" s="3"/>
      <c r="J108" s="7">
        <f t="shared" si="21"/>
        <v>1.1247629628965441E-2</v>
      </c>
      <c r="K108" s="3"/>
      <c r="L108" s="8">
        <f t="shared" si="22"/>
        <v>112.55000000000001</v>
      </c>
      <c r="M108" s="3"/>
      <c r="N108" s="7">
        <f t="shared" si="23"/>
        <v>0.27189274066916297</v>
      </c>
      <c r="O108" s="12"/>
      <c r="P108" s="8">
        <v>5181.55</v>
      </c>
      <c r="Q108" s="3"/>
      <c r="R108" s="7">
        <f t="shared" si="24"/>
        <v>2.9320541058156491E-3</v>
      </c>
      <c r="S108" s="3"/>
      <c r="T108" s="8">
        <v>4645.8999999999996</v>
      </c>
      <c r="U108" s="3"/>
      <c r="V108" s="7">
        <f t="shared" si="25"/>
        <v>2.4266191624065293E-3</v>
      </c>
      <c r="W108" s="3"/>
      <c r="X108" s="8">
        <f t="shared" si="26"/>
        <v>535.65000000000055</v>
      </c>
      <c r="Y108" s="3"/>
      <c r="Z108" s="7">
        <f t="shared" si="27"/>
        <v>0.11529520652618451</v>
      </c>
    </row>
    <row r="109" spans="1:26" s="68" customFormat="1" ht="15" customHeight="1" outlineLevel="1" collapsed="1" x14ac:dyDescent="0.3">
      <c r="A109" s="25"/>
      <c r="B109" s="14" t="str">
        <f>CONCATENATE("     ","Training                                          ")</f>
        <v xml:space="preserve">     Training                                          </v>
      </c>
      <c r="C109" s="14"/>
      <c r="D109" s="2">
        <f>SUM(OSRRefD22_13x_0)</f>
        <v>125</v>
      </c>
      <c r="E109" s="2"/>
      <c r="F109" s="6">
        <f t="shared" si="20"/>
        <v>2.2870872699441787E-3</v>
      </c>
      <c r="G109" s="2"/>
      <c r="H109" s="2">
        <f>SUM(OSRRefH22_13x_0)</f>
        <v>0</v>
      </c>
      <c r="I109" s="2"/>
      <c r="J109" s="6">
        <f t="shared" si="21"/>
        <v>0</v>
      </c>
      <c r="K109" s="2"/>
      <c r="L109" s="2">
        <f t="shared" si="22"/>
        <v>125</v>
      </c>
      <c r="M109" s="2"/>
      <c r="N109" s="6">
        <f t="shared" si="23"/>
        <v>0</v>
      </c>
      <c r="O109" s="14"/>
      <c r="P109" s="2">
        <f>SUM(OSRRefP22_13x_0)</f>
        <v>125</v>
      </c>
      <c r="Q109" s="2"/>
      <c r="R109" s="6">
        <f t="shared" si="24"/>
        <v>7.0733036104439048E-5</v>
      </c>
      <c r="S109" s="2"/>
      <c r="T109" s="2">
        <f>SUM(OSRRefT22_13x_0)</f>
        <v>0</v>
      </c>
      <c r="U109" s="2"/>
      <c r="V109" s="6">
        <f t="shared" si="25"/>
        <v>0</v>
      </c>
      <c r="W109" s="2"/>
      <c r="X109" s="2">
        <f t="shared" si="26"/>
        <v>125</v>
      </c>
      <c r="Y109" s="2"/>
      <c r="Z109" s="6">
        <f t="shared" si="27"/>
        <v>0</v>
      </c>
    </row>
    <row r="110" spans="1:26" s="69" customFormat="1" ht="15" hidden="1" customHeight="1" outlineLevel="2" x14ac:dyDescent="0.3">
      <c r="A110" s="26"/>
      <c r="B110" s="12" t="str">
        <f>CONCATENATE("          ","6376"," - ","TRAINING")</f>
        <v xml:space="preserve">          6376 - TRAINING</v>
      </c>
      <c r="C110" s="12"/>
      <c r="D110" s="8">
        <v>125</v>
      </c>
      <c r="E110" s="3"/>
      <c r="F110" s="7">
        <f t="shared" si="20"/>
        <v>2.2870872699441787E-3</v>
      </c>
      <c r="G110" s="3"/>
      <c r="H110" s="8"/>
      <c r="I110" s="3"/>
      <c r="J110" s="7">
        <f t="shared" si="21"/>
        <v>0</v>
      </c>
      <c r="K110" s="3"/>
      <c r="L110" s="8">
        <f t="shared" si="22"/>
        <v>125</v>
      </c>
      <c r="M110" s="3"/>
      <c r="N110" s="7">
        <f t="shared" si="23"/>
        <v>0</v>
      </c>
      <c r="O110" s="12"/>
      <c r="P110" s="8">
        <v>125</v>
      </c>
      <c r="Q110" s="3"/>
      <c r="R110" s="7">
        <f t="shared" si="24"/>
        <v>7.0733036104439048E-5</v>
      </c>
      <c r="S110" s="3"/>
      <c r="T110" s="8"/>
      <c r="U110" s="3"/>
      <c r="V110" s="7">
        <f t="shared" si="25"/>
        <v>0</v>
      </c>
      <c r="W110" s="3"/>
      <c r="X110" s="8">
        <f t="shared" si="26"/>
        <v>125</v>
      </c>
      <c r="Y110" s="3"/>
      <c r="Z110" s="7">
        <f t="shared" si="27"/>
        <v>0</v>
      </c>
    </row>
    <row r="111" spans="1:26" s="68" customFormat="1" ht="15" customHeight="1" outlineLevel="1" collapsed="1" x14ac:dyDescent="0.3">
      <c r="A111" s="25"/>
      <c r="B111" s="14" t="str">
        <f>CONCATENATE("     ","Travel                                            ")</f>
        <v xml:space="preserve">     Travel                                            </v>
      </c>
      <c r="C111" s="14"/>
      <c r="D111" s="2">
        <f>SUM(OSRRefD22_14x_0)</f>
        <v>0</v>
      </c>
      <c r="E111" s="2"/>
      <c r="F111" s="6">
        <f t="shared" si="20"/>
        <v>0</v>
      </c>
      <c r="G111" s="2"/>
      <c r="H111" s="2">
        <f>SUM(OSRRefH22_14x_0)</f>
        <v>0</v>
      </c>
      <c r="I111" s="2"/>
      <c r="J111" s="6">
        <f t="shared" si="21"/>
        <v>0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SUM(OSRRefP22_14x_0)</f>
        <v>0</v>
      </c>
      <c r="Q111" s="2"/>
      <c r="R111" s="6">
        <f t="shared" si="24"/>
        <v>0</v>
      </c>
      <c r="S111" s="2"/>
      <c r="T111" s="2">
        <f>SUM(OSRRefT22_14x_0)</f>
        <v>0.16</v>
      </c>
      <c r="U111" s="2"/>
      <c r="V111" s="6">
        <f t="shared" si="25"/>
        <v>8.3570258934769304E-8</v>
      </c>
      <c r="W111" s="2"/>
      <c r="X111" s="2">
        <f t="shared" si="26"/>
        <v>-0.16</v>
      </c>
      <c r="Y111" s="2"/>
      <c r="Z111" s="6">
        <f t="shared" si="27"/>
        <v>-1</v>
      </c>
    </row>
    <row r="112" spans="1:26" s="69" customFormat="1" ht="15" hidden="1" customHeight="1" outlineLevel="2" x14ac:dyDescent="0.3">
      <c r="A112" s="26"/>
      <c r="B112" s="12" t="str">
        <f>CONCATENATE("          ","6292"," - ","TRAVEL/CONFERENCE")</f>
        <v xml:space="preserve">          6292 - TRAVEL/CONFERENCE</v>
      </c>
      <c r="C112" s="12"/>
      <c r="D112" s="8"/>
      <c r="E112" s="3"/>
      <c r="F112" s="7">
        <f t="shared" si="20"/>
        <v>0</v>
      </c>
      <c r="G112" s="3"/>
      <c r="H112" s="8"/>
      <c r="I112" s="3"/>
      <c r="J112" s="7">
        <f t="shared" si="21"/>
        <v>0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/>
      <c r="Q112" s="3"/>
      <c r="R112" s="7">
        <f t="shared" si="24"/>
        <v>0</v>
      </c>
      <c r="S112" s="3"/>
      <c r="T112" s="8">
        <v>0.16</v>
      </c>
      <c r="U112" s="3"/>
      <c r="V112" s="7">
        <f t="shared" si="25"/>
        <v>8.3570258934769304E-8</v>
      </c>
      <c r="W112" s="3"/>
      <c r="X112" s="8">
        <f t="shared" si="26"/>
        <v>-0.16</v>
      </c>
      <c r="Y112" s="3"/>
      <c r="Z112" s="7">
        <f t="shared" si="27"/>
        <v>-1</v>
      </c>
    </row>
    <row r="113" spans="1:26" s="64" customFormat="1" ht="15" customHeight="1" x14ac:dyDescent="0.3">
      <c r="A113" s="36"/>
      <c r="B113" s="36"/>
      <c r="C113" s="36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2" customFormat="1" ht="15" customHeight="1" collapsed="1" x14ac:dyDescent="0.3">
      <c r="A114" s="11"/>
      <c r="B114" s="27" t="s">
        <v>290</v>
      </c>
      <c r="C114" s="11"/>
      <c r="D114" s="5">
        <f>SUM(OSRRefD25x_0)</f>
        <v>6860.4</v>
      </c>
      <c r="E114" s="5"/>
      <c r="F114" s="13">
        <f>IF(D$12=0,0,D114/D$12)</f>
        <v>0.12552266805380033</v>
      </c>
      <c r="G114" s="5"/>
      <c r="H114" s="5">
        <f>SUM(OSRRefH25x_0)</f>
        <v>505.94</v>
      </c>
      <c r="I114" s="5"/>
      <c r="J114" s="13">
        <f>IF(H$12=0,0,H114/H$12)</f>
        <v>1.3747133070367859E-2</v>
      </c>
      <c r="K114" s="5"/>
      <c r="L114" s="5">
        <f>+D114-H114</f>
        <v>6354.46</v>
      </c>
      <c r="M114" s="5"/>
      <c r="N114" s="13">
        <f>IF(H114=0,0,L114/H114)</f>
        <v>12.559710637625015</v>
      </c>
      <c r="O114" s="11"/>
      <c r="P114" s="5">
        <f>SUM(OSRRefP25x_0)</f>
        <v>357264.84</v>
      </c>
      <c r="Q114" s="5"/>
      <c r="R114" s="13">
        <f>IF(P$12=0,0,P114/P$12)</f>
        <v>0.20216341461253312</v>
      </c>
      <c r="S114" s="5"/>
      <c r="T114" s="5">
        <f>SUM(OSRRefT25x_0)</f>
        <v>331308.07</v>
      </c>
      <c r="U114" s="5"/>
      <c r="V114" s="13">
        <f>IF(T$12=0,0,T114/T$12)</f>
        <v>0.17304688248174172</v>
      </c>
      <c r="W114" s="5"/>
      <c r="X114" s="5">
        <f>+P114-T114</f>
        <v>25956.770000000019</v>
      </c>
      <c r="Y114" s="5"/>
      <c r="Z114" s="13">
        <f>IF(T114=0,0,X114/T114)</f>
        <v>7.8346325822972004E-2</v>
      </c>
    </row>
    <row r="115" spans="1:26" s="69" customFormat="1" ht="15" hidden="1" customHeight="1" outlineLevel="1" x14ac:dyDescent="0.3">
      <c r="A115" s="42"/>
      <c r="B115" s="12" t="str">
        <f>CONCATENATE("          ","9150"," - ","MISC. INCOME")</f>
        <v xml:space="preserve">          9150 - MISC. INCOME</v>
      </c>
      <c r="C115" s="12"/>
      <c r="D115" s="3">
        <f>--7356.49</f>
        <v>7356.49</v>
      </c>
      <c r="E115" s="3"/>
      <c r="F115" s="20">
        <f>IF(D$12=0,0,D115/D$12)</f>
        <v>0.1345994770437732</v>
      </c>
      <c r="G115" s="3"/>
      <c r="H115" s="3">
        <f>0</f>
        <v>0</v>
      </c>
      <c r="I115" s="3"/>
      <c r="J115" s="20">
        <f>IF(H$12=0,0,H115/H$12)</f>
        <v>0</v>
      </c>
      <c r="K115" s="3"/>
      <c r="L115" s="3">
        <f>+D115-H115</f>
        <v>7356.49</v>
      </c>
      <c r="M115" s="3"/>
      <c r="N115" s="20">
        <f>IF(H115=0,0,L115/H115)</f>
        <v>0</v>
      </c>
      <c r="O115" s="12"/>
      <c r="P115" s="3">
        <f>--29614.71</f>
        <v>29614.71</v>
      </c>
      <c r="Q115" s="3"/>
      <c r="R115" s="20">
        <f>IF(P$12=0,0,P115/P$12)</f>
        <v>1.6757906813219935E-2</v>
      </c>
      <c r="S115" s="3"/>
      <c r="T115" s="3">
        <f>--31463.11</f>
        <v>31463.11</v>
      </c>
      <c r="U115" s="3"/>
      <c r="V115" s="20">
        <f>IF(T$12=0,0,T115/T$12)</f>
        <v>1.643362655995706E-2</v>
      </c>
      <c r="W115" s="3"/>
      <c r="X115" s="3">
        <f>+P115-T115</f>
        <v>-1848.4000000000015</v>
      </c>
      <c r="Y115" s="3"/>
      <c r="Z115" s="20">
        <f>IF(T115=0,0,X115/T115)</f>
        <v>-5.8748165708984314E-2</v>
      </c>
    </row>
    <row r="116" spans="1:26" s="69" customFormat="1" ht="15" hidden="1" customHeight="1" outlineLevel="1" x14ac:dyDescent="0.3">
      <c r="A116" s="42"/>
      <c r="B116" s="12" t="str">
        <f>CONCATENATE("          ","9151"," - ","MISC. INCOME")</f>
        <v xml:space="preserve">          9151 - MISC.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>
        <f>0</f>
        <v>0</v>
      </c>
      <c r="I116" s="3"/>
      <c r="J116" s="20">
        <f>IF(H$12=0,0,H116/H$12)</f>
        <v>0</v>
      </c>
      <c r="K116" s="3"/>
      <c r="L116" s="3">
        <f>+D116-H116</f>
        <v>0</v>
      </c>
      <c r="M116" s="3"/>
      <c r="N116" s="20">
        <f>IF(H116=0,0,L116/H116)</f>
        <v>0</v>
      </c>
      <c r="O116" s="12"/>
      <c r="P116" s="3">
        <f>--323761.7</f>
        <v>323761.7</v>
      </c>
      <c r="Q116" s="3"/>
      <c r="R116" s="20">
        <f>IF(P$12=0,0,P116/P$12)</f>
        <v>0.18320518412267653</v>
      </c>
      <c r="S116" s="3"/>
      <c r="T116" s="3">
        <f>--295628.46</f>
        <v>295628.46000000002</v>
      </c>
      <c r="U116" s="3"/>
      <c r="V116" s="20">
        <f>IF(T$12=0,0,T116/T$12)</f>
        <v>0.15441091844179433</v>
      </c>
      <c r="W116" s="3"/>
      <c r="X116" s="3">
        <f>+P116-T116</f>
        <v>28133.239999999991</v>
      </c>
      <c r="Y116" s="3"/>
      <c r="Z116" s="20">
        <f>IF(T116=0,0,X116/T116)</f>
        <v>9.5164180065748699E-2</v>
      </c>
    </row>
    <row r="117" spans="1:26" s="69" customFormat="1" ht="15" hidden="1" customHeight="1" outlineLevel="1" x14ac:dyDescent="0.3">
      <c r="A117" s="42"/>
      <c r="B117" s="12" t="str">
        <f>CONCATENATE("          ","9152"," - ","MISC. INCOME")</f>
        <v xml:space="preserve">          9152 - MISC. INCOME</v>
      </c>
      <c r="C117" s="12"/>
      <c r="D117" s="3">
        <f>-496.09</f>
        <v>-496.09</v>
      </c>
      <c r="E117" s="3"/>
      <c r="F117" s="20">
        <f>IF(D$12=0,0,D117/D$12)</f>
        <v>-9.0768089899728611E-3</v>
      </c>
      <c r="G117" s="3"/>
      <c r="H117" s="3">
        <f>--505.94</f>
        <v>505.94</v>
      </c>
      <c r="I117" s="3"/>
      <c r="J117" s="20">
        <f>IF(H$12=0,0,H117/H$12)</f>
        <v>1.3747133070367859E-2</v>
      </c>
      <c r="K117" s="3"/>
      <c r="L117" s="3">
        <f>+D117-H117</f>
        <v>-1002.03</v>
      </c>
      <c r="M117" s="3"/>
      <c r="N117" s="20">
        <f>IF(H117=0,0,L117/H117)</f>
        <v>-1.9805312882950548</v>
      </c>
      <c r="O117" s="12"/>
      <c r="P117" s="3">
        <f>--3888.43</f>
        <v>3888.43</v>
      </c>
      <c r="Q117" s="3"/>
      <c r="R117" s="20">
        <f>IF(P$12=0,0,P117/P$12)</f>
        <v>2.2003236766366713E-3</v>
      </c>
      <c r="S117" s="3"/>
      <c r="T117" s="3">
        <f>--4216.5</f>
        <v>4216.5</v>
      </c>
      <c r="U117" s="3"/>
      <c r="V117" s="20">
        <f>IF(T$12=0,0,T117/T$12)</f>
        <v>2.2023374799903421E-3</v>
      </c>
      <c r="W117" s="3"/>
      <c r="X117" s="3">
        <f>+P117-T117</f>
        <v>-328.07000000000016</v>
      </c>
      <c r="Y117" s="3"/>
      <c r="Z117" s="20">
        <f>IF(T117=0,0,X117/T117)</f>
        <v>-7.7806237400687817E-2</v>
      </c>
    </row>
    <row r="118" spans="1:26" ht="15" customHeight="1" x14ac:dyDescent="0.3">
      <c r="A118" s="10"/>
      <c r="B118" s="11"/>
      <c r="C118" s="11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O118" s="11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11"/>
      <c r="B119" s="28" t="s">
        <v>291</v>
      </c>
      <c r="C119" s="28"/>
      <c r="D119" s="21">
        <f>+D59-D61+D114</f>
        <v>-38330.680000000015</v>
      </c>
      <c r="E119" s="15"/>
      <c r="F119" s="23">
        <f>IF(D$12=0,0,D119/D$12)</f>
        <v>-0.70132488221043177</v>
      </c>
      <c r="G119" s="15"/>
      <c r="H119" s="21">
        <f>+H59-H61+H114</f>
        <v>-46258.900000000023</v>
      </c>
      <c r="I119" s="15"/>
      <c r="J119" s="23">
        <f>IF(H$12=0,0,H119/H$12)</f>
        <v>-1.2569222713935251</v>
      </c>
      <c r="K119" s="16"/>
      <c r="L119" s="21">
        <f>+D119-H119</f>
        <v>7928.2200000000084</v>
      </c>
      <c r="M119" s="16"/>
      <c r="N119" s="23">
        <f>IF(H119=0,0,L119/H119)</f>
        <v>-0.17138799236471261</v>
      </c>
      <c r="O119" s="27"/>
      <c r="P119" s="21">
        <f>+P59-P61+P114</f>
        <v>297610.50000000006</v>
      </c>
      <c r="Q119" s="15"/>
      <c r="R119" s="23">
        <f>IF(P$12=0,0,P119/P$12)</f>
        <v>0.16840715393248129</v>
      </c>
      <c r="S119" s="15"/>
      <c r="T119" s="21">
        <f>+T59-T61+T114</f>
        <v>422698.44000000006</v>
      </c>
      <c r="U119" s="15"/>
      <c r="V119" s="23">
        <f>IF(T$12=0,0,T119/T$12)</f>
        <v>0.22078136301326906</v>
      </c>
      <c r="W119" s="16"/>
      <c r="X119" s="21">
        <f>+P119-T119</f>
        <v>-125087.94</v>
      </c>
      <c r="Y119" s="16"/>
      <c r="Z119" s="23">
        <f>IF(T119=0,0,X119/T119)</f>
        <v>-0.29592713897879536</v>
      </c>
    </row>
    <row r="120" spans="1:26" ht="15" customHeight="1" x14ac:dyDescent="0.3">
      <c r="A120" s="10"/>
      <c r="B120" s="11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48"/>
      <c r="B121" s="11" t="s">
        <v>292</v>
      </c>
      <c r="C121" s="11"/>
      <c r="D121" s="5">
        <v>-4192.8599999999997</v>
      </c>
      <c r="E121" s="5"/>
      <c r="F121" s="13">
        <f>IF(D$12=0,0,D121/D$12)</f>
        <v>-7.6715493845265187E-2</v>
      </c>
      <c r="G121" s="5"/>
      <c r="H121" s="5">
        <v>13544</v>
      </c>
      <c r="I121" s="5"/>
      <c r="J121" s="13">
        <f>IF(H$12=0,0,H121/H$12)</f>
        <v>0.36801037732747416</v>
      </c>
      <c r="K121" s="5"/>
      <c r="L121" s="5">
        <f>+D121-H121</f>
        <v>-17736.86</v>
      </c>
      <c r="M121" s="5"/>
      <c r="N121" s="13">
        <f>IF(H121=0,0,L121/H121)</f>
        <v>-1.3095732427643236</v>
      </c>
      <c r="O121" s="11"/>
      <c r="P121" s="5">
        <v>200196.2</v>
      </c>
      <c r="Q121" s="5"/>
      <c r="R121" s="13">
        <f>IF(P$12=0,0,P121/P$12)</f>
        <v>0.11328388034057202</v>
      </c>
      <c r="S121" s="5"/>
      <c r="T121" s="5">
        <v>400533.03</v>
      </c>
      <c r="U121" s="5"/>
      <c r="V121" s="13">
        <f>IF(T$12=0,0,T121/T$12)</f>
        <v>0.20920405643142329</v>
      </c>
      <c r="W121" s="5"/>
      <c r="X121" s="5">
        <f>+P121-T121</f>
        <v>-200336.83000000002</v>
      </c>
      <c r="Y121" s="5"/>
      <c r="Z121" s="13">
        <f>IF(T121=0,0,X121/T121)</f>
        <v>-0.5001755535617125</v>
      </c>
    </row>
    <row r="122" spans="1:26" ht="15" customHeight="1" x14ac:dyDescent="0.3">
      <c r="A122" s="10"/>
      <c r="B122" s="11"/>
      <c r="C122" s="11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O122" s="11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8" t="s">
        <v>293</v>
      </c>
      <c r="C123" s="28"/>
      <c r="D123" s="34">
        <f>+D119-D121</f>
        <v>-34137.820000000014</v>
      </c>
      <c r="E123" s="15"/>
      <c r="F123" s="30">
        <f>IF(D$12=0,0,D123/D$12)</f>
        <v>-0.62460938836516655</v>
      </c>
      <c r="G123" s="15"/>
      <c r="H123" s="34">
        <f>+H119-H121</f>
        <v>-59802.900000000023</v>
      </c>
      <c r="I123" s="15"/>
      <c r="J123" s="30">
        <f>IF(H$12=0,0,H123/H$12)</f>
        <v>-1.6249326487209992</v>
      </c>
      <c r="K123" s="16"/>
      <c r="L123" s="34">
        <f>D123-H123</f>
        <v>25665.080000000009</v>
      </c>
      <c r="M123" s="16"/>
      <c r="N123" s="30">
        <f>IF(H123=0,0,L123/H123)</f>
        <v>-0.42916112763762293</v>
      </c>
      <c r="O123" s="27"/>
      <c r="P123" s="34">
        <f>+P119-P121</f>
        <v>97414.300000000047</v>
      </c>
      <c r="Q123" s="15"/>
      <c r="R123" s="30">
        <f>IF(P$12=0,0,P123/P$12)</f>
        <v>5.5123273591909279E-2</v>
      </c>
      <c r="S123" s="15"/>
      <c r="T123" s="34">
        <f>+T119-T121</f>
        <v>22165.410000000033</v>
      </c>
      <c r="U123" s="15"/>
      <c r="V123" s="30">
        <f>IF(T$12=0,0,T123/T$12)</f>
        <v>1.1577306581845798E-2</v>
      </c>
      <c r="W123" s="16"/>
      <c r="X123" s="34">
        <f>P123-T123</f>
        <v>75248.890000000014</v>
      </c>
      <c r="Y123" s="16"/>
      <c r="Z123" s="30">
        <f>IF(T123=0,0,X123/T123)</f>
        <v>3.3948792284915958</v>
      </c>
    </row>
    <row r="124" spans="1:26" ht="15" customHeight="1" x14ac:dyDescent="0.3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ht="15" customHeight="1" x14ac:dyDescent="0.3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2" customFormat="1" ht="15" customHeight="1" x14ac:dyDescent="0.3">
      <c r="A126" s="11"/>
      <c r="B126" s="28" t="s">
        <v>296</v>
      </c>
      <c r="C126" s="28"/>
      <c r="D126" s="29">
        <f>SUM(D123:D125)</f>
        <v>-34137.820000000014</v>
      </c>
      <c r="E126" s="15"/>
      <c r="F126" s="35">
        <f>IF(D$12=0,0,D126/D$12)</f>
        <v>-0.62460938836516655</v>
      </c>
      <c r="G126" s="15"/>
      <c r="H126" s="29">
        <f>SUM(H123:H125)</f>
        <v>-59802.900000000023</v>
      </c>
      <c r="I126" s="15"/>
      <c r="J126" s="35">
        <f>IF(H$12=0,0,H126/H$12)</f>
        <v>-1.6249326487209992</v>
      </c>
      <c r="K126" s="16"/>
      <c r="L126" s="29">
        <f>+D126-H126</f>
        <v>25665.080000000009</v>
      </c>
      <c r="M126" s="16"/>
      <c r="N126" s="35">
        <f>IF(H126=0,0,L126/H126)</f>
        <v>-0.42916112763762293</v>
      </c>
      <c r="O126" s="27"/>
      <c r="P126" s="29">
        <f>SUM(P123:P125)</f>
        <v>97414.300000000047</v>
      </c>
      <c r="Q126" s="15"/>
      <c r="R126" s="35">
        <f>IF(P$12=0,0,P126/P$12)</f>
        <v>5.5123273591909279E-2</v>
      </c>
      <c r="S126" s="15"/>
      <c r="T126" s="29">
        <f>SUM(T123:T125)</f>
        <v>22165.410000000033</v>
      </c>
      <c r="U126" s="15"/>
      <c r="V126" s="35">
        <f>IF(T$12=0,0,T126/T$12)</f>
        <v>1.1577306581845798E-2</v>
      </c>
      <c r="W126" s="16"/>
      <c r="X126" s="29">
        <f>+P126-T126</f>
        <v>75248.890000000014</v>
      </c>
      <c r="Y126" s="16"/>
      <c r="Z126" s="35">
        <f>IF(T126=0,0,X126/T126)</f>
        <v>3.3948792284915958</v>
      </c>
    </row>
    <row r="127" spans="1:26" ht="15" customHeight="1" x14ac:dyDescent="0.3">
      <c r="A127" s="10"/>
      <c r="C127" s="10"/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3">
      <c r="A128" s="10"/>
      <c r="B128" s="56">
        <v>44694.890829479169</v>
      </c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  <row r="129" spans="1:24" ht="15" customHeight="1" x14ac:dyDescent="0.3">
      <c r="A129" s="10"/>
      <c r="B129" s="52" t="s">
        <v>297</v>
      </c>
      <c r="D129" s="18"/>
      <c r="E129" s="18"/>
      <c r="G129" s="18"/>
      <c r="H129" s="18"/>
      <c r="I129" s="18"/>
      <c r="J129" s="40"/>
      <c r="K129" s="18"/>
      <c r="L129" s="18"/>
      <c r="M129" s="18"/>
      <c r="P129" s="18"/>
      <c r="Q129" s="18"/>
      <c r="R129" s="40"/>
      <c r="S129" s="18"/>
      <c r="T129" s="18"/>
      <c r="U129" s="18"/>
      <c r="V129" s="40"/>
      <c r="W129" s="18"/>
      <c r="X129" s="18"/>
    </row>
    <row r="130" spans="1:24" ht="15" customHeight="1" x14ac:dyDescent="0.3">
      <c r="A130" s="10"/>
      <c r="B130" s="58"/>
      <c r="D130" s="18"/>
      <c r="E130" s="18"/>
      <c r="G130" s="18"/>
      <c r="H130" s="18"/>
      <c r="I130" s="18"/>
      <c r="J130" s="40"/>
      <c r="K130" s="18"/>
      <c r="L130" s="18"/>
      <c r="M130" s="18"/>
      <c r="P130" s="18"/>
      <c r="Q130" s="18"/>
      <c r="R130" s="40"/>
      <c r="S130" s="18"/>
      <c r="T130" s="18"/>
      <c r="U130" s="18"/>
      <c r="V130" s="40"/>
      <c r="W130" s="18"/>
      <c r="X130" s="18"/>
    </row>
    <row r="131" spans="1:24" ht="15" customHeight="1" x14ac:dyDescent="0.3">
      <c r="D131" s="18"/>
      <c r="E131" s="18"/>
      <c r="G131" s="18"/>
      <c r="H131" s="18"/>
      <c r="I131" s="18"/>
      <c r="J131" s="40"/>
      <c r="K131" s="18"/>
      <c r="L131" s="18"/>
      <c r="M131" s="18"/>
      <c r="P131" s="18"/>
      <c r="Q131" s="18"/>
      <c r="R131" s="40"/>
      <c r="S131" s="18"/>
      <c r="T131" s="18"/>
      <c r="U131" s="18"/>
      <c r="V131" s="40"/>
      <c r="W131" s="18"/>
      <c r="X13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874BA-6B56-36D3-00F8-A63C66CD2849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","324"," - ","Textbook Rental")</f>
        <v>Department 324 - Textbook Rental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-3799.43</v>
      </c>
      <c r="E12" s="5"/>
      <c r="F12" s="13"/>
      <c r="G12" s="5"/>
      <c r="H12" s="5">
        <f>SUM(OSRRefH13x_0)</f>
        <v>-11152.18</v>
      </c>
      <c r="I12" s="5"/>
      <c r="J12" s="13"/>
      <c r="K12" s="5"/>
      <c r="L12" s="5">
        <f>+D12-H12</f>
        <v>7352.75</v>
      </c>
      <c r="M12" s="5"/>
      <c r="N12" s="13">
        <f>IF(H12=0,0,L12/H12)</f>
        <v>-0.65931055632172364</v>
      </c>
      <c r="O12" s="11"/>
      <c r="P12" s="5">
        <f>SUM(OSRRefP13x_0)</f>
        <v>435012.20999999996</v>
      </c>
      <c r="Q12" s="5"/>
      <c r="R12" s="13"/>
      <c r="S12" s="5"/>
      <c r="T12" s="5">
        <f>SUM(OSRRefT13x_0)</f>
        <v>765079.81</v>
      </c>
      <c r="U12" s="5"/>
      <c r="V12" s="13"/>
      <c r="W12" s="5"/>
      <c r="X12" s="5">
        <f>+P12-T12</f>
        <v>-330067.60000000009</v>
      </c>
      <c r="Y12" s="5"/>
      <c r="Z12" s="13">
        <f>IF(T12=0,0,X12/T12)</f>
        <v>-0.43141590679278291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--272.75</f>
        <v>272.75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272.75</v>
      </c>
      <c r="M13" s="3"/>
      <c r="N13" s="20">
        <f>IF(H13=0,0,L13/H13)</f>
        <v>0</v>
      </c>
      <c r="O13" s="12"/>
      <c r="P13" s="3">
        <f>--271376.17</f>
        <v>271376.17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271376.17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","4001"," - ","TAXABLE SALES-NEW TEXT")</f>
        <v xml:space="preserve">          4001 - TAXABLE SALES-NEW TEXT</v>
      </c>
      <c r="C14" s="12"/>
      <c r="D14" s="3">
        <f>0</f>
        <v>0</v>
      </c>
      <c r="E14" s="3"/>
      <c r="F14" s="20"/>
      <c r="G14" s="3"/>
      <c r="H14" s="3">
        <f>--552.45</f>
        <v>552.45000000000005</v>
      </c>
      <c r="I14" s="3"/>
      <c r="J14" s="20"/>
      <c r="K14" s="3"/>
      <c r="L14" s="3">
        <f>+D14-H14</f>
        <v>-552.45000000000005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--264005.38</f>
        <v>264005.38</v>
      </c>
      <c r="U14" s="3"/>
      <c r="V14" s="20"/>
      <c r="W14" s="3"/>
      <c r="X14" s="3">
        <f>+P14-T14</f>
        <v>-264005.38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","4002"," - ","TAXABLE SALES-USED TEXT")</f>
        <v xml:space="preserve">          4002 - TAXABLE SALES-USED TEXT</v>
      </c>
      <c r="C15" s="12"/>
      <c r="D15" s="3">
        <f>0</f>
        <v>0</v>
      </c>
      <c r="E15" s="3"/>
      <c r="F15" s="20"/>
      <c r="G15" s="3"/>
      <c r="H15" s="3">
        <f>--680.7</f>
        <v>680.7</v>
      </c>
      <c r="I15" s="3"/>
      <c r="J15" s="20"/>
      <c r="K15" s="3"/>
      <c r="L15" s="3">
        <f>+D15-H15</f>
        <v>-680.7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f>--227235.66</f>
        <v>227235.66</v>
      </c>
      <c r="U15" s="3"/>
      <c r="V15" s="20"/>
      <c r="W15" s="3"/>
      <c r="X15" s="3">
        <f>+P15-T15</f>
        <v>-227235.66</v>
      </c>
      <c r="Y15" s="3"/>
      <c r="Z15" s="20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-4072.18</f>
        <v>-4072.18</v>
      </c>
      <c r="E16" s="3"/>
      <c r="F16" s="20"/>
      <c r="G16" s="3"/>
      <c r="H16" s="3">
        <f>-12385.33</f>
        <v>-12385.33</v>
      </c>
      <c r="I16" s="3"/>
      <c r="J16" s="20"/>
      <c r="K16" s="3"/>
      <c r="L16" s="3">
        <f>+D16-H16</f>
        <v>8313.15</v>
      </c>
      <c r="M16" s="3"/>
      <c r="N16" s="20">
        <f>IF(H16=0,0,L16/H16)</f>
        <v>-0.67120940661250039</v>
      </c>
      <c r="O16" s="12"/>
      <c r="P16" s="3">
        <f>--163636.04</f>
        <v>163636.04</v>
      </c>
      <c r="Q16" s="3"/>
      <c r="R16" s="20"/>
      <c r="S16" s="3"/>
      <c r="T16" s="3">
        <f>--273838.77</f>
        <v>273838.77</v>
      </c>
      <c r="U16" s="3"/>
      <c r="V16" s="20"/>
      <c r="W16" s="3"/>
      <c r="X16" s="3">
        <f>+P16-T16</f>
        <v>-110202.73000000001</v>
      </c>
      <c r="Y16" s="3"/>
      <c r="Z16" s="20">
        <f>IF(T16=0,0,X16/T16)</f>
        <v>-0.40243655052934979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-22823.43</v>
      </c>
      <c r="E18" s="5"/>
      <c r="F18" s="13">
        <f>IF(D$12=0,0,D18/D$12)</f>
        <v>6.0070668495011095</v>
      </c>
      <c r="G18" s="5"/>
      <c r="H18" s="5">
        <f>SUM(OSRRefH16x_0)</f>
        <v>274.5</v>
      </c>
      <c r="I18" s="5"/>
      <c r="J18" s="13">
        <f>IF(H$12=0,0,H18/H$12)</f>
        <v>-2.461402165316557E-2</v>
      </c>
      <c r="K18" s="5"/>
      <c r="L18" s="5">
        <f>+D18-H18</f>
        <v>-23097.93</v>
      </c>
      <c r="M18" s="5"/>
      <c r="N18" s="13">
        <f>IF(H18=0,0,L18/H18)</f>
        <v>-84.145464480874324</v>
      </c>
      <c r="O18" s="11"/>
      <c r="P18" s="5">
        <f>SUM(OSRRefP16x_0)</f>
        <v>302402.75</v>
      </c>
      <c r="Q18" s="5"/>
      <c r="R18" s="13">
        <f>IF(P$12=0,0,P18/P$12)</f>
        <v>0.69515922323191803</v>
      </c>
      <c r="S18" s="5"/>
      <c r="T18" s="5">
        <f>SUM(OSRRefT16x_0)</f>
        <v>543197.22</v>
      </c>
      <c r="U18" s="5"/>
      <c r="V18" s="13">
        <f>IF(T$12=0,0,T18/T$12)</f>
        <v>0.70998765475199244</v>
      </c>
      <c r="W18" s="5"/>
      <c r="X18" s="5">
        <f>+P18-T18</f>
        <v>-240794.46999999997</v>
      </c>
      <c r="Y18" s="5"/>
      <c r="Z18" s="13">
        <f>IF(T18=0,0,X18/T18)</f>
        <v>-0.4432910573437765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-22823.43</v>
      </c>
      <c r="E19" s="3"/>
      <c r="F19" s="20">
        <f>IF(D$12=0,0,D19/D$12)</f>
        <v>6.0070668495011095</v>
      </c>
      <c r="G19" s="3"/>
      <c r="H19" s="3"/>
      <c r="I19" s="3"/>
      <c r="J19" s="20">
        <f>IF(H$12=0,0,H19/H$12)</f>
        <v>0</v>
      </c>
      <c r="K19" s="3"/>
      <c r="L19" s="3">
        <f>+D19-H19</f>
        <v>-22823.43</v>
      </c>
      <c r="M19" s="3"/>
      <c r="N19" s="20">
        <f>IF(H19=0,0,L19/H19)</f>
        <v>0</v>
      </c>
      <c r="O19" s="12"/>
      <c r="P19" s="3">
        <v>302402.75</v>
      </c>
      <c r="Q19" s="3"/>
      <c r="R19" s="20">
        <f>IF(P$12=0,0,P19/P$12)</f>
        <v>0.69515922323191803</v>
      </c>
      <c r="S19" s="3"/>
      <c r="T19" s="3"/>
      <c r="U19" s="3"/>
      <c r="V19" s="20">
        <f>IF(T$12=0,0,T19/T$12)</f>
        <v>0</v>
      </c>
      <c r="W19" s="3"/>
      <c r="X19" s="3">
        <f>+P19-T19</f>
        <v>302402.75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","5001"," - ","PURCHASES @ COST-NEW TEXT")</f>
        <v xml:space="preserve">          5001 - PURCHASES @ COST-NEW TEXT</v>
      </c>
      <c r="C20" s="12"/>
      <c r="D20" s="3"/>
      <c r="E20" s="3"/>
      <c r="F20" s="20">
        <f>IF(D$12=0,0,D20/D$12)</f>
        <v>0</v>
      </c>
      <c r="G20" s="3"/>
      <c r="H20" s="3">
        <v>128.88999999999999</v>
      </c>
      <c r="I20" s="3"/>
      <c r="J20" s="20">
        <f>IF(H$12=0,0,H20/H$12)</f>
        <v>-1.1557381606107505E-2</v>
      </c>
      <c r="K20" s="3"/>
      <c r="L20" s="3">
        <f>+D20-H20</f>
        <v>-128.88999999999999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300559.03000000003</v>
      </c>
      <c r="U20" s="3"/>
      <c r="V20" s="20">
        <f>IF(T$12=0,0,T20/T$12)</f>
        <v>0.39284663648358464</v>
      </c>
      <c r="W20" s="3"/>
      <c r="X20" s="3">
        <f>+P20-T20</f>
        <v>-300559.03000000003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","5002"," - ","PURCHASES @ COST-USED TEXT")</f>
        <v xml:space="preserve">          5002 - PURCHASES @ COST-USED TEXT</v>
      </c>
      <c r="C21" s="12"/>
      <c r="D21" s="3"/>
      <c r="E21" s="3"/>
      <c r="F21" s="20">
        <f>IF(D$12=0,0,D21/D$12)</f>
        <v>0</v>
      </c>
      <c r="G21" s="3"/>
      <c r="H21" s="3">
        <v>145.61000000000001</v>
      </c>
      <c r="I21" s="3"/>
      <c r="J21" s="20">
        <f>IF(H$12=0,0,H21/H$12)</f>
        <v>-1.3056640047058065E-2</v>
      </c>
      <c r="K21" s="3"/>
      <c r="L21" s="3">
        <f>+D21-H21</f>
        <v>-145.61000000000001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242638.19</v>
      </c>
      <c r="U21" s="3"/>
      <c r="V21" s="20">
        <f>IF(T$12=0,0,T21/T$12)</f>
        <v>0.31714101826840785</v>
      </c>
      <c r="W21" s="3"/>
      <c r="X21" s="3">
        <f>+P21-T21</f>
        <v>-242638.19</v>
      </c>
      <c r="Y21" s="3"/>
      <c r="Z21" s="20">
        <f>IF(T21=0,0,X21/T21)</f>
        <v>-1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1">
        <f>D12-D18</f>
        <v>19024</v>
      </c>
      <c r="E23" s="15"/>
      <c r="F23" s="23">
        <f>IF(D$12=0,0,D23/D$12)</f>
        <v>-5.0070668495011095</v>
      </c>
      <c r="G23" s="15"/>
      <c r="H23" s="21">
        <f>H12-H18</f>
        <v>-11426.68</v>
      </c>
      <c r="I23" s="15"/>
      <c r="J23" s="23">
        <f>IF(H$12=0,0,H23/H$12)</f>
        <v>1.0246140216531656</v>
      </c>
      <c r="K23" s="16"/>
      <c r="L23" s="21">
        <f>+D23-H23</f>
        <v>30450.68</v>
      </c>
      <c r="M23" s="16"/>
      <c r="N23" s="23">
        <f>IF(H23=0,0,L23/H23)</f>
        <v>-2.664875536901357</v>
      </c>
      <c r="O23" s="27"/>
      <c r="P23" s="21">
        <f>P12-P18</f>
        <v>132609.45999999996</v>
      </c>
      <c r="Q23" s="15"/>
      <c r="R23" s="23">
        <f>IF(P$12=0,0,P23/P$12)</f>
        <v>0.30484077676808191</v>
      </c>
      <c r="S23" s="15"/>
      <c r="T23" s="21">
        <f>T12-T18</f>
        <v>221882.59000000008</v>
      </c>
      <c r="U23" s="15"/>
      <c r="V23" s="23">
        <f>IF(T$12=0,0,T23/T$12)</f>
        <v>0.29001234524800762</v>
      </c>
      <c r="W23" s="16"/>
      <c r="X23" s="21">
        <f>+P23-T23</f>
        <v>-89273.130000000121</v>
      </c>
      <c r="Y23" s="16"/>
      <c r="Z23" s="23">
        <f>IF(T23=0,0,X23/T23)</f>
        <v>-0.40234400544900834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2">
        <f>SUM(0)</f>
        <v>0</v>
      </c>
      <c r="E25" s="22"/>
      <c r="F25" s="32">
        <f>IF(D$12=0,0,D25/D$12)</f>
        <v>0</v>
      </c>
      <c r="G25" s="22"/>
      <c r="H25" s="22">
        <f>SUM(0)</f>
        <v>0</v>
      </c>
      <c r="I25" s="22"/>
      <c r="J25" s="32">
        <f>IF(H$12=0,0,H25/H$12)</f>
        <v>0</v>
      </c>
      <c r="K25" s="5"/>
      <c r="L25" s="22">
        <f>+D25-H25</f>
        <v>0</v>
      </c>
      <c r="M25" s="5"/>
      <c r="N25" s="32">
        <f>IF(H25=0,0,L25/H25)</f>
        <v>0</v>
      </c>
      <c r="O25" s="11"/>
      <c r="P25" s="22">
        <f>SUM(0)</f>
        <v>0</v>
      </c>
      <c r="Q25" s="22"/>
      <c r="R25" s="32">
        <f>IF(P$12=0,0,P25/P$12)</f>
        <v>0</v>
      </c>
      <c r="S25" s="22"/>
      <c r="T25" s="22">
        <f>SUM(0)</f>
        <v>0</v>
      </c>
      <c r="U25" s="22"/>
      <c r="V25" s="32">
        <f>IF(T$12=0,0,T25/T$12)</f>
        <v>0</v>
      </c>
      <c r="W25" s="5"/>
      <c r="X25" s="22">
        <f>+P25-T25</f>
        <v>0</v>
      </c>
      <c r="Y25" s="5"/>
      <c r="Z25" s="32">
        <f>IF(T25=0,0,X25/T25)</f>
        <v>0</v>
      </c>
    </row>
    <row r="26" spans="1:26" s="64" customFormat="1" ht="15" customHeight="1" x14ac:dyDescent="0.3">
      <c r="A26" s="36"/>
      <c r="B26" s="36"/>
      <c r="C26" s="36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2" customFormat="1" ht="15" customHeight="1" x14ac:dyDescent="0.3">
      <c r="A27" s="11"/>
      <c r="B27" s="27" t="s">
        <v>290</v>
      </c>
      <c r="C27" s="11"/>
      <c r="D27" s="5">
        <f>SUM(0)</f>
        <v>0</v>
      </c>
      <c r="E27" s="5"/>
      <c r="F27" s="13">
        <f>IF(D$12=0,0,D27/D$12)</f>
        <v>0</v>
      </c>
      <c r="G27" s="5"/>
      <c r="H27" s="5">
        <f>SUM(0)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SUM(0)</f>
        <v>0</v>
      </c>
      <c r="Q27" s="5"/>
      <c r="R27" s="13">
        <f>IF(P$12=0,0,P27/P$12)</f>
        <v>0</v>
      </c>
      <c r="S27" s="5"/>
      <c r="T27" s="5">
        <f>SUM(0)</f>
        <v>0</v>
      </c>
      <c r="U27" s="5"/>
      <c r="V27" s="13">
        <f>IF(T$12=0,0,T27/T$12)</f>
        <v>0</v>
      </c>
      <c r="W27" s="5"/>
      <c r="X27" s="5">
        <f>+P27-T27</f>
        <v>0</v>
      </c>
      <c r="Y27" s="5"/>
      <c r="Z27" s="13">
        <f>IF(T27=0,0,X27/T27)</f>
        <v>0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11"/>
      <c r="B29" s="28" t="s">
        <v>291</v>
      </c>
      <c r="C29" s="28"/>
      <c r="D29" s="21">
        <f>+D23-D25+D27</f>
        <v>19024</v>
      </c>
      <c r="E29" s="15"/>
      <c r="F29" s="23">
        <f>IF(D$12=0,0,D29/D$12)</f>
        <v>-5.0070668495011095</v>
      </c>
      <c r="G29" s="15"/>
      <c r="H29" s="21">
        <f>+H23-H25+H27</f>
        <v>-11426.68</v>
      </c>
      <c r="I29" s="15"/>
      <c r="J29" s="23">
        <f>IF(H$12=0,0,H29/H$12)</f>
        <v>1.0246140216531656</v>
      </c>
      <c r="K29" s="16"/>
      <c r="L29" s="21">
        <f>+D29-H29</f>
        <v>30450.68</v>
      </c>
      <c r="M29" s="16"/>
      <c r="N29" s="23">
        <f>IF(H29=0,0,L29/H29)</f>
        <v>-2.664875536901357</v>
      </c>
      <c r="O29" s="27"/>
      <c r="P29" s="21">
        <f>+P23-P25+P27</f>
        <v>132609.45999999996</v>
      </c>
      <c r="Q29" s="15"/>
      <c r="R29" s="23">
        <f>IF(P$12=0,0,P29/P$12)</f>
        <v>0.30484077676808191</v>
      </c>
      <c r="S29" s="15"/>
      <c r="T29" s="21">
        <f>+T23-T25+T27</f>
        <v>221882.59000000008</v>
      </c>
      <c r="U29" s="15"/>
      <c r="V29" s="23">
        <f>IF(T$12=0,0,T29/T$12)</f>
        <v>0.29001234524800762</v>
      </c>
      <c r="W29" s="16"/>
      <c r="X29" s="21">
        <f>+P29-T29</f>
        <v>-89273.130000000121</v>
      </c>
      <c r="Y29" s="16"/>
      <c r="Z29" s="23">
        <f>IF(T29=0,0,X29/T29)</f>
        <v>-0.40234400544900834</v>
      </c>
    </row>
    <row r="30" spans="1:26" ht="15" customHeight="1" x14ac:dyDescent="0.3">
      <c r="A30" s="10"/>
      <c r="B30" s="11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48"/>
      <c r="B31" s="11" t="s">
        <v>292</v>
      </c>
      <c r="C31" s="11"/>
      <c r="D31" s="5">
        <v>-3091.22</v>
      </c>
      <c r="E31" s="5"/>
      <c r="F31" s="13">
        <f>IF(D$12=0,0,D31/D$12)</f>
        <v>0.81360098751654852</v>
      </c>
      <c r="G31" s="5"/>
      <c r="H31" s="5">
        <v>82.98</v>
      </c>
      <c r="I31" s="5"/>
      <c r="J31" s="13">
        <f>IF(H$12=0,0,H31/H$12)</f>
        <v>-7.4406976931864445E-3</v>
      </c>
      <c r="K31" s="5"/>
      <c r="L31" s="5">
        <f>+D31-H31</f>
        <v>-3174.2</v>
      </c>
      <c r="M31" s="5"/>
      <c r="N31" s="13">
        <f>IF(H31=0,0,L31/H31)</f>
        <v>-38.252590985779705</v>
      </c>
      <c r="O31" s="11"/>
      <c r="P31" s="5">
        <v>49279.87</v>
      </c>
      <c r="Q31" s="5"/>
      <c r="R31" s="13">
        <f>IF(P$12=0,0,P31/P$12)</f>
        <v>0.11328387771000728</v>
      </c>
      <c r="S31" s="5"/>
      <c r="T31" s="5">
        <v>160057.79999999999</v>
      </c>
      <c r="U31" s="5"/>
      <c r="V31" s="13">
        <f>IF(T$12=0,0,T31/T$12)</f>
        <v>0.20920405676369891</v>
      </c>
      <c r="W31" s="5"/>
      <c r="X31" s="5">
        <f>+P31-T31</f>
        <v>-110777.93</v>
      </c>
      <c r="Y31" s="5"/>
      <c r="Z31" s="13">
        <f>IF(T31=0,0,X31/T31)</f>
        <v>-0.69211203702662416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8" t="s">
        <v>293</v>
      </c>
      <c r="C33" s="28"/>
      <c r="D33" s="34">
        <f>+D29-D31</f>
        <v>22115.22</v>
      </c>
      <c r="E33" s="15"/>
      <c r="F33" s="30">
        <f>IF(D$12=0,0,D33/D$12)</f>
        <v>-5.8206678370176581</v>
      </c>
      <c r="G33" s="15"/>
      <c r="H33" s="34">
        <f>+H29-H31</f>
        <v>-11509.66</v>
      </c>
      <c r="I33" s="15"/>
      <c r="J33" s="30">
        <f>IF(H$12=0,0,H33/H$12)</f>
        <v>1.0320547193463521</v>
      </c>
      <c r="K33" s="16"/>
      <c r="L33" s="34">
        <f>D33-H33</f>
        <v>33624.880000000005</v>
      </c>
      <c r="M33" s="16"/>
      <c r="N33" s="30">
        <f>IF(H33=0,0,L33/H33)</f>
        <v>-2.9214485918784745</v>
      </c>
      <c r="O33" s="27"/>
      <c r="P33" s="34">
        <f>+P29-P31</f>
        <v>83329.589999999967</v>
      </c>
      <c r="Q33" s="15"/>
      <c r="R33" s="30">
        <f>IF(P$12=0,0,P33/P$12)</f>
        <v>0.19155689905807466</v>
      </c>
      <c r="S33" s="15"/>
      <c r="T33" s="34">
        <f>+T29-T31</f>
        <v>61824.790000000095</v>
      </c>
      <c r="U33" s="15"/>
      <c r="V33" s="30">
        <f>IF(T$12=0,0,T33/T$12)</f>
        <v>8.080828848430871E-2</v>
      </c>
      <c r="W33" s="16"/>
      <c r="X33" s="34">
        <f>P33-T33</f>
        <v>21504.799999999872</v>
      </c>
      <c r="Y33" s="16"/>
      <c r="Z33" s="30">
        <f>IF(T33=0,0,X33/T33)</f>
        <v>0.34783458221208419</v>
      </c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>
        <f>SUM(D33:D35)</f>
        <v>22115.22</v>
      </c>
      <c r="E36" s="15"/>
      <c r="F36" s="35">
        <f>IF(D$12=0,0,D36/D$12)</f>
        <v>-5.8206678370176581</v>
      </c>
      <c r="G36" s="15"/>
      <c r="H36" s="29">
        <f>SUM(H33:H35)</f>
        <v>-11509.66</v>
      </c>
      <c r="I36" s="15"/>
      <c r="J36" s="35">
        <f>IF(H$12=0,0,H36/H$12)</f>
        <v>1.0320547193463521</v>
      </c>
      <c r="K36" s="16"/>
      <c r="L36" s="29">
        <f>+D36-H36</f>
        <v>33624.880000000005</v>
      </c>
      <c r="M36" s="16"/>
      <c r="N36" s="35">
        <f>IF(H36=0,0,L36/H36)</f>
        <v>-2.9214485918784745</v>
      </c>
      <c r="O36" s="27"/>
      <c r="P36" s="29">
        <f>SUM(P33:P35)</f>
        <v>83329.589999999967</v>
      </c>
      <c r="Q36" s="15"/>
      <c r="R36" s="35">
        <f>IF(P$12=0,0,P36/P$12)</f>
        <v>0.19155689905807466</v>
      </c>
      <c r="S36" s="15"/>
      <c r="T36" s="29">
        <f>SUM(T33:T35)</f>
        <v>61824.790000000095</v>
      </c>
      <c r="U36" s="15"/>
      <c r="V36" s="35">
        <f>IF(T$12=0,0,T36/T$12)</f>
        <v>8.080828848430871E-2</v>
      </c>
      <c r="W36" s="16"/>
      <c r="X36" s="29">
        <f>+P36-T36</f>
        <v>21504.799999999872</v>
      </c>
      <c r="Y36" s="16"/>
      <c r="Z36" s="35">
        <f>IF(T36=0,0,X36/T36)</f>
        <v>0.34783458221208419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>
        <v>44694.890829479169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s">
        <v>297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9FB7D-4227-6CD7-8F13-C16670271203}">
  <sheetPr>
    <tabColor rgb="FFFFFF00"/>
    <outlinePr summaryBelow="0" summaryRight="0"/>
  </sheetPr>
  <dimension ref="A2:Z18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792207.32</v>
      </c>
      <c r="E12" s="5"/>
      <c r="F12" s="13"/>
      <c r="G12" s="5"/>
      <c r="H12" s="5">
        <f>SUM(OSRRefH13x_0)</f>
        <v>409112.63</v>
      </c>
      <c r="I12" s="5"/>
      <c r="J12" s="13"/>
      <c r="K12" s="5"/>
      <c r="L12" s="5">
        <f t="shared" ref="L12:L56" si="0">+D12-H12</f>
        <v>383094.68999999994</v>
      </c>
      <c r="M12" s="5"/>
      <c r="N12" s="13">
        <f t="shared" ref="N12:N56" si="1">IF(H12=0,0,L12/H12)</f>
        <v>0.93640396777777291</v>
      </c>
      <c r="O12" s="11"/>
      <c r="P12" s="5">
        <f>SUM(OSRRefP13x_0)</f>
        <v>4264440.9200000009</v>
      </c>
      <c r="Q12" s="5"/>
      <c r="R12" s="13"/>
      <c r="S12" s="5"/>
      <c r="T12" s="5">
        <f>SUM(OSRRefT13x_0)</f>
        <v>1908305.42</v>
      </c>
      <c r="U12" s="5"/>
      <c r="V12" s="13"/>
      <c r="W12" s="5"/>
      <c r="X12" s="5">
        <f t="shared" ref="X12:X56" si="2">+P12-T12</f>
        <v>2356135.5000000009</v>
      </c>
      <c r="Y12" s="5"/>
      <c r="Z12" s="13">
        <f t="shared" ref="Z12:Z56" si="3">IF(T12=0,0,X12/T12)</f>
        <v>1.234674216876668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--698789.27</f>
        <v>698789.27</v>
      </c>
      <c r="E13" s="3"/>
      <c r="F13" s="20"/>
      <c r="G13" s="3"/>
      <c r="H13" s="3">
        <f>-12952.02</f>
        <v>-12952.02</v>
      </c>
      <c r="I13" s="3"/>
      <c r="J13" s="20"/>
      <c r="K13" s="3"/>
      <c r="L13" s="3">
        <f t="shared" si="0"/>
        <v>711741.29</v>
      </c>
      <c r="M13" s="3"/>
      <c r="N13" s="20">
        <f t="shared" si="1"/>
        <v>-54.952145688471759</v>
      </c>
      <c r="O13" s="12"/>
      <c r="P13" s="3">
        <f>--3905386.77</f>
        <v>3905386.77</v>
      </c>
      <c r="Q13" s="3"/>
      <c r="R13" s="20"/>
      <c r="S13" s="3"/>
      <c r="T13" s="3">
        <f>-124507.19</f>
        <v>-124507.19</v>
      </c>
      <c r="U13" s="3"/>
      <c r="V13" s="20"/>
      <c r="W13" s="3"/>
      <c r="X13" s="3">
        <f t="shared" si="2"/>
        <v>4029893.96</v>
      </c>
      <c r="Y13" s="3"/>
      <c r="Z13" s="20">
        <f t="shared" si="3"/>
        <v>-32.366756972027076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--21.42</f>
        <v>21.42</v>
      </c>
      <c r="I14" s="3"/>
      <c r="J14" s="20"/>
      <c r="K14" s="3"/>
      <c r="L14" s="3">
        <f t="shared" si="0"/>
        <v>-21.42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--486.17</f>
        <v>486.17</v>
      </c>
      <c r="U14" s="3"/>
      <c r="V14" s="20"/>
      <c r="W14" s="3"/>
      <c r="X14" s="3">
        <f t="shared" si="2"/>
        <v>-486.17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--6558.65</f>
        <v>6558.65</v>
      </c>
      <c r="I15" s="3"/>
      <c r="J15" s="20"/>
      <c r="K15" s="3"/>
      <c r="L15" s="3">
        <f t="shared" si="0"/>
        <v>-6558.65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--64070.97</f>
        <v>64070.97</v>
      </c>
      <c r="U15" s="3"/>
      <c r="V15" s="20"/>
      <c r="W15" s="3"/>
      <c r="X15" s="3">
        <f t="shared" si="2"/>
        <v>-64070.97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--2650.79</f>
        <v>2650.79</v>
      </c>
      <c r="I16" s="3"/>
      <c r="J16" s="20"/>
      <c r="K16" s="3"/>
      <c r="L16" s="3">
        <f t="shared" si="0"/>
        <v>-2650.79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--46900.17</f>
        <v>46900.17</v>
      </c>
      <c r="U16" s="3"/>
      <c r="V16" s="20"/>
      <c r="W16" s="3"/>
      <c r="X16" s="3">
        <f t="shared" si="2"/>
        <v>-46900.17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--595.72</f>
        <v>595.72</v>
      </c>
      <c r="I17" s="3"/>
      <c r="J17" s="20"/>
      <c r="K17" s="3"/>
      <c r="L17" s="3">
        <f t="shared" si="0"/>
        <v>-595.72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--4210.59</f>
        <v>4210.59</v>
      </c>
      <c r="U17" s="3"/>
      <c r="V17" s="20"/>
      <c r="W17" s="3"/>
      <c r="X17" s="3">
        <f t="shared" si="2"/>
        <v>-4210.59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--159179.58</f>
        <v>159179.57999999999</v>
      </c>
      <c r="I19" s="3"/>
      <c r="J19" s="20"/>
      <c r="K19" s="3"/>
      <c r="L19" s="3">
        <f t="shared" si="0"/>
        <v>-159179.57999999999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--913180.73</f>
        <v>913180.73</v>
      </c>
      <c r="U19" s="3"/>
      <c r="V19" s="20"/>
      <c r="W19" s="3"/>
      <c r="X19" s="3">
        <f t="shared" si="2"/>
        <v>-913180.73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--116178</f>
        <v>116178</v>
      </c>
      <c r="I20" s="3"/>
      <c r="J20" s="20"/>
      <c r="K20" s="3"/>
      <c r="L20" s="3">
        <f t="shared" si="0"/>
        <v>-116178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--347536.81</f>
        <v>347536.81</v>
      </c>
      <c r="U20" s="3"/>
      <c r="V20" s="20"/>
      <c r="W20" s="3"/>
      <c r="X20" s="3">
        <f t="shared" si="2"/>
        <v>-347536.81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--9350.43</f>
        <v>9350.43</v>
      </c>
      <c r="I21" s="3"/>
      <c r="J21" s="20"/>
      <c r="K21" s="3"/>
      <c r="L21" s="3">
        <f t="shared" si="0"/>
        <v>-9350.43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--83578.68</f>
        <v>83578.679999999993</v>
      </c>
      <c r="U21" s="3"/>
      <c r="V21" s="20"/>
      <c r="W21" s="3"/>
      <c r="X21" s="3">
        <f t="shared" si="2"/>
        <v>-83578.679999999993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--4423.21</f>
        <v>4423.21</v>
      </c>
      <c r="I22" s="3"/>
      <c r="J22" s="20"/>
      <c r="K22" s="3"/>
      <c r="L22" s="3">
        <f t="shared" si="0"/>
        <v>-4423.21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--136806.7</f>
        <v>136806.70000000001</v>
      </c>
      <c r="U22" s="3"/>
      <c r="V22" s="20"/>
      <c r="W22" s="3"/>
      <c r="X22" s="3">
        <f t="shared" si="2"/>
        <v>-136806.70000000001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--4745.38</f>
        <v>4745.38</v>
      </c>
      <c r="I23" s="3"/>
      <c r="J23" s="20"/>
      <c r="K23" s="3"/>
      <c r="L23" s="3">
        <f t="shared" si="0"/>
        <v>-4745.38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--36092.23</f>
        <v>36092.230000000003</v>
      </c>
      <c r="U23" s="3"/>
      <c r="V23" s="20"/>
      <c r="W23" s="3"/>
      <c r="X23" s="3">
        <f t="shared" si="2"/>
        <v>-36092.230000000003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--63044.9</f>
        <v>63044.9</v>
      </c>
      <c r="I24" s="3"/>
      <c r="J24" s="20"/>
      <c r="K24" s="3"/>
      <c r="L24" s="3">
        <f t="shared" si="0"/>
        <v>-63044.9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--207242.34</f>
        <v>207242.34</v>
      </c>
      <c r="U24" s="3"/>
      <c r="V24" s="20"/>
      <c r="W24" s="3"/>
      <c r="X24" s="3">
        <f t="shared" si="2"/>
        <v>-207242.34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","4081"," - ","TAXABLE SALES-ELECTRONICS")</f>
        <v xml:space="preserve">          4081 - TAXABLE SALES-ELECTRONICS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--71.95</f>
        <v>71.95</v>
      </c>
      <c r="U25" s="3"/>
      <c r="V25" s="20"/>
      <c r="W25" s="3"/>
      <c r="X25" s="3">
        <f t="shared" si="2"/>
        <v>-71.95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","4083"," - ","TAXABLE SALES-COMPUTER EQUIPME")</f>
        <v xml:space="preserve">          4083 - TAXABLE SALES-COMPUTER EQUIPME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--9.99</f>
        <v>9.99</v>
      </c>
      <c r="U26" s="3"/>
      <c r="V26" s="20"/>
      <c r="W26" s="3"/>
      <c r="X26" s="3">
        <f t="shared" si="2"/>
        <v>-9.99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","4100"," - ","NON-TAXABLE SALES")</f>
        <v xml:space="preserve">          4100 - NON-TAXABLE SALES</v>
      </c>
      <c r="C27" s="12"/>
      <c r="D27" s="3">
        <f>--131829.62</f>
        <v>131829.62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131829.62</v>
      </c>
      <c r="M27" s="3"/>
      <c r="N27" s="20">
        <f t="shared" si="1"/>
        <v>0</v>
      </c>
      <c r="O27" s="12"/>
      <c r="P27" s="3">
        <f>--579049.41</f>
        <v>579049.41</v>
      </c>
      <c r="Q27" s="3"/>
      <c r="R27" s="20"/>
      <c r="S27" s="3"/>
      <c r="T27" s="3">
        <f>0</f>
        <v>0</v>
      </c>
      <c r="U27" s="3"/>
      <c r="V27" s="20"/>
      <c r="W27" s="3"/>
      <c r="X27" s="3">
        <f t="shared" si="2"/>
        <v>579049.41</v>
      </c>
      <c r="Y27" s="3"/>
      <c r="Z27" s="20">
        <f t="shared" si="3"/>
        <v>0</v>
      </c>
    </row>
    <row r="28" spans="1:26" s="69" customFormat="1" ht="15" hidden="1" customHeight="1" outlineLevel="1" x14ac:dyDescent="0.3">
      <c r="A28" s="42"/>
      <c r="B28" s="12" t="str">
        <f>CONCATENATE("          ","4126"," - ","NON-TAXABLE SALES-WRITING INST")</f>
        <v xml:space="preserve">          4126 - NON-TAXABLE SALES-WRITING INST</v>
      </c>
      <c r="C28" s="12"/>
      <c r="D28" s="3">
        <f>0</f>
        <v>0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0</v>
      </c>
      <c r="M28" s="3"/>
      <c r="N28" s="20">
        <f t="shared" si="1"/>
        <v>0</v>
      </c>
      <c r="O28" s="12"/>
      <c r="P28" s="3">
        <f>0</f>
        <v>0</v>
      </c>
      <c r="Q28" s="3"/>
      <c r="R28" s="20"/>
      <c r="S28" s="3"/>
      <c r="T28" s="3">
        <f>--52.68</f>
        <v>52.68</v>
      </c>
      <c r="U28" s="3"/>
      <c r="V28" s="20"/>
      <c r="W28" s="3"/>
      <c r="X28" s="3">
        <f t="shared" si="2"/>
        <v>-52.68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","4127"," - ","NON-TAXABLE SALES-SCHOOL SUPPL")</f>
        <v xml:space="preserve">          4127 - NON-TAXABLE SALES-SCHOOL SUPPL</v>
      </c>
      <c r="C29" s="12"/>
      <c r="D29" s="3">
        <f>0</f>
        <v>0</v>
      </c>
      <c r="E29" s="3"/>
      <c r="F29" s="20"/>
      <c r="G29" s="3"/>
      <c r="H29" s="3">
        <f>--493.37</f>
        <v>493.37</v>
      </c>
      <c r="I29" s="3"/>
      <c r="J29" s="20"/>
      <c r="K29" s="3"/>
      <c r="L29" s="3">
        <f t="shared" si="0"/>
        <v>-493.37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--7100.68</f>
        <v>7100.68</v>
      </c>
      <c r="U29" s="3"/>
      <c r="V29" s="20"/>
      <c r="W29" s="3"/>
      <c r="X29" s="3">
        <f t="shared" si="2"/>
        <v>-7100.68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","4128"," - ","NON-TAXABLE SALES-ART/TECH")</f>
        <v xml:space="preserve">          4128 - NON-TAXABLE SALES-ART/TECH</v>
      </c>
      <c r="C30" s="12"/>
      <c r="D30" s="3">
        <f>0</f>
        <v>0</v>
      </c>
      <c r="E30" s="3"/>
      <c r="F30" s="20"/>
      <c r="G30" s="3"/>
      <c r="H30" s="3">
        <f>--31.37</f>
        <v>31.37</v>
      </c>
      <c r="I30" s="3"/>
      <c r="J30" s="20"/>
      <c r="K30" s="3"/>
      <c r="L30" s="3">
        <f t="shared" si="0"/>
        <v>-31.37</v>
      </c>
      <c r="M30" s="3"/>
      <c r="N30" s="20">
        <f t="shared" si="1"/>
        <v>-1</v>
      </c>
      <c r="O30" s="12"/>
      <c r="P30" s="3">
        <f>0</f>
        <v>0</v>
      </c>
      <c r="Q30" s="3"/>
      <c r="R30" s="20"/>
      <c r="S30" s="3"/>
      <c r="T30" s="3">
        <f>--69.95</f>
        <v>69.95</v>
      </c>
      <c r="U30" s="3"/>
      <c r="V30" s="20"/>
      <c r="W30" s="3"/>
      <c r="X30" s="3">
        <f t="shared" si="2"/>
        <v>-69.95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","4131"," - ","NON-TAXABLE SALES-FOOD")</f>
        <v xml:space="preserve">          4131 - NON-TAXABLE SALES-FOOD</v>
      </c>
      <c r="C31" s="12"/>
      <c r="D31" s="3">
        <f>0</f>
        <v>0</v>
      </c>
      <c r="E31" s="3"/>
      <c r="F31" s="20"/>
      <c r="G31" s="3"/>
      <c r="H31" s="3">
        <f>--975.93</f>
        <v>975.93</v>
      </c>
      <c r="I31" s="3"/>
      <c r="J31" s="20"/>
      <c r="K31" s="3"/>
      <c r="L31" s="3">
        <f t="shared" si="0"/>
        <v>-975.93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--11380.36</f>
        <v>11380.36</v>
      </c>
      <c r="U31" s="3"/>
      <c r="V31" s="20"/>
      <c r="W31" s="3"/>
      <c r="X31" s="3">
        <f t="shared" si="2"/>
        <v>-11380.36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","4132"," - ","NON-TAXABLE SALES-JUICE")</f>
        <v xml:space="preserve">          4132 - NON-TAXABLE SALES-JUICE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--22.49</f>
        <v>22.49</v>
      </c>
      <c r="U32" s="3"/>
      <c r="V32" s="20"/>
      <c r="W32" s="3"/>
      <c r="X32" s="3">
        <f t="shared" si="2"/>
        <v>-22.49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","4133"," - ","NON-TAXABLE SALES-CANDY")</f>
        <v xml:space="preserve">          4133 - NON-TAXABLE SALES-CANDY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--80.71</f>
        <v>80.709999999999994</v>
      </c>
      <c r="U33" s="3"/>
      <c r="V33" s="20"/>
      <c r="W33" s="3"/>
      <c r="X33" s="3">
        <f t="shared" si="2"/>
        <v>-80.709999999999994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","4134"," - ","NON-TAXABLE SALES-SODA")</f>
        <v xml:space="preserve">          4134 - NON-TAXABLE SALES-SODA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--45.53</f>
        <v>45.53</v>
      </c>
      <c r="U34" s="3"/>
      <c r="V34" s="20"/>
      <c r="W34" s="3"/>
      <c r="X34" s="3">
        <f t="shared" si="2"/>
        <v>-45.53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","4137"," - ","NON-TAXABLE SALES-WATER")</f>
        <v xml:space="preserve">          4137 - NON-TAXABLE SALES-WATER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--68.25</f>
        <v>68.25</v>
      </c>
      <c r="U35" s="3"/>
      <c r="V35" s="20"/>
      <c r="W35" s="3"/>
      <c r="X35" s="3">
        <f t="shared" si="2"/>
        <v>-68.25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","4140"," - ","NON-TAXABLE SALES-LOGO CLOTHIN")</f>
        <v xml:space="preserve">          4140 - NON-TAXABLE SALES-LOGO CLOTHIN</v>
      </c>
      <c r="C36" s="12"/>
      <c r="D36" s="3">
        <f>0</f>
        <v>0</v>
      </c>
      <c r="E36" s="3"/>
      <c r="F36" s="20"/>
      <c r="G36" s="3"/>
      <c r="H36" s="3">
        <f>--23040.7</f>
        <v>23040.7</v>
      </c>
      <c r="I36" s="3"/>
      <c r="J36" s="20"/>
      <c r="K36" s="3"/>
      <c r="L36" s="3">
        <f t="shared" si="0"/>
        <v>-23040.7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--154792.39</f>
        <v>154792.39000000001</v>
      </c>
      <c r="U36" s="3"/>
      <c r="V36" s="20"/>
      <c r="W36" s="3"/>
      <c r="X36" s="3">
        <f t="shared" si="2"/>
        <v>-154792.39000000001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","4141"," - ","NON-TAXABLE SALES-LOGO GIFTS")</f>
        <v xml:space="preserve">          4141 - NON-TAXABLE SALES-LOGO GIFTS</v>
      </c>
      <c r="C37" s="12"/>
      <c r="D37" s="3">
        <f>0</f>
        <v>0</v>
      </c>
      <c r="E37" s="3"/>
      <c r="F37" s="20"/>
      <c r="G37" s="3"/>
      <c r="H37" s="3">
        <f>--27227.97</f>
        <v>27227.97</v>
      </c>
      <c r="I37" s="3"/>
      <c r="J37" s="20"/>
      <c r="K37" s="3"/>
      <c r="L37" s="3">
        <f t="shared" si="0"/>
        <v>-27227.97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--35517.57</f>
        <v>35517.57</v>
      </c>
      <c r="U37" s="3"/>
      <c r="V37" s="20"/>
      <c r="W37" s="3"/>
      <c r="X37" s="3">
        <f t="shared" si="2"/>
        <v>-35517.57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","4142"," - ","NON-TAXABLE SALES-EVERYDAY GIF")</f>
        <v xml:space="preserve">          4142 - NON-TAXABLE SALES-EVERYDAY GIF</v>
      </c>
      <c r="C38" s="12"/>
      <c r="D38" s="3">
        <f>0</f>
        <v>0</v>
      </c>
      <c r="E38" s="3"/>
      <c r="F38" s="20"/>
      <c r="G38" s="3"/>
      <c r="H38" s="3">
        <f>--284.63</f>
        <v>284.63</v>
      </c>
      <c r="I38" s="3"/>
      <c r="J38" s="20"/>
      <c r="K38" s="3"/>
      <c r="L38" s="3">
        <f t="shared" si="0"/>
        <v>-284.63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--1455.41</f>
        <v>1455.41</v>
      </c>
      <c r="U38" s="3"/>
      <c r="V38" s="20"/>
      <c r="W38" s="3"/>
      <c r="X38" s="3">
        <f t="shared" si="2"/>
        <v>-1455.41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","4143"," - ","NON-TAXABLE SALES-CARDS")</f>
        <v xml:space="preserve">          4143 - NON-TAXABLE SALES-CARDS</v>
      </c>
      <c r="C39" s="12"/>
      <c r="D39" s="3">
        <f>0</f>
        <v>0</v>
      </c>
      <c r="E39" s="3"/>
      <c r="F39" s="20"/>
      <c r="G39" s="3"/>
      <c r="H39" s="3">
        <f>--49.97</f>
        <v>49.97</v>
      </c>
      <c r="I39" s="3"/>
      <c r="J39" s="20"/>
      <c r="K39" s="3"/>
      <c r="L39" s="3">
        <f t="shared" si="0"/>
        <v>-49.97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--2431.45</f>
        <v>2431.4499999999998</v>
      </c>
      <c r="U39" s="3"/>
      <c r="V39" s="20"/>
      <c r="W39" s="3"/>
      <c r="X39" s="3">
        <f t="shared" si="2"/>
        <v>-2431.4499999999998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","4144"," - ","NON-TAXABLE SALES-ACCESSORIES")</f>
        <v xml:space="preserve">          4144 - NON-TAXABLE SALES-ACCESSORIES</v>
      </c>
      <c r="C40" s="12"/>
      <c r="D40" s="3">
        <f>0</f>
        <v>0</v>
      </c>
      <c r="E40" s="3"/>
      <c r="F40" s="20"/>
      <c r="G40" s="3"/>
      <c r="H40" s="3">
        <f>--29.85</f>
        <v>29.85</v>
      </c>
      <c r="I40" s="3"/>
      <c r="J40" s="20"/>
      <c r="K40" s="3"/>
      <c r="L40" s="3">
        <f t="shared" si="0"/>
        <v>-29.85</v>
      </c>
      <c r="M40" s="3"/>
      <c r="N40" s="20">
        <f t="shared" si="1"/>
        <v>-1</v>
      </c>
      <c r="O40" s="12"/>
      <c r="P40" s="3">
        <f>0</f>
        <v>0</v>
      </c>
      <c r="Q40" s="3"/>
      <c r="R40" s="20"/>
      <c r="S40" s="3"/>
      <c r="T40" s="3">
        <f>--709.1</f>
        <v>709.1</v>
      </c>
      <c r="U40" s="3"/>
      <c r="V40" s="20"/>
      <c r="W40" s="3"/>
      <c r="X40" s="3">
        <f t="shared" si="2"/>
        <v>-709.1</v>
      </c>
      <c r="Y40" s="3"/>
      <c r="Z40" s="20">
        <f t="shared" si="3"/>
        <v>-1</v>
      </c>
    </row>
    <row r="41" spans="1:26" s="69" customFormat="1" ht="15" hidden="1" customHeight="1" outlineLevel="1" x14ac:dyDescent="0.3">
      <c r="A41" s="42"/>
      <c r="B41" s="12" t="str">
        <f>CONCATENATE("          ","4145"," - ","NON-TAXABLE SALES-SPECIAL ORDE")</f>
        <v xml:space="preserve">          4145 - NON-TAXABLE SALES-SPECIAL ORDE</v>
      </c>
      <c r="C41" s="12"/>
      <c r="D41" s="3">
        <f>0</f>
        <v>0</v>
      </c>
      <c r="E41" s="3"/>
      <c r="F41" s="20"/>
      <c r="G41" s="3"/>
      <c r="H41" s="3">
        <f>--20350.8</f>
        <v>20350.8</v>
      </c>
      <c r="I41" s="3"/>
      <c r="J41" s="20"/>
      <c r="K41" s="3"/>
      <c r="L41" s="3">
        <f t="shared" si="0"/>
        <v>-20350.8</v>
      </c>
      <c r="M41" s="3"/>
      <c r="N41" s="20">
        <f t="shared" si="1"/>
        <v>-1</v>
      </c>
      <c r="O41" s="12"/>
      <c r="P41" s="3">
        <f>0</f>
        <v>0</v>
      </c>
      <c r="Q41" s="3"/>
      <c r="R41" s="20"/>
      <c r="S41" s="3"/>
      <c r="T41" s="3">
        <f>--74066.89</f>
        <v>74066.89</v>
      </c>
      <c r="U41" s="3"/>
      <c r="V41" s="20"/>
      <c r="W41" s="3"/>
      <c r="X41" s="3">
        <f t="shared" si="2"/>
        <v>-74066.89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","4200"," - ","TAXABLE RETURNS")</f>
        <v xml:space="preserve">          4200 - TAXABLE RETURNS</v>
      </c>
      <c r="C42" s="12"/>
      <c r="D42" s="3">
        <f>-22520.79</f>
        <v>-22520.79</v>
      </c>
      <c r="E42" s="3"/>
      <c r="F42" s="20"/>
      <c r="G42" s="3"/>
      <c r="H42" s="3">
        <f>0</f>
        <v>0</v>
      </c>
      <c r="I42" s="3"/>
      <c r="J42" s="20"/>
      <c r="K42" s="3"/>
      <c r="L42" s="3">
        <f t="shared" si="0"/>
        <v>-22520.79</v>
      </c>
      <c r="M42" s="3"/>
      <c r="N42" s="20">
        <f t="shared" si="1"/>
        <v>0</v>
      </c>
      <c r="O42" s="12"/>
      <c r="P42" s="3">
        <f>-117727.77</f>
        <v>-117727.77</v>
      </c>
      <c r="Q42" s="3"/>
      <c r="R42" s="20"/>
      <c r="S42" s="3"/>
      <c r="T42" s="3">
        <f>0</f>
        <v>0</v>
      </c>
      <c r="U42" s="3"/>
      <c r="V42" s="20"/>
      <c r="W42" s="3"/>
      <c r="X42" s="3">
        <f t="shared" si="2"/>
        <v>-117727.77</v>
      </c>
      <c r="Y42" s="3"/>
      <c r="Z42" s="20">
        <f t="shared" si="3"/>
        <v>0</v>
      </c>
    </row>
    <row r="43" spans="1:26" s="69" customFormat="1" ht="15" hidden="1" customHeight="1" outlineLevel="1" x14ac:dyDescent="0.3">
      <c r="A43" s="42"/>
      <c r="B43" s="12" t="str">
        <f>CONCATENATE("          ","4226"," - ","SALES RETURN TAXABLE-WRITING I")</f>
        <v xml:space="preserve">          4226 - SALES RETURN TAXABLE-WRITING I</v>
      </c>
      <c r="C43" s="12"/>
      <c r="D43" s="3">
        <f>0</f>
        <v>0</v>
      </c>
      <c r="E43" s="3"/>
      <c r="F43" s="20"/>
      <c r="G43" s="3"/>
      <c r="H43" s="3">
        <f>0</f>
        <v>0</v>
      </c>
      <c r="I43" s="3"/>
      <c r="J43" s="20"/>
      <c r="K43" s="3"/>
      <c r="L43" s="3">
        <f t="shared" si="0"/>
        <v>0</v>
      </c>
      <c r="M43" s="3"/>
      <c r="N43" s="20">
        <f t="shared" si="1"/>
        <v>0</v>
      </c>
      <c r="O43" s="12"/>
      <c r="P43" s="3">
        <f>0</f>
        <v>0</v>
      </c>
      <c r="Q43" s="3"/>
      <c r="R43" s="20"/>
      <c r="S43" s="3"/>
      <c r="T43" s="3">
        <f>-34.23</f>
        <v>-34.229999999999997</v>
      </c>
      <c r="U43" s="3"/>
      <c r="V43" s="20"/>
      <c r="W43" s="3"/>
      <c r="X43" s="3">
        <f t="shared" si="2"/>
        <v>34.229999999999997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","4227"," - ","SALES RETURN TAXABLE-SCHOOL SU")</f>
        <v xml:space="preserve">          4227 - SALES RETURN TAXABLE-SCHOOL SU</v>
      </c>
      <c r="C44" s="12"/>
      <c r="D44" s="3">
        <f>0</f>
        <v>0</v>
      </c>
      <c r="E44" s="3"/>
      <c r="F44" s="20"/>
      <c r="G44" s="3"/>
      <c r="H44" s="3">
        <f>-500.54</f>
        <v>-500.54</v>
      </c>
      <c r="I44" s="3"/>
      <c r="J44" s="20"/>
      <c r="K44" s="3"/>
      <c r="L44" s="3">
        <f t="shared" si="0"/>
        <v>500.54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-1346.66</f>
        <v>-1346.66</v>
      </c>
      <c r="U44" s="3"/>
      <c r="V44" s="20"/>
      <c r="W44" s="3"/>
      <c r="X44" s="3">
        <f t="shared" si="2"/>
        <v>1346.66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","4228"," - ","SALES RETURN TAXABLE-ART/TECH")</f>
        <v xml:space="preserve">          4228 - SALES RETURN TAXABLE-ART/TECH</v>
      </c>
      <c r="C45" s="12"/>
      <c r="D45" s="3">
        <f>0</f>
        <v>0</v>
      </c>
      <c r="E45" s="3"/>
      <c r="F45" s="20"/>
      <c r="G45" s="3"/>
      <c r="H45" s="3">
        <f>-136.11</f>
        <v>-136.11000000000001</v>
      </c>
      <c r="I45" s="3"/>
      <c r="J45" s="20"/>
      <c r="K45" s="3"/>
      <c r="L45" s="3">
        <f t="shared" si="0"/>
        <v>136.11000000000001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-12973.73</f>
        <v>-12973.73</v>
      </c>
      <c r="U45" s="3"/>
      <c r="V45" s="20"/>
      <c r="W45" s="3"/>
      <c r="X45" s="3">
        <f t="shared" si="2"/>
        <v>12973.73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","4240"," - ","SALES RETURN TAXABLE-LOGO CLOT")</f>
        <v xml:space="preserve">          4240 - SALES RETURN TAXABLE-LOGO CLOT</v>
      </c>
      <c r="C46" s="12"/>
      <c r="D46" s="3">
        <f>0</f>
        <v>0</v>
      </c>
      <c r="E46" s="3"/>
      <c r="F46" s="20"/>
      <c r="G46" s="3"/>
      <c r="H46" s="3">
        <f>-5611.92</f>
        <v>-5611.92</v>
      </c>
      <c r="I46" s="3"/>
      <c r="J46" s="20"/>
      <c r="K46" s="3"/>
      <c r="L46" s="3">
        <f t="shared" si="0"/>
        <v>5611.92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-40666.27</f>
        <v>-40666.269999999997</v>
      </c>
      <c r="U46" s="3"/>
      <c r="V46" s="20"/>
      <c r="W46" s="3"/>
      <c r="X46" s="3">
        <f t="shared" si="2"/>
        <v>40666.269999999997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","4241"," - ","SALES RETURN TAXABLE-LOGO GIFT")</f>
        <v xml:space="preserve">          4241 - SALES RETURN TAXABLE-LOGO GIFT</v>
      </c>
      <c r="C47" s="12"/>
      <c r="D47" s="3">
        <f>0</f>
        <v>0</v>
      </c>
      <c r="E47" s="3"/>
      <c r="F47" s="20"/>
      <c r="G47" s="3"/>
      <c r="H47" s="3">
        <f>-5633.91</f>
        <v>-5633.91</v>
      </c>
      <c r="I47" s="3"/>
      <c r="J47" s="20"/>
      <c r="K47" s="3"/>
      <c r="L47" s="3">
        <f t="shared" si="0"/>
        <v>5633.91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-10890.2</f>
        <v>-10890.2</v>
      </c>
      <c r="U47" s="3"/>
      <c r="V47" s="20"/>
      <c r="W47" s="3"/>
      <c r="X47" s="3">
        <f t="shared" si="2"/>
        <v>10890.2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","4242"," - ","SALES RETURN TAXABLE-EVERYDAY")</f>
        <v xml:space="preserve">          4242 - SALES RETURN TAXABLE-EVERYDAY</v>
      </c>
      <c r="C48" s="12"/>
      <c r="D48" s="3">
        <f>0</f>
        <v>0</v>
      </c>
      <c r="E48" s="3"/>
      <c r="F48" s="20"/>
      <c r="G48" s="3"/>
      <c r="H48" s="3">
        <f>-332.27</f>
        <v>-332.27</v>
      </c>
      <c r="I48" s="3"/>
      <c r="J48" s="20"/>
      <c r="K48" s="3"/>
      <c r="L48" s="3">
        <f t="shared" si="0"/>
        <v>332.27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-2636.09</f>
        <v>-2636.09</v>
      </c>
      <c r="U48" s="3"/>
      <c r="V48" s="20"/>
      <c r="W48" s="3"/>
      <c r="X48" s="3">
        <f t="shared" si="2"/>
        <v>2636.09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","4243"," - ","SALES RETURN TAXABLE-CARDS")</f>
        <v xml:space="preserve">          4243 - SALES RETURN TAXABLE-CARDS</v>
      </c>
      <c r="C49" s="12"/>
      <c r="D49" s="3">
        <f>0</f>
        <v>0</v>
      </c>
      <c r="E49" s="3"/>
      <c r="F49" s="20"/>
      <c r="G49" s="3"/>
      <c r="H49" s="3">
        <f>-199.86</f>
        <v>-199.86</v>
      </c>
      <c r="I49" s="3"/>
      <c r="J49" s="20"/>
      <c r="K49" s="3"/>
      <c r="L49" s="3">
        <f t="shared" si="0"/>
        <v>199.86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-6142.09</f>
        <v>-6142.09</v>
      </c>
      <c r="U49" s="3"/>
      <c r="V49" s="20"/>
      <c r="W49" s="3"/>
      <c r="X49" s="3">
        <f t="shared" si="2"/>
        <v>6142.09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","4244"," - ","SALES RETURN TAXABLE-ACCESSORI")</f>
        <v xml:space="preserve">          4244 - SALES RETURN TAXABLE-ACCESSORI</v>
      </c>
      <c r="C50" s="12"/>
      <c r="D50" s="3">
        <f>0</f>
        <v>0</v>
      </c>
      <c r="E50" s="3"/>
      <c r="F50" s="20"/>
      <c r="G50" s="3"/>
      <c r="H50" s="3">
        <f>-8.24</f>
        <v>-8.24</v>
      </c>
      <c r="I50" s="3"/>
      <c r="J50" s="20"/>
      <c r="K50" s="3"/>
      <c r="L50" s="3">
        <f t="shared" si="0"/>
        <v>8.24</v>
      </c>
      <c r="M50" s="3"/>
      <c r="N50" s="20">
        <f t="shared" si="1"/>
        <v>-1</v>
      </c>
      <c r="O50" s="12"/>
      <c r="P50" s="3">
        <f>0</f>
        <v>0</v>
      </c>
      <c r="Q50" s="3"/>
      <c r="R50" s="20"/>
      <c r="S50" s="3"/>
      <c r="T50" s="3">
        <f>-1243.5</f>
        <v>-1243.5</v>
      </c>
      <c r="U50" s="3"/>
      <c r="V50" s="20"/>
      <c r="W50" s="3"/>
      <c r="X50" s="3">
        <f t="shared" si="2"/>
        <v>1243.5</v>
      </c>
      <c r="Y50" s="3"/>
      <c r="Z50" s="20">
        <f t="shared" si="3"/>
        <v>-1</v>
      </c>
    </row>
    <row r="51" spans="1:26" s="69" customFormat="1" ht="15" hidden="1" customHeight="1" outlineLevel="1" x14ac:dyDescent="0.3">
      <c r="A51" s="42"/>
      <c r="B51" s="12" t="str">
        <f>CONCATENATE("          ","4245"," - ","SALES RETURN TAXABLE-SPECIAL O")</f>
        <v xml:space="preserve">          4245 - SALES RETURN TAXABLE-SPECIAL O</v>
      </c>
      <c r="C51" s="12"/>
      <c r="D51" s="3">
        <f>0</f>
        <v>0</v>
      </c>
      <c r="E51" s="3"/>
      <c r="F51" s="20"/>
      <c r="G51" s="3"/>
      <c r="H51" s="3">
        <f>-4071.14</f>
        <v>-4071.14</v>
      </c>
      <c r="I51" s="3"/>
      <c r="J51" s="20"/>
      <c r="K51" s="3"/>
      <c r="L51" s="3">
        <f t="shared" si="0"/>
        <v>4071.14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-15424.73</f>
        <v>-15424.73</v>
      </c>
      <c r="U51" s="3"/>
      <c r="V51" s="20"/>
      <c r="W51" s="3"/>
      <c r="X51" s="3">
        <f t="shared" si="2"/>
        <v>15424.73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","4300"," - ","NON-TAX RETURNS")</f>
        <v xml:space="preserve">          4300 - NON-TAX RETURNS</v>
      </c>
      <c r="C52" s="12"/>
      <c r="D52" s="3">
        <f>-1251.61</f>
        <v>-1251.6099999999999</v>
      </c>
      <c r="E52" s="3"/>
      <c r="F52" s="20"/>
      <c r="G52" s="3"/>
      <c r="H52" s="3">
        <f>0</f>
        <v>0</v>
      </c>
      <c r="I52" s="3"/>
      <c r="J52" s="20"/>
      <c r="K52" s="3"/>
      <c r="L52" s="3">
        <f t="shared" si="0"/>
        <v>-1251.6099999999999</v>
      </c>
      <c r="M52" s="3"/>
      <c r="N52" s="20">
        <f t="shared" si="1"/>
        <v>0</v>
      </c>
      <c r="O52" s="12"/>
      <c r="P52" s="3">
        <f>-3150.14</f>
        <v>-3150.14</v>
      </c>
      <c r="Q52" s="3"/>
      <c r="R52" s="20"/>
      <c r="S52" s="3"/>
      <c r="T52" s="3">
        <f>0</f>
        <v>0</v>
      </c>
      <c r="U52" s="3"/>
      <c r="V52" s="20"/>
      <c r="W52" s="3"/>
      <c r="X52" s="3">
        <f t="shared" si="2"/>
        <v>-3150.14</v>
      </c>
      <c r="Y52" s="3"/>
      <c r="Z52" s="20">
        <f t="shared" si="3"/>
        <v>0</v>
      </c>
    </row>
    <row r="53" spans="1:26" s="69" customFormat="1" ht="15" hidden="1" customHeight="1" outlineLevel="1" x14ac:dyDescent="0.3">
      <c r="A53" s="42"/>
      <c r="B53" s="12" t="str">
        <f>CONCATENATE("          ","4340"," - ","SALES RETURN NON TAXABLE-LOGO")</f>
        <v xml:space="preserve">          4340 - SALES RETURN NON TAXABLE-LOGO</v>
      </c>
      <c r="C53" s="12"/>
      <c r="D53" s="3">
        <f>0</f>
        <v>0</v>
      </c>
      <c r="E53" s="3"/>
      <c r="F53" s="20"/>
      <c r="G53" s="3"/>
      <c r="H53" s="3">
        <f>-664.13</f>
        <v>-664.13</v>
      </c>
      <c r="I53" s="3"/>
      <c r="J53" s="20"/>
      <c r="K53" s="3"/>
      <c r="L53" s="3">
        <f t="shared" si="0"/>
        <v>664.13</v>
      </c>
      <c r="M53" s="3"/>
      <c r="N53" s="20">
        <f t="shared" si="1"/>
        <v>-1</v>
      </c>
      <c r="O53" s="12"/>
      <c r="P53" s="3">
        <f>0</f>
        <v>0</v>
      </c>
      <c r="Q53" s="3"/>
      <c r="R53" s="20"/>
      <c r="S53" s="3"/>
      <c r="T53" s="3">
        <f>-3307.52</f>
        <v>-3307.52</v>
      </c>
      <c r="U53" s="3"/>
      <c r="V53" s="20"/>
      <c r="W53" s="3"/>
      <c r="X53" s="3">
        <f t="shared" si="2"/>
        <v>3307.52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","4341"," - ","SALES RETURN NON TAXABLE-LOGO")</f>
        <v xml:space="preserve">          4341 - SALES RETURN NON TAXABLE-LOGO</v>
      </c>
      <c r="C54" s="12"/>
      <c r="D54" s="3">
        <f>0</f>
        <v>0</v>
      </c>
      <c r="E54" s="3"/>
      <c r="F54" s="20"/>
      <c r="G54" s="3"/>
      <c r="H54" s="3">
        <f>-9.9</f>
        <v>-9.9</v>
      </c>
      <c r="I54" s="3"/>
      <c r="J54" s="20"/>
      <c r="K54" s="3"/>
      <c r="L54" s="3">
        <f t="shared" si="0"/>
        <v>9.9</v>
      </c>
      <c r="M54" s="3"/>
      <c r="N54" s="20">
        <f t="shared" si="1"/>
        <v>-1</v>
      </c>
      <c r="O54" s="12"/>
      <c r="P54" s="3">
        <f>0</f>
        <v>0</v>
      </c>
      <c r="Q54" s="3"/>
      <c r="R54" s="20"/>
      <c r="S54" s="3"/>
      <c r="T54" s="3">
        <f>-391.24</f>
        <v>-391.24</v>
      </c>
      <c r="U54" s="3"/>
      <c r="V54" s="20"/>
      <c r="W54" s="3"/>
      <c r="X54" s="3">
        <f t="shared" si="2"/>
        <v>391.24</v>
      </c>
      <c r="Y54" s="3"/>
      <c r="Z54" s="20">
        <f t="shared" si="3"/>
        <v>-1</v>
      </c>
    </row>
    <row r="55" spans="1:26" s="69" customFormat="1" ht="15" hidden="1" customHeight="1" outlineLevel="1" x14ac:dyDescent="0.3">
      <c r="A55" s="42"/>
      <c r="B55" s="12" t="str">
        <f>CONCATENATE("          ","4342"," - ","SALES RETURN NON TAXABLE-EVERY")</f>
        <v xml:space="preserve">          4342 - SALES RETURN NON TAXABLE-EVERY</v>
      </c>
      <c r="C55" s="12"/>
      <c r="D55" s="3">
        <f>0</f>
        <v>0</v>
      </c>
      <c r="E55" s="3"/>
      <c r="F55" s="20"/>
      <c r="G55" s="3"/>
      <c r="H55" s="3">
        <f>0</f>
        <v>0</v>
      </c>
      <c r="I55" s="3"/>
      <c r="J55" s="20"/>
      <c r="K55" s="3"/>
      <c r="L55" s="3">
        <f t="shared" si="0"/>
        <v>0</v>
      </c>
      <c r="M55" s="3"/>
      <c r="N55" s="20">
        <f t="shared" si="1"/>
        <v>0</v>
      </c>
      <c r="O55" s="12"/>
      <c r="P55" s="3">
        <f>0</f>
        <v>0</v>
      </c>
      <c r="Q55" s="3"/>
      <c r="R55" s="20"/>
      <c r="S55" s="3"/>
      <c r="T55" s="3">
        <f>-118.7</f>
        <v>-118.7</v>
      </c>
      <c r="U55" s="3"/>
      <c r="V55" s="20"/>
      <c r="W55" s="3"/>
      <c r="X55" s="3">
        <f t="shared" si="2"/>
        <v>118.7</v>
      </c>
      <c r="Y55" s="3"/>
      <c r="Z55" s="20">
        <f t="shared" si="3"/>
        <v>-1</v>
      </c>
    </row>
    <row r="56" spans="1:26" s="69" customFormat="1" ht="15" hidden="1" customHeight="1" outlineLevel="1" x14ac:dyDescent="0.3">
      <c r="A56" s="42"/>
      <c r="B56" s="12" t="str">
        <f>CONCATENATE("          ","4500"," - ","SALES DISCOUNT")</f>
        <v xml:space="preserve">          4500 - SALES DISCOUNT</v>
      </c>
      <c r="C56" s="12"/>
      <c r="D56" s="3">
        <f>-14639.17</f>
        <v>-14639.17</v>
      </c>
      <c r="E56" s="3"/>
      <c r="F56" s="20"/>
      <c r="G56" s="3"/>
      <c r="H56" s="3">
        <f>0</f>
        <v>0</v>
      </c>
      <c r="I56" s="3"/>
      <c r="J56" s="20"/>
      <c r="K56" s="3"/>
      <c r="L56" s="3">
        <f t="shared" si="0"/>
        <v>-14639.17</v>
      </c>
      <c r="M56" s="3"/>
      <c r="N56" s="20">
        <f t="shared" si="1"/>
        <v>0</v>
      </c>
      <c r="O56" s="12"/>
      <c r="P56" s="3">
        <f>-99117.35</f>
        <v>-99117.35</v>
      </c>
      <c r="Q56" s="3"/>
      <c r="R56" s="20"/>
      <c r="S56" s="3"/>
      <c r="T56" s="3">
        <f>0</f>
        <v>0</v>
      </c>
      <c r="U56" s="3"/>
      <c r="V56" s="20"/>
      <c r="W56" s="3"/>
      <c r="X56" s="3">
        <f t="shared" si="2"/>
        <v>-99117.35</v>
      </c>
      <c r="Y56" s="3"/>
      <c r="Z56" s="20">
        <f t="shared" si="3"/>
        <v>0</v>
      </c>
    </row>
    <row r="57" spans="1:26" ht="15" customHeight="1" x14ac:dyDescent="0.3">
      <c r="A57" s="10"/>
      <c r="B57" s="11"/>
      <c r="C57" s="10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2" customFormat="1" ht="15" customHeight="1" collapsed="1" x14ac:dyDescent="0.3">
      <c r="A58" s="11"/>
      <c r="B58" s="27" t="s">
        <v>287</v>
      </c>
      <c r="C58" s="11"/>
      <c r="D58" s="5">
        <f>SUM(OSRRefD16x_0)</f>
        <v>353400.32000000001</v>
      </c>
      <c r="E58" s="5"/>
      <c r="F58" s="13">
        <f t="shared" ref="F58:F84" si="4">IF(D$12=0,0,D58/D$12)</f>
        <v>0.44609575180395966</v>
      </c>
      <c r="G58" s="5"/>
      <c r="H58" s="5">
        <f>SUM(OSRRefH16x_0)</f>
        <v>191913.49</v>
      </c>
      <c r="I58" s="5"/>
      <c r="J58" s="13">
        <f t="shared" ref="J58:J84" si="5">IF(H$12=0,0,H58/H$12)</f>
        <v>0.46909695748087754</v>
      </c>
      <c r="K58" s="5"/>
      <c r="L58" s="5">
        <f t="shared" ref="L58:L84" si="6">+D58-H58</f>
        <v>161486.83000000002</v>
      </c>
      <c r="M58" s="5"/>
      <c r="N58" s="13">
        <f t="shared" ref="N58:N84" si="7">IF(H58=0,0,L58/H58)</f>
        <v>0.84145637703738296</v>
      </c>
      <c r="O58" s="11"/>
      <c r="P58" s="5">
        <f>SUM(OSRRefP16x_0)</f>
        <v>2018528.38</v>
      </c>
      <c r="Q58" s="5"/>
      <c r="R58" s="13">
        <f t="shared" ref="R58:R84" si="8">IF(P$12=0,0,P58/P$12)</f>
        <v>0.47333951105600014</v>
      </c>
      <c r="S58" s="5"/>
      <c r="T58" s="5">
        <f>SUM(OSRRefT16x_0)</f>
        <v>1039638.53</v>
      </c>
      <c r="U58" s="5"/>
      <c r="V58" s="13">
        <f t="shared" ref="V58:V84" si="9">IF(T$12=0,0,T58/T$12)</f>
        <v>0.54479671812701769</v>
      </c>
      <c r="W58" s="5"/>
      <c r="X58" s="5">
        <f t="shared" ref="X58:X84" si="10">+P58-T58</f>
        <v>978889.84999999986</v>
      </c>
      <c r="Y58" s="5"/>
      <c r="Z58" s="13">
        <f t="shared" ref="Z58:Z84" si="11">IF(T58=0,0,X58/T58)</f>
        <v>0.94156749846506727</v>
      </c>
    </row>
    <row r="59" spans="1:26" s="69" customFormat="1" ht="15" hidden="1" customHeight="1" outlineLevel="1" x14ac:dyDescent="0.3">
      <c r="A59" s="42"/>
      <c r="B59" s="12" t="str">
        <f>CONCATENATE("          ","5000"," - ","PURCHASES @ COST")</f>
        <v xml:space="preserve">          5000 - PURCHASES @ COST</v>
      </c>
      <c r="C59" s="12"/>
      <c r="D59" s="3">
        <v>343115.75</v>
      </c>
      <c r="E59" s="3"/>
      <c r="F59" s="20">
        <f t="shared" si="4"/>
        <v>0.43311358193458754</v>
      </c>
      <c r="G59" s="3"/>
      <c r="H59" s="3"/>
      <c r="I59" s="3"/>
      <c r="J59" s="20">
        <f t="shared" si="5"/>
        <v>0</v>
      </c>
      <c r="K59" s="3"/>
      <c r="L59" s="3">
        <f t="shared" si="6"/>
        <v>343115.75</v>
      </c>
      <c r="M59" s="3"/>
      <c r="N59" s="20">
        <f t="shared" si="7"/>
        <v>0</v>
      </c>
      <c r="O59" s="12"/>
      <c r="P59" s="3">
        <v>2259734.52</v>
      </c>
      <c r="Q59" s="3"/>
      <c r="R59" s="20">
        <f t="shared" si="8"/>
        <v>0.5299017063179291</v>
      </c>
      <c r="S59" s="3"/>
      <c r="T59" s="3"/>
      <c r="U59" s="3"/>
      <c r="V59" s="20">
        <f t="shared" si="9"/>
        <v>0</v>
      </c>
      <c r="W59" s="3"/>
      <c r="X59" s="3">
        <f t="shared" si="10"/>
        <v>2259734.52</v>
      </c>
      <c r="Y59" s="3"/>
      <c r="Z59" s="20">
        <f t="shared" si="11"/>
        <v>0</v>
      </c>
    </row>
    <row r="60" spans="1:26" s="69" customFormat="1" ht="15" hidden="1" customHeight="1" outlineLevel="1" x14ac:dyDescent="0.3">
      <c r="A60" s="42"/>
      <c r="B60" s="12" t="str">
        <f>CONCATENATE("          ","5025"," - ","PURCHASES @ COST-TEST FORMS")</f>
        <v xml:space="preserve">          5025 - PURCHASES @ COST-TEST FORMS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/>
      <c r="Q60" s="3"/>
      <c r="R60" s="20">
        <f t="shared" si="8"/>
        <v>0</v>
      </c>
      <c r="S60" s="3"/>
      <c r="T60" s="3">
        <v>599.29</v>
      </c>
      <c r="U60" s="3"/>
      <c r="V60" s="20">
        <f t="shared" si="9"/>
        <v>3.1404302147818665E-4</v>
      </c>
      <c r="W60" s="3"/>
      <c r="X60" s="3">
        <f t="shared" si="10"/>
        <v>-599.29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","5026"," - ","PURCHASES @ COST-WRITING INSTR")</f>
        <v xml:space="preserve">          5026 - PURCHASES @ COST-WRITING INSTR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>
        <v>0</v>
      </c>
      <c r="Q61" s="3"/>
      <c r="R61" s="20">
        <f t="shared" si="8"/>
        <v>0</v>
      </c>
      <c r="S61" s="3"/>
      <c r="T61" s="3">
        <v>584.54999999999995</v>
      </c>
      <c r="U61" s="3"/>
      <c r="V61" s="20">
        <f t="shared" si="9"/>
        <v>3.0631889102950824E-4</v>
      </c>
      <c r="W61" s="3"/>
      <c r="X61" s="3">
        <f t="shared" si="10"/>
        <v>-584.54999999999995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","5027"," - ","PURCHASES @ COST-SCHOOL SUPPLI")</f>
        <v xml:space="preserve">          5027 - PURCHASES @ COST-SCHOOL SUPPLI</v>
      </c>
      <c r="C62" s="12"/>
      <c r="D62" s="3"/>
      <c r="E62" s="3"/>
      <c r="F62" s="20">
        <f t="shared" si="4"/>
        <v>0</v>
      </c>
      <c r="G62" s="3"/>
      <c r="H62" s="3">
        <v>1838.72</v>
      </c>
      <c r="I62" s="3"/>
      <c r="J62" s="20">
        <f t="shared" si="5"/>
        <v>4.4944102556794688E-3</v>
      </c>
      <c r="K62" s="3"/>
      <c r="L62" s="3">
        <f t="shared" si="6"/>
        <v>-1838.72</v>
      </c>
      <c r="M62" s="3"/>
      <c r="N62" s="20">
        <f t="shared" si="7"/>
        <v>-1</v>
      </c>
      <c r="O62" s="12"/>
      <c r="P62" s="3">
        <v>0</v>
      </c>
      <c r="Q62" s="3"/>
      <c r="R62" s="20">
        <f t="shared" si="8"/>
        <v>0</v>
      </c>
      <c r="S62" s="3"/>
      <c r="T62" s="3">
        <v>23734.6</v>
      </c>
      <c r="U62" s="3"/>
      <c r="V62" s="20">
        <f t="shared" si="9"/>
        <v>1.2437526902795256E-2</v>
      </c>
      <c r="W62" s="3"/>
      <c r="X62" s="3">
        <f t="shared" si="10"/>
        <v>-23734.6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","5028"," - ","PURCHASES @ COST-ART/TECH")</f>
        <v xml:space="preserve">          5028 - PURCHASES @ COST-ART/TECH</v>
      </c>
      <c r="C63" s="12"/>
      <c r="D63" s="3"/>
      <c r="E63" s="3"/>
      <c r="F63" s="20">
        <f t="shared" si="4"/>
        <v>0</v>
      </c>
      <c r="G63" s="3"/>
      <c r="H63" s="3">
        <v>1371.26</v>
      </c>
      <c r="I63" s="3"/>
      <c r="J63" s="20">
        <f t="shared" si="5"/>
        <v>3.3517909236876896E-3</v>
      </c>
      <c r="K63" s="3"/>
      <c r="L63" s="3">
        <f t="shared" si="6"/>
        <v>-1371.26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47006.62</v>
      </c>
      <c r="U63" s="3"/>
      <c r="V63" s="20">
        <f t="shared" si="9"/>
        <v>2.4632650259935857E-2</v>
      </c>
      <c r="W63" s="3"/>
      <c r="X63" s="3">
        <f t="shared" si="10"/>
        <v>-47006.62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","5031"," - ","PURCHASES @ COST-FOOD")</f>
        <v xml:space="preserve">          5031 - PURCHASES @ COST-FOOD</v>
      </c>
      <c r="C64" s="12"/>
      <c r="D64" s="3"/>
      <c r="E64" s="3"/>
      <c r="F64" s="20">
        <f t="shared" si="4"/>
        <v>0</v>
      </c>
      <c r="G64" s="3"/>
      <c r="H64" s="3"/>
      <c r="I64" s="3"/>
      <c r="J64" s="20">
        <f t="shared" si="5"/>
        <v>0</v>
      </c>
      <c r="K64" s="3"/>
      <c r="L64" s="3">
        <f t="shared" si="6"/>
        <v>0</v>
      </c>
      <c r="M64" s="3"/>
      <c r="N64" s="20">
        <f t="shared" si="7"/>
        <v>0</v>
      </c>
      <c r="O64" s="12"/>
      <c r="P64" s="3">
        <v>0</v>
      </c>
      <c r="Q64" s="3"/>
      <c r="R64" s="20">
        <f t="shared" si="8"/>
        <v>0</v>
      </c>
      <c r="S64" s="3"/>
      <c r="T64" s="3">
        <v>7785.72</v>
      </c>
      <c r="U64" s="3"/>
      <c r="V64" s="20">
        <f t="shared" si="9"/>
        <v>4.0799129522987995E-3</v>
      </c>
      <c r="W64" s="3"/>
      <c r="X64" s="3">
        <f t="shared" si="10"/>
        <v>-7785.72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","5040"," - ","PURCHASES @ COST-LOGO CLOTHING")</f>
        <v xml:space="preserve">          5040 - PURCHASES @ COST-LOGO CLOTHING</v>
      </c>
      <c r="C65" s="12"/>
      <c r="D65" s="3"/>
      <c r="E65" s="3"/>
      <c r="F65" s="20">
        <f t="shared" si="4"/>
        <v>0</v>
      </c>
      <c r="G65" s="3"/>
      <c r="H65" s="3">
        <v>39218.65</v>
      </c>
      <c r="I65" s="3"/>
      <c r="J65" s="20">
        <f t="shared" si="5"/>
        <v>9.5862721226670514E-2</v>
      </c>
      <c r="K65" s="3"/>
      <c r="L65" s="3">
        <f t="shared" si="6"/>
        <v>-39218.65</v>
      </c>
      <c r="M65" s="3"/>
      <c r="N65" s="20">
        <f t="shared" si="7"/>
        <v>-1</v>
      </c>
      <c r="O65" s="12"/>
      <c r="P65" s="3">
        <v>0</v>
      </c>
      <c r="Q65" s="3"/>
      <c r="R65" s="20">
        <f t="shared" si="8"/>
        <v>0</v>
      </c>
      <c r="S65" s="3"/>
      <c r="T65" s="3">
        <v>279090.25</v>
      </c>
      <c r="U65" s="3"/>
      <c r="V65" s="20">
        <f t="shared" si="9"/>
        <v>0.14625030515293511</v>
      </c>
      <c r="W65" s="3"/>
      <c r="X65" s="3">
        <f t="shared" si="10"/>
        <v>-279090.25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","5041"," - ","PURCHASES @ COST-LOGO GIFTS")</f>
        <v xml:space="preserve">          5041 - PURCHASES @ COST-LOGO GIFTS</v>
      </c>
      <c r="C66" s="12"/>
      <c r="D66" s="3"/>
      <c r="E66" s="3"/>
      <c r="F66" s="20">
        <f t="shared" si="4"/>
        <v>0</v>
      </c>
      <c r="G66" s="3"/>
      <c r="H66" s="3">
        <v>15798.51</v>
      </c>
      <c r="I66" s="3"/>
      <c r="J66" s="20">
        <f t="shared" si="5"/>
        <v>3.861652963390546E-2</v>
      </c>
      <c r="K66" s="3"/>
      <c r="L66" s="3">
        <f t="shared" si="6"/>
        <v>-15798.51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84261.95</v>
      </c>
      <c r="U66" s="3"/>
      <c r="V66" s="20">
        <f t="shared" si="9"/>
        <v>4.4155379488467837E-2</v>
      </c>
      <c r="W66" s="3"/>
      <c r="X66" s="3">
        <f t="shared" si="10"/>
        <v>-84261.95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","5042"," - ","PURCHASES @ COST-EVERYDAY GIFT")</f>
        <v xml:space="preserve">          5042 - PURCHASES @ COST-EVERYDAY GIFT</v>
      </c>
      <c r="C67" s="12"/>
      <c r="D67" s="3"/>
      <c r="E67" s="3"/>
      <c r="F67" s="20">
        <f t="shared" si="4"/>
        <v>0</v>
      </c>
      <c r="G67" s="3"/>
      <c r="H67" s="3"/>
      <c r="I67" s="3"/>
      <c r="J67" s="20">
        <f t="shared" si="5"/>
        <v>0</v>
      </c>
      <c r="K67" s="3"/>
      <c r="L67" s="3">
        <f t="shared" si="6"/>
        <v>0</v>
      </c>
      <c r="M67" s="3"/>
      <c r="N67" s="20">
        <f t="shared" si="7"/>
        <v>0</v>
      </c>
      <c r="O67" s="12"/>
      <c r="P67" s="3">
        <v>0</v>
      </c>
      <c r="Q67" s="3"/>
      <c r="R67" s="20">
        <f t="shared" si="8"/>
        <v>0</v>
      </c>
      <c r="S67" s="3"/>
      <c r="T67" s="3">
        <v>18748.18</v>
      </c>
      <c r="U67" s="3"/>
      <c r="V67" s="20">
        <f t="shared" si="9"/>
        <v>9.824517503073487E-3</v>
      </c>
      <c r="W67" s="3"/>
      <c r="X67" s="3">
        <f t="shared" si="10"/>
        <v>-18748.18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","5043"," - ","PURCHASES @ COST-CARDS")</f>
        <v xml:space="preserve">          5043 - PURCHASES @ COST-CARDS</v>
      </c>
      <c r="C68" s="12"/>
      <c r="D68" s="3"/>
      <c r="E68" s="3"/>
      <c r="F68" s="20">
        <f t="shared" si="4"/>
        <v>0</v>
      </c>
      <c r="G68" s="3"/>
      <c r="H68" s="3">
        <v>41</v>
      </c>
      <c r="I68" s="3"/>
      <c r="J68" s="20">
        <f t="shared" si="5"/>
        <v>1.002169011501796E-4</v>
      </c>
      <c r="K68" s="3"/>
      <c r="L68" s="3">
        <f t="shared" si="6"/>
        <v>-41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55405.33</v>
      </c>
      <c r="U68" s="3"/>
      <c r="V68" s="20">
        <f t="shared" si="9"/>
        <v>2.9033785378024028E-2</v>
      </c>
      <c r="W68" s="3"/>
      <c r="X68" s="3">
        <f t="shared" si="10"/>
        <v>-55405.33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","5044"," - ","PURCHASES @ COST-ACCESSORIES")</f>
        <v xml:space="preserve">          5044 - PURCHASES @ COST-ACCESSORIES</v>
      </c>
      <c r="C69" s="12"/>
      <c r="D69" s="3"/>
      <c r="E69" s="3"/>
      <c r="F69" s="20">
        <f t="shared" si="4"/>
        <v>0</v>
      </c>
      <c r="G69" s="3"/>
      <c r="H69" s="3">
        <v>1490.88</v>
      </c>
      <c r="I69" s="3"/>
      <c r="J69" s="20">
        <f t="shared" si="5"/>
        <v>3.6441798435799945E-3</v>
      </c>
      <c r="K69" s="3"/>
      <c r="L69" s="3">
        <f t="shared" si="6"/>
        <v>-1490.88</v>
      </c>
      <c r="M69" s="3"/>
      <c r="N69" s="20">
        <f t="shared" si="7"/>
        <v>-1</v>
      </c>
      <c r="O69" s="12"/>
      <c r="P69" s="3">
        <v>0</v>
      </c>
      <c r="Q69" s="3"/>
      <c r="R69" s="20">
        <f t="shared" si="8"/>
        <v>0</v>
      </c>
      <c r="S69" s="3"/>
      <c r="T69" s="3">
        <v>2555.71</v>
      </c>
      <c r="U69" s="3"/>
      <c r="V69" s="20">
        <f t="shared" si="9"/>
        <v>1.3392562706235987E-3</v>
      </c>
      <c r="W69" s="3"/>
      <c r="X69" s="3">
        <f t="shared" si="10"/>
        <v>-2555.71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","5045"," - ","PURCHASES @ COST-SPECIAL ORDER")</f>
        <v xml:space="preserve">          5045 - PURCHASES @ COST-SPECIAL ORDER</v>
      </c>
      <c r="C70" s="12"/>
      <c r="D70" s="3"/>
      <c r="E70" s="3"/>
      <c r="F70" s="20">
        <f t="shared" si="4"/>
        <v>0</v>
      </c>
      <c r="G70" s="3"/>
      <c r="H70" s="3">
        <v>5771.38</v>
      </c>
      <c r="I70" s="3"/>
      <c r="J70" s="20">
        <f t="shared" si="5"/>
        <v>1.4107068755124965E-2</v>
      </c>
      <c r="K70" s="3"/>
      <c r="L70" s="3">
        <f t="shared" si="6"/>
        <v>-5771.38</v>
      </c>
      <c r="M70" s="3"/>
      <c r="N70" s="20">
        <f t="shared" si="7"/>
        <v>-1</v>
      </c>
      <c r="O70" s="12"/>
      <c r="P70" s="3">
        <v>0</v>
      </c>
      <c r="Q70" s="3"/>
      <c r="R70" s="20">
        <f t="shared" si="8"/>
        <v>0</v>
      </c>
      <c r="S70" s="3"/>
      <c r="T70" s="3">
        <v>114998.07</v>
      </c>
      <c r="U70" s="3"/>
      <c r="V70" s="20">
        <f t="shared" si="9"/>
        <v>6.0261878834887976E-2</v>
      </c>
      <c r="W70" s="3"/>
      <c r="X70" s="3">
        <f t="shared" si="10"/>
        <v>-114998.07</v>
      </c>
      <c r="Y70" s="3"/>
      <c r="Z70" s="20">
        <f t="shared" si="11"/>
        <v>-1</v>
      </c>
    </row>
    <row r="71" spans="1:26" s="69" customFormat="1" ht="15" hidden="1" customHeight="1" outlineLevel="1" x14ac:dyDescent="0.3">
      <c r="A71" s="42"/>
      <c r="B71" s="12" t="str">
        <f>CONCATENATE("          ","5086"," - ","PURCHASES @ COST-COMPUTER SUPP")</f>
        <v xml:space="preserve">          5086 - PURCHASES @ COST-COMPUTER SUPP</v>
      </c>
      <c r="C71" s="12"/>
      <c r="D71" s="3"/>
      <c r="E71" s="3"/>
      <c r="F71" s="20">
        <f t="shared" si="4"/>
        <v>0</v>
      </c>
      <c r="G71" s="3"/>
      <c r="H71" s="3"/>
      <c r="I71" s="3"/>
      <c r="J71" s="20">
        <f t="shared" si="5"/>
        <v>0</v>
      </c>
      <c r="K71" s="3"/>
      <c r="L71" s="3">
        <f t="shared" si="6"/>
        <v>0</v>
      </c>
      <c r="M71" s="3"/>
      <c r="N71" s="20">
        <f t="shared" si="7"/>
        <v>0</v>
      </c>
      <c r="O71" s="12"/>
      <c r="P71" s="3"/>
      <c r="Q71" s="3"/>
      <c r="R71" s="20">
        <f t="shared" si="8"/>
        <v>0</v>
      </c>
      <c r="S71" s="3"/>
      <c r="T71" s="3">
        <v>13.21</v>
      </c>
      <c r="U71" s="3"/>
      <c r="V71" s="20">
        <f t="shared" si="9"/>
        <v>6.9223719964071591E-6</v>
      </c>
      <c r="W71" s="3"/>
      <c r="X71" s="3">
        <f t="shared" si="10"/>
        <v>-13.21</v>
      </c>
      <c r="Y71" s="3"/>
      <c r="Z71" s="20">
        <f t="shared" si="11"/>
        <v>-1</v>
      </c>
    </row>
    <row r="72" spans="1:26" s="69" customFormat="1" ht="15" hidden="1" customHeight="1" outlineLevel="1" x14ac:dyDescent="0.3">
      <c r="A72" s="42"/>
      <c r="B72" s="12" t="str">
        <f>CONCATENATE("          ","5200"," - ","PURCHASES OFFSET")</f>
        <v xml:space="preserve">          5200 - PURCHASES OFFSET</v>
      </c>
      <c r="C72" s="12"/>
      <c r="D72" s="3">
        <v>-375708.7</v>
      </c>
      <c r="E72" s="3"/>
      <c r="F72" s="20">
        <f t="shared" si="4"/>
        <v>-0.47425552694968792</v>
      </c>
      <c r="G72" s="3"/>
      <c r="H72" s="3">
        <v>-70754.37</v>
      </c>
      <c r="I72" s="3"/>
      <c r="J72" s="20">
        <f t="shared" si="5"/>
        <v>-0.17294594400568858</v>
      </c>
      <c r="K72" s="3"/>
      <c r="L72" s="3">
        <f t="shared" si="6"/>
        <v>-304954.33</v>
      </c>
      <c r="M72" s="3"/>
      <c r="N72" s="20">
        <f t="shared" si="7"/>
        <v>4.310042333780939</v>
      </c>
      <c r="O72" s="12"/>
      <c r="P72" s="3">
        <v>-2366941.83</v>
      </c>
      <c r="Q72" s="3"/>
      <c r="R72" s="20">
        <f t="shared" si="8"/>
        <v>-0.55504153402598899</v>
      </c>
      <c r="S72" s="3"/>
      <c r="T72" s="3">
        <v>-660489.16</v>
      </c>
      <c r="U72" s="3"/>
      <c r="V72" s="20">
        <f t="shared" si="9"/>
        <v>-0.34611291938792482</v>
      </c>
      <c r="W72" s="3"/>
      <c r="X72" s="3">
        <f t="shared" si="10"/>
        <v>-1706452.67</v>
      </c>
      <c r="Y72" s="3"/>
      <c r="Z72" s="20">
        <f t="shared" si="11"/>
        <v>2.5836194949815678</v>
      </c>
    </row>
    <row r="73" spans="1:26" s="69" customFormat="1" ht="15" hidden="1" customHeight="1" outlineLevel="1" x14ac:dyDescent="0.3">
      <c r="A73" s="42"/>
      <c r="B73" s="12" t="str">
        <f>CONCATENATE("          ","5300"," - ","COG$ OFFSET")</f>
        <v xml:space="preserve">          5300 - COG$ OFFSET</v>
      </c>
      <c r="C73" s="12"/>
      <c r="D73" s="3">
        <v>353400.32000000001</v>
      </c>
      <c r="E73" s="3"/>
      <c r="F73" s="20">
        <f t="shared" si="4"/>
        <v>0.44609575180395966</v>
      </c>
      <c r="G73" s="3"/>
      <c r="H73" s="3">
        <v>191894</v>
      </c>
      <c r="I73" s="3"/>
      <c r="J73" s="20">
        <f t="shared" si="5"/>
        <v>0.46904931778811132</v>
      </c>
      <c r="K73" s="3"/>
      <c r="L73" s="3">
        <f t="shared" si="6"/>
        <v>161506.32</v>
      </c>
      <c r="M73" s="3"/>
      <c r="N73" s="20">
        <f t="shared" si="7"/>
        <v>0.84164340729777898</v>
      </c>
      <c r="O73" s="12"/>
      <c r="P73" s="3">
        <v>2021528.38</v>
      </c>
      <c r="Q73" s="3"/>
      <c r="R73" s="20">
        <f t="shared" si="8"/>
        <v>0.47404300303918845</v>
      </c>
      <c r="S73" s="3"/>
      <c r="T73" s="3">
        <v>1039074</v>
      </c>
      <c r="U73" s="3"/>
      <c r="V73" s="20">
        <f t="shared" si="9"/>
        <v>0.54450089021913484</v>
      </c>
      <c r="W73" s="3"/>
      <c r="X73" s="3">
        <f t="shared" si="10"/>
        <v>982454.37999999989</v>
      </c>
      <c r="Y73" s="3"/>
      <c r="Z73" s="20">
        <f t="shared" si="11"/>
        <v>0.94550954022523892</v>
      </c>
    </row>
    <row r="74" spans="1:26" s="69" customFormat="1" ht="15" hidden="1" customHeight="1" outlineLevel="1" x14ac:dyDescent="0.3">
      <c r="A74" s="42"/>
      <c r="B74" s="12" t="str">
        <f>CONCATENATE("          ","5500"," - ","FREIGHT-IN")</f>
        <v xml:space="preserve">          5500 - FREIGHT-IN</v>
      </c>
      <c r="C74" s="12"/>
      <c r="D74" s="3">
        <v>32592.95</v>
      </c>
      <c r="E74" s="3"/>
      <c r="F74" s="20">
        <f t="shared" si="4"/>
        <v>4.1141945015100344E-2</v>
      </c>
      <c r="G74" s="3"/>
      <c r="H74" s="3"/>
      <c r="I74" s="3"/>
      <c r="J74" s="20">
        <f t="shared" si="5"/>
        <v>0</v>
      </c>
      <c r="K74" s="3"/>
      <c r="L74" s="3">
        <f t="shared" si="6"/>
        <v>32592.95</v>
      </c>
      <c r="M74" s="3"/>
      <c r="N74" s="20">
        <f t="shared" si="7"/>
        <v>0</v>
      </c>
      <c r="O74" s="12"/>
      <c r="P74" s="3">
        <v>104207.31</v>
      </c>
      <c r="Q74" s="3"/>
      <c r="R74" s="20">
        <f t="shared" si="8"/>
        <v>2.443633572487152E-2</v>
      </c>
      <c r="S74" s="3"/>
      <c r="T74" s="3"/>
      <c r="U74" s="3"/>
      <c r="V74" s="20">
        <f t="shared" si="9"/>
        <v>0</v>
      </c>
      <c r="W74" s="3"/>
      <c r="X74" s="3">
        <f t="shared" si="10"/>
        <v>104207.31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","5525"," - ","FREIGHT-IN-TEST FORMS")</f>
        <v xml:space="preserve">          5525 - FREIGHT-IN-TEST FORMS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/>
      <c r="Q75" s="3"/>
      <c r="R75" s="20">
        <f t="shared" si="8"/>
        <v>0</v>
      </c>
      <c r="S75" s="3"/>
      <c r="T75" s="3">
        <v>48.14</v>
      </c>
      <c r="U75" s="3"/>
      <c r="V75" s="20">
        <f t="shared" si="9"/>
        <v>2.5226569864272567E-5</v>
      </c>
      <c r="W75" s="3"/>
      <c r="X75" s="3">
        <f t="shared" si="10"/>
        <v>-48.14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","5526"," - ","FREIGHT-IN-WRITING INSTRUMENTS")</f>
        <v xml:space="preserve">          5526 - FREIGHT-IN-WRITING INSTRUMENTS</v>
      </c>
      <c r="C76" s="12"/>
      <c r="D76" s="3"/>
      <c r="E76" s="3"/>
      <c r="F76" s="20">
        <f t="shared" si="4"/>
        <v>0</v>
      </c>
      <c r="G76" s="3"/>
      <c r="H76" s="3"/>
      <c r="I76" s="3"/>
      <c r="J76" s="20">
        <f t="shared" si="5"/>
        <v>0</v>
      </c>
      <c r="K76" s="3"/>
      <c r="L76" s="3">
        <f t="shared" si="6"/>
        <v>0</v>
      </c>
      <c r="M76" s="3"/>
      <c r="N76" s="20">
        <f t="shared" si="7"/>
        <v>0</v>
      </c>
      <c r="O76" s="12"/>
      <c r="P76" s="3"/>
      <c r="Q76" s="3"/>
      <c r="R76" s="20">
        <f t="shared" si="8"/>
        <v>0</v>
      </c>
      <c r="S76" s="3"/>
      <c r="T76" s="3">
        <v>0</v>
      </c>
      <c r="U76" s="3"/>
      <c r="V76" s="20">
        <f t="shared" si="9"/>
        <v>0</v>
      </c>
      <c r="W76" s="3"/>
      <c r="X76" s="3">
        <f t="shared" si="10"/>
        <v>0</v>
      </c>
      <c r="Y76" s="3"/>
      <c r="Z76" s="20">
        <f t="shared" si="11"/>
        <v>0</v>
      </c>
    </row>
    <row r="77" spans="1:26" s="69" customFormat="1" ht="15" hidden="1" customHeight="1" outlineLevel="1" x14ac:dyDescent="0.3">
      <c r="A77" s="42"/>
      <c r="B77" s="12" t="str">
        <f>CONCATENATE("          ","5527"," - ","FREIGHT-IN-SCHOOL SUPPLIES")</f>
        <v xml:space="preserve">          5527 - FREIGHT-IN-SCHOOL SUPPLIES</v>
      </c>
      <c r="C77" s="12"/>
      <c r="D77" s="3"/>
      <c r="E77" s="3"/>
      <c r="F77" s="20">
        <f t="shared" si="4"/>
        <v>0</v>
      </c>
      <c r="G77" s="3"/>
      <c r="H77" s="3"/>
      <c r="I77" s="3"/>
      <c r="J77" s="20">
        <f t="shared" si="5"/>
        <v>0</v>
      </c>
      <c r="K77" s="3"/>
      <c r="L77" s="3">
        <f t="shared" si="6"/>
        <v>0</v>
      </c>
      <c r="M77" s="3"/>
      <c r="N77" s="20">
        <f t="shared" si="7"/>
        <v>0</v>
      </c>
      <c r="O77" s="12"/>
      <c r="P77" s="3">
        <v>0</v>
      </c>
      <c r="Q77" s="3"/>
      <c r="R77" s="20">
        <f t="shared" si="8"/>
        <v>0</v>
      </c>
      <c r="S77" s="3"/>
      <c r="T77" s="3">
        <v>218.62</v>
      </c>
      <c r="U77" s="3"/>
      <c r="V77" s="20">
        <f t="shared" si="9"/>
        <v>1.1456237440231135E-4</v>
      </c>
      <c r="W77" s="3"/>
      <c r="X77" s="3">
        <f t="shared" si="10"/>
        <v>-218.62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","5528"," - ","FREIGHT-IN-ART/TECH")</f>
        <v xml:space="preserve">          5528 - FREIGHT-IN-ART/TECH</v>
      </c>
      <c r="C78" s="12"/>
      <c r="D78" s="3"/>
      <c r="E78" s="3"/>
      <c r="F78" s="20">
        <f t="shared" si="4"/>
        <v>0</v>
      </c>
      <c r="G78" s="3"/>
      <c r="H78" s="3">
        <v>89.22</v>
      </c>
      <c r="I78" s="3"/>
      <c r="J78" s="20">
        <f t="shared" si="5"/>
        <v>2.1808175416143958E-4</v>
      </c>
      <c r="K78" s="3"/>
      <c r="L78" s="3">
        <f t="shared" si="6"/>
        <v>-89.22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544.42999999999995</v>
      </c>
      <c r="U78" s="3"/>
      <c r="V78" s="20">
        <f t="shared" si="9"/>
        <v>2.8529500272550707E-4</v>
      </c>
      <c r="W78" s="3"/>
      <c r="X78" s="3">
        <f t="shared" si="10"/>
        <v>-544.42999999999995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","5540"," - ","FREIGHT-IN-LOGO CLOTHING")</f>
        <v xml:space="preserve">          5540 - FREIGHT-IN-LOGO CLOTHING</v>
      </c>
      <c r="C79" s="12"/>
      <c r="D79" s="3"/>
      <c r="E79" s="3"/>
      <c r="F79" s="20">
        <f t="shared" si="4"/>
        <v>0</v>
      </c>
      <c r="G79" s="3"/>
      <c r="H79" s="3">
        <v>2107.65</v>
      </c>
      <c r="I79" s="3"/>
      <c r="J79" s="20">
        <f t="shared" si="5"/>
        <v>5.1517597977847815E-3</v>
      </c>
      <c r="K79" s="3"/>
      <c r="L79" s="3">
        <f t="shared" si="6"/>
        <v>-2107.65</v>
      </c>
      <c r="M79" s="3"/>
      <c r="N79" s="20">
        <f t="shared" si="7"/>
        <v>-1</v>
      </c>
      <c r="O79" s="12"/>
      <c r="P79" s="3">
        <v>0</v>
      </c>
      <c r="Q79" s="3"/>
      <c r="R79" s="20">
        <f t="shared" si="8"/>
        <v>0</v>
      </c>
      <c r="S79" s="3"/>
      <c r="T79" s="3">
        <v>9216.02</v>
      </c>
      <c r="U79" s="3"/>
      <c r="V79" s="20">
        <f t="shared" si="9"/>
        <v>4.8294260988893493E-3</v>
      </c>
      <c r="W79" s="3"/>
      <c r="X79" s="3">
        <f t="shared" si="10"/>
        <v>-9216.02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","5541"," - ","FREIGHT-IN-LOGO GIFTS")</f>
        <v xml:space="preserve">          5541 - FREIGHT-IN-LOGO GIFTS</v>
      </c>
      <c r="C80" s="12"/>
      <c r="D80" s="3"/>
      <c r="E80" s="3"/>
      <c r="F80" s="20">
        <f t="shared" si="4"/>
        <v>0</v>
      </c>
      <c r="G80" s="3"/>
      <c r="H80" s="3">
        <v>2877.99</v>
      </c>
      <c r="I80" s="3"/>
      <c r="J80" s="20">
        <f t="shared" si="5"/>
        <v>7.0347131546635456E-3</v>
      </c>
      <c r="K80" s="3"/>
      <c r="L80" s="3">
        <f t="shared" si="6"/>
        <v>-2877.99</v>
      </c>
      <c r="M80" s="3"/>
      <c r="N80" s="20">
        <f t="shared" si="7"/>
        <v>-1</v>
      </c>
      <c r="O80" s="12"/>
      <c r="P80" s="3">
        <v>0</v>
      </c>
      <c r="Q80" s="3"/>
      <c r="R80" s="20">
        <f t="shared" si="8"/>
        <v>0</v>
      </c>
      <c r="S80" s="3"/>
      <c r="T80" s="3">
        <v>5015.99</v>
      </c>
      <c r="U80" s="3"/>
      <c r="V80" s="20">
        <f t="shared" si="9"/>
        <v>2.6285048228810249E-3</v>
      </c>
      <c r="W80" s="3"/>
      <c r="X80" s="3">
        <f t="shared" si="10"/>
        <v>-5015.99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","5542"," - ","FREIGHT-IN-EVERYDAY GIFTS")</f>
        <v xml:space="preserve">          5542 - FREIGHT-IN-EVERYDAY GIFTS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>
        <v>681.72</v>
      </c>
      <c r="U81" s="3"/>
      <c r="V81" s="20">
        <f t="shared" si="9"/>
        <v>3.5723841312571448E-4</v>
      </c>
      <c r="W81" s="3"/>
      <c r="X81" s="3">
        <f t="shared" si="10"/>
        <v>-681.72</v>
      </c>
      <c r="Y81" s="3"/>
      <c r="Z81" s="20">
        <f t="shared" si="11"/>
        <v>-1</v>
      </c>
    </row>
    <row r="82" spans="1:26" s="69" customFormat="1" ht="15" hidden="1" customHeight="1" outlineLevel="1" x14ac:dyDescent="0.3">
      <c r="A82" s="42"/>
      <c r="B82" s="12" t="str">
        <f>CONCATENATE("          ","5543"," - ","FREIGHT-IN-CARDS")</f>
        <v xml:space="preserve">          5543 - FREIGHT-IN-CARDS</v>
      </c>
      <c r="C82" s="12"/>
      <c r="D82" s="3"/>
      <c r="E82" s="3"/>
      <c r="F82" s="20">
        <f t="shared" si="4"/>
        <v>0</v>
      </c>
      <c r="G82" s="3"/>
      <c r="H82" s="3"/>
      <c r="I82" s="3"/>
      <c r="J82" s="20">
        <f t="shared" si="5"/>
        <v>0</v>
      </c>
      <c r="K82" s="3"/>
      <c r="L82" s="3">
        <f t="shared" si="6"/>
        <v>0</v>
      </c>
      <c r="M82" s="3"/>
      <c r="N82" s="20">
        <f t="shared" si="7"/>
        <v>0</v>
      </c>
      <c r="O82" s="12"/>
      <c r="P82" s="3"/>
      <c r="Q82" s="3"/>
      <c r="R82" s="20">
        <f t="shared" si="8"/>
        <v>0</v>
      </c>
      <c r="S82" s="3"/>
      <c r="T82" s="3">
        <v>9110.5300000000007</v>
      </c>
      <c r="U82" s="3"/>
      <c r="V82" s="20">
        <f t="shared" si="9"/>
        <v>4.7741466876932105E-3</v>
      </c>
      <c r="W82" s="3"/>
      <c r="X82" s="3">
        <f t="shared" si="10"/>
        <v>-9110.5300000000007</v>
      </c>
      <c r="Y82" s="3"/>
      <c r="Z82" s="20">
        <f t="shared" si="11"/>
        <v>-1</v>
      </c>
    </row>
    <row r="83" spans="1:26" s="69" customFormat="1" ht="15" hidden="1" customHeight="1" outlineLevel="1" x14ac:dyDescent="0.3">
      <c r="A83" s="42"/>
      <c r="B83" s="12" t="str">
        <f>CONCATENATE("          ","5544"," - ","FREIGHT-IN-ACCESSORIES")</f>
        <v xml:space="preserve">          5544 - FREIGHT-IN-ACCESSORIES</v>
      </c>
      <c r="C83" s="12"/>
      <c r="D83" s="3"/>
      <c r="E83" s="3"/>
      <c r="F83" s="20">
        <f t="shared" si="4"/>
        <v>0</v>
      </c>
      <c r="G83" s="3"/>
      <c r="H83" s="3"/>
      <c r="I83" s="3"/>
      <c r="J83" s="20">
        <f t="shared" si="5"/>
        <v>0</v>
      </c>
      <c r="K83" s="3"/>
      <c r="L83" s="3">
        <f t="shared" si="6"/>
        <v>0</v>
      </c>
      <c r="M83" s="3"/>
      <c r="N83" s="20">
        <f t="shared" si="7"/>
        <v>0</v>
      </c>
      <c r="O83" s="12"/>
      <c r="P83" s="3">
        <v>0</v>
      </c>
      <c r="Q83" s="3"/>
      <c r="R83" s="20">
        <f t="shared" si="8"/>
        <v>0</v>
      </c>
      <c r="S83" s="3"/>
      <c r="T83" s="3"/>
      <c r="U83" s="3"/>
      <c r="V83" s="20">
        <f t="shared" si="9"/>
        <v>0</v>
      </c>
      <c r="W83" s="3"/>
      <c r="X83" s="3">
        <f t="shared" si="10"/>
        <v>0</v>
      </c>
      <c r="Y83" s="3"/>
      <c r="Z83" s="20">
        <f t="shared" si="11"/>
        <v>0</v>
      </c>
    </row>
    <row r="84" spans="1:26" s="69" customFormat="1" ht="15" hidden="1" customHeight="1" outlineLevel="1" x14ac:dyDescent="0.3">
      <c r="A84" s="42"/>
      <c r="B84" s="12" t="str">
        <f>CONCATENATE("          ","5545"," - ","FREIGHT-IN-SPECIAL ORDERS")</f>
        <v xml:space="preserve">          5545 - FREIGHT-IN-SPECIAL ORDERS</v>
      </c>
      <c r="C84" s="12"/>
      <c r="D84" s="3"/>
      <c r="E84" s="3"/>
      <c r="F84" s="20">
        <f t="shared" si="4"/>
        <v>0</v>
      </c>
      <c r="G84" s="3"/>
      <c r="H84" s="3">
        <v>168.6</v>
      </c>
      <c r="I84" s="3"/>
      <c r="J84" s="20">
        <f t="shared" si="5"/>
        <v>4.1211145204683611E-4</v>
      </c>
      <c r="K84" s="3"/>
      <c r="L84" s="3">
        <f t="shared" si="6"/>
        <v>-168.6</v>
      </c>
      <c r="M84" s="3"/>
      <c r="N84" s="20">
        <f t="shared" si="7"/>
        <v>-1</v>
      </c>
      <c r="O84" s="12"/>
      <c r="P84" s="3">
        <v>0</v>
      </c>
      <c r="Q84" s="3"/>
      <c r="R84" s="20">
        <f t="shared" si="8"/>
        <v>0</v>
      </c>
      <c r="S84" s="3"/>
      <c r="T84" s="3">
        <v>1434.76</v>
      </c>
      <c r="U84" s="3"/>
      <c r="V84" s="20">
        <f t="shared" si="9"/>
        <v>7.5185029868017671E-4</v>
      </c>
      <c r="W84" s="3"/>
      <c r="X84" s="3">
        <f t="shared" si="10"/>
        <v>-1434.76</v>
      </c>
      <c r="Y84" s="3"/>
      <c r="Z84" s="20">
        <f t="shared" si="11"/>
        <v>-1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288</v>
      </c>
      <c r="C86" s="28"/>
      <c r="D86" s="21">
        <f>D12-D58</f>
        <v>438806.99999999994</v>
      </c>
      <c r="E86" s="15"/>
      <c r="F86" s="23">
        <f>IF(D$12=0,0,D86/D$12)</f>
        <v>0.55390424819604034</v>
      </c>
      <c r="G86" s="15"/>
      <c r="H86" s="21">
        <f>H12-H58</f>
        <v>217199.14</v>
      </c>
      <c r="I86" s="15"/>
      <c r="J86" s="23">
        <f>IF(H$12=0,0,H86/H$12)</f>
        <v>0.53090304251912246</v>
      </c>
      <c r="K86" s="16"/>
      <c r="L86" s="21">
        <f>+D86-H86</f>
        <v>221607.85999999993</v>
      </c>
      <c r="M86" s="16"/>
      <c r="N86" s="23">
        <f>IF(H86=0,0,L86/H86)</f>
        <v>1.0202980545871403</v>
      </c>
      <c r="O86" s="27"/>
      <c r="P86" s="21">
        <f>P12-P58</f>
        <v>2245912.540000001</v>
      </c>
      <c r="Q86" s="15"/>
      <c r="R86" s="23">
        <f>IF(P$12=0,0,P86/P$12)</f>
        <v>0.52666048894399986</v>
      </c>
      <c r="S86" s="15"/>
      <c r="T86" s="21">
        <f>T12-T58</f>
        <v>868666.8899999999</v>
      </c>
      <c r="U86" s="15"/>
      <c r="V86" s="23">
        <f>IF(T$12=0,0,T86/T$12)</f>
        <v>0.45520328187298231</v>
      </c>
      <c r="W86" s="16"/>
      <c r="X86" s="21">
        <f>+P86-T86</f>
        <v>1377245.6500000011</v>
      </c>
      <c r="Y86" s="16"/>
      <c r="Z86" s="23">
        <f>IF(T86=0,0,X86/T86)</f>
        <v>1.5854704097217303</v>
      </c>
    </row>
    <row r="87" spans="1:26" ht="15" customHeight="1" x14ac:dyDescent="0.3">
      <c r="A87" s="10"/>
      <c r="B87" s="11"/>
      <c r="C87" s="10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2" customFormat="1" ht="15" customHeight="1" x14ac:dyDescent="0.3">
      <c r="A88" s="11"/>
      <c r="B88" s="27" t="s">
        <v>289</v>
      </c>
      <c r="C88" s="11"/>
      <c r="D88" s="22" cm="1">
        <f t="array" ref="D88">SUM(OSRRefD22x_0)</f>
        <v>153457.76</v>
      </c>
      <c r="E88" s="22"/>
      <c r="F88" s="32">
        <f t="shared" ref="F88:F119" si="12">IF(D$12=0,0,D88/D$12)</f>
        <v>0.19370909120102553</v>
      </c>
      <c r="G88" s="22"/>
      <c r="H88" s="22" cm="1">
        <f t="array" ref="H88">SUM(OSRRefH22x_0)</f>
        <v>81484.67</v>
      </c>
      <c r="I88" s="22"/>
      <c r="J88" s="32">
        <f t="shared" ref="J88:J119" si="13">IF(H$12=0,0,H88/H$12)</f>
        <v>0.19917417362548792</v>
      </c>
      <c r="K88" s="5"/>
      <c r="L88" s="22">
        <f t="shared" ref="L88:L119" si="14">+D88-H88</f>
        <v>71973.090000000011</v>
      </c>
      <c r="M88" s="5"/>
      <c r="N88" s="32">
        <f t="shared" ref="N88:N119" si="15">IF(H88=0,0,L88/H88)</f>
        <v>0.88327154052412571</v>
      </c>
      <c r="O88" s="11"/>
      <c r="P88" s="22" cm="1">
        <f t="array" ref="P88">SUM(OSRRefP22x_0)</f>
        <v>1099847.2200000002</v>
      </c>
      <c r="Q88" s="22"/>
      <c r="R88" s="32">
        <f t="shared" ref="R88:R119" si="16">IF(P$12=0,0,P88/P$12)</f>
        <v>0.25791123400063426</v>
      </c>
      <c r="S88" s="22"/>
      <c r="T88" s="22" cm="1">
        <f t="array" ref="T88">SUM(OSRRefT22x_0)</f>
        <v>702288.31999999983</v>
      </c>
      <c r="U88" s="22"/>
      <c r="V88" s="32">
        <f t="shared" ref="V88:V119" si="17">IF(T$12=0,0,T88/T$12)</f>
        <v>0.3680167297329166</v>
      </c>
      <c r="W88" s="5"/>
      <c r="X88" s="22">
        <f t="shared" ref="X88:X119" si="18">+P88-T88</f>
        <v>397558.90000000037</v>
      </c>
      <c r="Y88" s="5"/>
      <c r="Z88" s="32">
        <f t="shared" ref="Z88:Z119" si="19">IF(T88=0,0,X88/T88)</f>
        <v>0.56609071897992047</v>
      </c>
    </row>
    <row r="89" spans="1:26" s="68" customFormat="1" ht="15" customHeight="1" outlineLevel="1" collapsed="1" x14ac:dyDescent="0.3">
      <c r="A89" s="25"/>
      <c r="B89" s="14" t="str">
        <f>CONCATENATE("     ","*Benefits                                         ")</f>
        <v xml:space="preserve">     *Benefits                                         </v>
      </c>
      <c r="C89" s="14"/>
      <c r="D89" s="2">
        <f>SUM(OSRRefD22_0x_0)</f>
        <v>14499.869999999999</v>
      </c>
      <c r="E89" s="2"/>
      <c r="F89" s="6">
        <f t="shared" si="12"/>
        <v>1.8303125500026936E-2</v>
      </c>
      <c r="G89" s="2"/>
      <c r="H89" s="2">
        <f>SUM(OSRRefH22_0x_0)</f>
        <v>15713.970000000001</v>
      </c>
      <c r="I89" s="2"/>
      <c r="J89" s="6">
        <f t="shared" si="13"/>
        <v>3.8409887272363115E-2</v>
      </c>
      <c r="K89" s="2"/>
      <c r="L89" s="2">
        <f t="shared" si="14"/>
        <v>-1214.1000000000022</v>
      </c>
      <c r="M89" s="2"/>
      <c r="N89" s="6">
        <f t="shared" si="15"/>
        <v>-7.7262461363996629E-2</v>
      </c>
      <c r="O89" s="14"/>
      <c r="P89" s="2">
        <f>SUM(OSRRefP22_0x_0)</f>
        <v>147639.98000000001</v>
      </c>
      <c r="Q89" s="2"/>
      <c r="R89" s="6">
        <f t="shared" si="16"/>
        <v>3.4621180776025377E-2</v>
      </c>
      <c r="S89" s="2"/>
      <c r="T89" s="2">
        <f>SUM(OSRRefT22_0x_0)</f>
        <v>150466.94</v>
      </c>
      <c r="U89" s="2"/>
      <c r="V89" s="6">
        <f t="shared" si="17"/>
        <v>7.8848458125743842E-2</v>
      </c>
      <c r="W89" s="2"/>
      <c r="X89" s="2">
        <f t="shared" si="18"/>
        <v>-2826.9599999999919</v>
      </c>
      <c r="Y89" s="2"/>
      <c r="Z89" s="6">
        <f t="shared" si="19"/>
        <v>-1.8787914474767624E-2</v>
      </c>
    </row>
    <row r="90" spans="1:26" s="69" customFormat="1" ht="15" hidden="1" customHeight="1" outlineLevel="2" x14ac:dyDescent="0.3">
      <c r="A90" s="26"/>
      <c r="B90" s="12" t="str">
        <f>CONCATENATE("          ","6111"," - ","F.I.C.A.")</f>
        <v xml:space="preserve">          6111 - F.I.C.A.</v>
      </c>
      <c r="C90" s="12"/>
      <c r="D90" s="8">
        <v>3266.66</v>
      </c>
      <c r="E90" s="3"/>
      <c r="F90" s="7">
        <f t="shared" si="12"/>
        <v>4.1234913103302302E-3</v>
      </c>
      <c r="G90" s="3"/>
      <c r="H90" s="8">
        <v>3546.36</v>
      </c>
      <c r="I90" s="3"/>
      <c r="J90" s="7">
        <f t="shared" si="13"/>
        <v>8.6684197454378279E-3</v>
      </c>
      <c r="K90" s="3"/>
      <c r="L90" s="8">
        <f t="shared" si="14"/>
        <v>-279.70000000000027</v>
      </c>
      <c r="M90" s="3"/>
      <c r="N90" s="7">
        <f t="shared" si="15"/>
        <v>-7.8869601506897286E-2</v>
      </c>
      <c r="O90" s="12"/>
      <c r="P90" s="8">
        <v>27470.28</v>
      </c>
      <c r="Q90" s="3"/>
      <c r="R90" s="7">
        <f t="shared" si="16"/>
        <v>6.4417072519789989E-3</v>
      </c>
      <c r="S90" s="3"/>
      <c r="T90" s="8">
        <v>30353.26</v>
      </c>
      <c r="U90" s="3"/>
      <c r="V90" s="7">
        <f t="shared" si="17"/>
        <v>1.5905871084304732E-2</v>
      </c>
      <c r="W90" s="3"/>
      <c r="X90" s="8">
        <f t="shared" si="18"/>
        <v>-2882.9799999999996</v>
      </c>
      <c r="Y90" s="3"/>
      <c r="Z90" s="7">
        <f t="shared" si="19"/>
        <v>-9.4980901557196809E-2</v>
      </c>
    </row>
    <row r="91" spans="1:26" s="69" customFormat="1" ht="15" hidden="1" customHeight="1" outlineLevel="2" x14ac:dyDescent="0.3">
      <c r="A91" s="26"/>
      <c r="B91" s="12" t="str">
        <f>CONCATENATE("          ","6112"," - ","COMPENSATION INSURANCE")</f>
        <v xml:space="preserve">          6112 - COMPENSATION INSURANCE</v>
      </c>
      <c r="C91" s="12"/>
      <c r="D91" s="8">
        <v>1108.6199999999999</v>
      </c>
      <c r="E91" s="3"/>
      <c r="F91" s="7">
        <f t="shared" si="12"/>
        <v>1.3994064079084752E-3</v>
      </c>
      <c r="G91" s="3"/>
      <c r="H91" s="8">
        <v>695.25</v>
      </c>
      <c r="I91" s="3"/>
      <c r="J91" s="7">
        <f t="shared" si="13"/>
        <v>1.699409768894204E-3</v>
      </c>
      <c r="K91" s="3"/>
      <c r="L91" s="8">
        <f t="shared" si="14"/>
        <v>413.36999999999989</v>
      </c>
      <c r="M91" s="3"/>
      <c r="N91" s="7">
        <f t="shared" si="15"/>
        <v>0.59456310679611635</v>
      </c>
      <c r="O91" s="12"/>
      <c r="P91" s="8">
        <v>10201.370000000001</v>
      </c>
      <c r="Q91" s="3"/>
      <c r="R91" s="7">
        <f t="shared" si="16"/>
        <v>2.3921940041790987E-3</v>
      </c>
      <c r="S91" s="3"/>
      <c r="T91" s="8">
        <v>10181.69</v>
      </c>
      <c r="U91" s="3"/>
      <c r="V91" s="7">
        <f t="shared" si="17"/>
        <v>5.3354614483042241E-3</v>
      </c>
      <c r="W91" s="3"/>
      <c r="X91" s="8">
        <f t="shared" si="18"/>
        <v>19.680000000000291</v>
      </c>
      <c r="Y91" s="3"/>
      <c r="Z91" s="7">
        <f t="shared" si="19"/>
        <v>1.9328814764543302E-3</v>
      </c>
    </row>
    <row r="92" spans="1:26" s="69" customFormat="1" ht="15" hidden="1" customHeight="1" outlineLevel="2" x14ac:dyDescent="0.3">
      <c r="A92" s="26"/>
      <c r="B92" s="12" t="str">
        <f>CONCATENATE("          ","6113"," - ","GROUP INSURANCE")</f>
        <v xml:space="preserve">          6113 - GROUP INSURANCE</v>
      </c>
      <c r="C92" s="12"/>
      <c r="D92" s="8">
        <v>3834.79</v>
      </c>
      <c r="E92" s="3"/>
      <c r="F92" s="7">
        <f t="shared" si="12"/>
        <v>4.8406394427155759E-3</v>
      </c>
      <c r="G92" s="3"/>
      <c r="H92" s="8">
        <v>4822.38</v>
      </c>
      <c r="I92" s="3"/>
      <c r="J92" s="7">
        <f t="shared" si="13"/>
        <v>1.1787414140697637E-2</v>
      </c>
      <c r="K92" s="3"/>
      <c r="L92" s="8">
        <f t="shared" si="14"/>
        <v>-987.59000000000015</v>
      </c>
      <c r="M92" s="3"/>
      <c r="N92" s="7">
        <f t="shared" si="15"/>
        <v>-0.20479306898253563</v>
      </c>
      <c r="O92" s="12"/>
      <c r="P92" s="8">
        <v>45991.61</v>
      </c>
      <c r="Q92" s="3"/>
      <c r="R92" s="7">
        <f t="shared" si="16"/>
        <v>1.0784909642973782E-2</v>
      </c>
      <c r="S92" s="3"/>
      <c r="T92" s="8">
        <v>53412.18</v>
      </c>
      <c r="U92" s="3"/>
      <c r="V92" s="7">
        <f t="shared" si="17"/>
        <v>2.7989324685772785E-2</v>
      </c>
      <c r="W92" s="3"/>
      <c r="X92" s="8">
        <f t="shared" si="18"/>
        <v>-7420.57</v>
      </c>
      <c r="Y92" s="3"/>
      <c r="Z92" s="7">
        <f t="shared" si="19"/>
        <v>-0.1389302964230256</v>
      </c>
    </row>
    <row r="93" spans="1:26" s="69" customFormat="1" ht="15" hidden="1" customHeight="1" outlineLevel="2" x14ac:dyDescent="0.3">
      <c r="A93" s="26"/>
      <c r="B93" s="12" t="str">
        <f>CONCATENATE("          ","6114"," - ","STATE UNEMPLOYMENT INSURANCE")</f>
        <v xml:space="preserve">          6114 - STATE UNEMPLOYMENT INSURANCE</v>
      </c>
      <c r="C93" s="12"/>
      <c r="D93" s="8">
        <v>194.76</v>
      </c>
      <c r="E93" s="3"/>
      <c r="F93" s="7">
        <f t="shared" si="12"/>
        <v>2.4584473670351845E-4</v>
      </c>
      <c r="G93" s="3"/>
      <c r="H93" s="8">
        <v>97.71</v>
      </c>
      <c r="I93" s="3"/>
      <c r="J93" s="7">
        <f t="shared" si="13"/>
        <v>2.3883398564351335E-4</v>
      </c>
      <c r="K93" s="3"/>
      <c r="L93" s="8">
        <f t="shared" si="14"/>
        <v>97.05</v>
      </c>
      <c r="M93" s="3"/>
      <c r="N93" s="7">
        <f t="shared" si="15"/>
        <v>0.99324531777709557</v>
      </c>
      <c r="O93" s="12"/>
      <c r="P93" s="8">
        <v>1793.28</v>
      </c>
      <c r="Q93" s="3"/>
      <c r="R93" s="7">
        <f t="shared" si="16"/>
        <v>4.2051936787061868E-4</v>
      </c>
      <c r="S93" s="3"/>
      <c r="T93" s="8">
        <v>1232.93</v>
      </c>
      <c r="U93" s="3"/>
      <c r="V93" s="7">
        <f t="shared" si="17"/>
        <v>6.4608630624756077E-4</v>
      </c>
      <c r="W93" s="3"/>
      <c r="X93" s="8">
        <f t="shared" si="18"/>
        <v>560.34999999999991</v>
      </c>
      <c r="Y93" s="3"/>
      <c r="Z93" s="7">
        <f t="shared" si="19"/>
        <v>0.45448646719602886</v>
      </c>
    </row>
    <row r="94" spans="1:26" s="69" customFormat="1" ht="15" hidden="1" customHeight="1" outlineLevel="2" x14ac:dyDescent="0.3">
      <c r="A94" s="26"/>
      <c r="B94" s="12" t="str">
        <f>CONCATENATE("          ","6115"," - ","P.E.R.S.")</f>
        <v xml:space="preserve">          6115 - P.E.R.S.</v>
      </c>
      <c r="C94" s="12"/>
      <c r="D94" s="8">
        <v>1549.91</v>
      </c>
      <c r="E94" s="3"/>
      <c r="F94" s="7">
        <f t="shared" si="12"/>
        <v>1.9564449366612771E-3</v>
      </c>
      <c r="G94" s="3"/>
      <c r="H94" s="8">
        <v>1841.51</v>
      </c>
      <c r="I94" s="3"/>
      <c r="J94" s="7">
        <f t="shared" si="13"/>
        <v>4.5012298935870054E-3</v>
      </c>
      <c r="K94" s="3"/>
      <c r="L94" s="8">
        <f t="shared" si="14"/>
        <v>-291.59999999999991</v>
      </c>
      <c r="M94" s="3"/>
      <c r="N94" s="7">
        <f t="shared" si="15"/>
        <v>-0.15834831198310079</v>
      </c>
      <c r="O94" s="12"/>
      <c r="P94" s="8">
        <v>16134.89</v>
      </c>
      <c r="Q94" s="3"/>
      <c r="R94" s="7">
        <f t="shared" si="16"/>
        <v>3.783588588208181E-3</v>
      </c>
      <c r="S94" s="3"/>
      <c r="T94" s="8">
        <v>20006.36</v>
      </c>
      <c r="U94" s="3"/>
      <c r="V94" s="7">
        <f t="shared" si="17"/>
        <v>1.0483835443909184E-2</v>
      </c>
      <c r="W94" s="3"/>
      <c r="X94" s="8">
        <f t="shared" si="18"/>
        <v>-3871.4700000000012</v>
      </c>
      <c r="Y94" s="3"/>
      <c r="Z94" s="7">
        <f t="shared" si="19"/>
        <v>-0.19351196319570382</v>
      </c>
    </row>
    <row r="95" spans="1:26" s="69" customFormat="1" ht="15" hidden="1" customHeight="1" outlineLevel="2" x14ac:dyDescent="0.3">
      <c r="A95" s="26"/>
      <c r="B95" s="12" t="str">
        <f>CONCATENATE("          ","6118"," - ","VACATION")</f>
        <v xml:space="preserve">          6118 - VACATION</v>
      </c>
      <c r="C95" s="12"/>
      <c r="D95" s="8">
        <v>1942.47</v>
      </c>
      <c r="E95" s="3"/>
      <c r="F95" s="7">
        <f t="shared" si="12"/>
        <v>2.4519717894048243E-3</v>
      </c>
      <c r="G95" s="3"/>
      <c r="H95" s="8">
        <v>2449.77</v>
      </c>
      <c r="I95" s="3"/>
      <c r="J95" s="7">
        <f t="shared" si="13"/>
        <v>5.9880087300164747E-3</v>
      </c>
      <c r="K95" s="3"/>
      <c r="L95" s="8">
        <f t="shared" si="14"/>
        <v>-507.29999999999995</v>
      </c>
      <c r="M95" s="3"/>
      <c r="N95" s="7">
        <f t="shared" si="15"/>
        <v>-0.20708066471546308</v>
      </c>
      <c r="O95" s="12"/>
      <c r="P95" s="8">
        <v>20189.5</v>
      </c>
      <c r="Q95" s="3"/>
      <c r="R95" s="7">
        <f t="shared" si="16"/>
        <v>4.7343837981931747E-3</v>
      </c>
      <c r="S95" s="3"/>
      <c r="T95" s="8">
        <v>17712.36</v>
      </c>
      <c r="U95" s="3"/>
      <c r="V95" s="7">
        <f t="shared" si="17"/>
        <v>9.2817217906345419E-3</v>
      </c>
      <c r="W95" s="3"/>
      <c r="X95" s="8">
        <f t="shared" si="18"/>
        <v>2477.1399999999994</v>
      </c>
      <c r="Y95" s="3"/>
      <c r="Z95" s="7">
        <f t="shared" si="19"/>
        <v>0.1398537518433455</v>
      </c>
    </row>
    <row r="96" spans="1:26" s="69" customFormat="1" ht="15" hidden="1" customHeight="1" outlineLevel="2" x14ac:dyDescent="0.3">
      <c r="A96" s="26"/>
      <c r="B96" s="12" t="str">
        <f>CONCATENATE("          ","6119"," - ","SICK LEAVE")</f>
        <v xml:space="preserve">          6119 - SICK LEAVE</v>
      </c>
      <c r="C96" s="12"/>
      <c r="D96" s="8">
        <v>1806.69</v>
      </c>
      <c r="E96" s="3"/>
      <c r="F96" s="7">
        <f t="shared" si="12"/>
        <v>2.280577261012938E-3</v>
      </c>
      <c r="G96" s="3"/>
      <c r="H96" s="8">
        <v>1658.43</v>
      </c>
      <c r="I96" s="3"/>
      <c r="J96" s="7">
        <f t="shared" si="13"/>
        <v>4.0537247652315212E-3</v>
      </c>
      <c r="K96" s="3"/>
      <c r="L96" s="8">
        <f t="shared" si="14"/>
        <v>148.26</v>
      </c>
      <c r="M96" s="3"/>
      <c r="N96" s="7">
        <f t="shared" si="15"/>
        <v>8.9397803947106586E-2</v>
      </c>
      <c r="O96" s="12"/>
      <c r="P96" s="8">
        <v>17644.57</v>
      </c>
      <c r="Q96" s="3"/>
      <c r="R96" s="7">
        <f t="shared" si="16"/>
        <v>4.1376045139347355E-3</v>
      </c>
      <c r="S96" s="3"/>
      <c r="T96" s="8">
        <v>12895.07</v>
      </c>
      <c r="U96" s="3"/>
      <c r="V96" s="7">
        <f t="shared" si="17"/>
        <v>6.7573407615223353E-3</v>
      </c>
      <c r="W96" s="3"/>
      <c r="X96" s="8">
        <f t="shared" si="18"/>
        <v>4749.5</v>
      </c>
      <c r="Y96" s="3"/>
      <c r="Z96" s="7">
        <f t="shared" si="19"/>
        <v>0.36831905526685782</v>
      </c>
    </row>
    <row r="97" spans="1:26" s="69" customFormat="1" ht="15" hidden="1" customHeight="1" outlineLevel="2" x14ac:dyDescent="0.3">
      <c r="A97" s="26"/>
      <c r="B97" s="12" t="str">
        <f>CONCATENATE("          ","6156"," - ","EMPLOYEE MEALS")</f>
        <v xml:space="preserve">          6156 - EMPLOYEE MEALS</v>
      </c>
      <c r="C97" s="12"/>
      <c r="D97" s="8">
        <v>795.97</v>
      </c>
      <c r="E97" s="3"/>
      <c r="F97" s="7">
        <f t="shared" si="12"/>
        <v>1.0047496152900987E-3</v>
      </c>
      <c r="G97" s="3"/>
      <c r="H97" s="8">
        <v>602.55999999999995</v>
      </c>
      <c r="I97" s="3"/>
      <c r="J97" s="7">
        <f t="shared" si="13"/>
        <v>1.472846242854932E-3</v>
      </c>
      <c r="K97" s="3"/>
      <c r="L97" s="8">
        <f t="shared" si="14"/>
        <v>193.41000000000008</v>
      </c>
      <c r="M97" s="3"/>
      <c r="N97" s="7">
        <f t="shared" si="15"/>
        <v>0.32098048327137563</v>
      </c>
      <c r="O97" s="12"/>
      <c r="P97" s="8">
        <v>8214.48</v>
      </c>
      <c r="Q97" s="3"/>
      <c r="R97" s="7">
        <f t="shared" si="16"/>
        <v>1.9262736086867861E-3</v>
      </c>
      <c r="S97" s="3"/>
      <c r="T97" s="8">
        <v>4673.09</v>
      </c>
      <c r="U97" s="3"/>
      <c r="V97" s="7">
        <f t="shared" si="17"/>
        <v>2.4488166050484731E-3</v>
      </c>
      <c r="W97" s="3"/>
      <c r="X97" s="8">
        <f t="shared" si="18"/>
        <v>3541.3899999999994</v>
      </c>
      <c r="Y97" s="3"/>
      <c r="Z97" s="7">
        <f t="shared" si="19"/>
        <v>0.75782619209131419</v>
      </c>
    </row>
    <row r="98" spans="1:26" s="68" customFormat="1" ht="15" customHeight="1" outlineLevel="1" collapsed="1" x14ac:dyDescent="0.3">
      <c r="A98" s="25"/>
      <c r="B98" s="14" t="str">
        <f>CONCATENATE("     ","*Payroll                                          ")</f>
        <v xml:space="preserve">     *Payroll                                          </v>
      </c>
      <c r="C98" s="14"/>
      <c r="D98" s="2">
        <f>SUM(OSRRefD22_1x_0)</f>
        <v>93064.69</v>
      </c>
      <c r="E98" s="2"/>
      <c r="F98" s="6">
        <f t="shared" si="12"/>
        <v>0.11747517051470821</v>
      </c>
      <c r="G98" s="2"/>
      <c r="H98" s="2">
        <f>SUM(OSRRefH22_1x_0)</f>
        <v>43955.270000000004</v>
      </c>
      <c r="I98" s="2"/>
      <c r="J98" s="6">
        <f t="shared" si="13"/>
        <v>0.10744051094193793</v>
      </c>
      <c r="K98" s="2"/>
      <c r="L98" s="2">
        <f t="shared" si="14"/>
        <v>49109.42</v>
      </c>
      <c r="M98" s="2"/>
      <c r="N98" s="6">
        <f t="shared" si="15"/>
        <v>1.1172589771374397</v>
      </c>
      <c r="O98" s="14"/>
      <c r="P98" s="2">
        <f>SUM(OSRRefP22_1x_0)</f>
        <v>714768.06</v>
      </c>
      <c r="Q98" s="2"/>
      <c r="R98" s="6">
        <f t="shared" si="16"/>
        <v>0.1676112000163435</v>
      </c>
      <c r="S98" s="2"/>
      <c r="T98" s="2">
        <f>SUM(OSRRefT22_1x_0)</f>
        <v>397092.13</v>
      </c>
      <c r="U98" s="2"/>
      <c r="V98" s="6">
        <f t="shared" si="17"/>
        <v>0.20808625592018704</v>
      </c>
      <c r="W98" s="2"/>
      <c r="X98" s="2">
        <f t="shared" si="18"/>
        <v>317675.93000000005</v>
      </c>
      <c r="Y98" s="2"/>
      <c r="Z98" s="6">
        <f t="shared" si="19"/>
        <v>0.80000560575199531</v>
      </c>
    </row>
    <row r="99" spans="1:26" s="69" customFormat="1" ht="15" hidden="1" customHeight="1" outlineLevel="2" x14ac:dyDescent="0.3">
      <c r="A99" s="26"/>
      <c r="B99" s="12" t="str">
        <f>CONCATENATE("          ","6002"," - ","STAFF SALARIES")</f>
        <v xml:space="preserve">          6002 - STAFF SALARIES</v>
      </c>
      <c r="C99" s="12"/>
      <c r="D99" s="8">
        <v>14236.38</v>
      </c>
      <c r="E99" s="3"/>
      <c r="F99" s="7">
        <f t="shared" si="12"/>
        <v>1.7970523170626598E-2</v>
      </c>
      <c r="G99" s="3"/>
      <c r="H99" s="8">
        <v>22106.6</v>
      </c>
      <c r="I99" s="3"/>
      <c r="J99" s="7">
        <f t="shared" si="13"/>
        <v>5.4035486511379516E-2</v>
      </c>
      <c r="K99" s="3"/>
      <c r="L99" s="8">
        <f t="shared" si="14"/>
        <v>-7870.2199999999993</v>
      </c>
      <c r="M99" s="3"/>
      <c r="N99" s="7">
        <f t="shared" si="15"/>
        <v>-0.3560122316412293</v>
      </c>
      <c r="O99" s="12"/>
      <c r="P99" s="8">
        <v>157889.51999999999</v>
      </c>
      <c r="Q99" s="3"/>
      <c r="R99" s="7">
        <f t="shared" si="16"/>
        <v>3.7024670516481201E-2</v>
      </c>
      <c r="S99" s="3"/>
      <c r="T99" s="8">
        <v>187130.61</v>
      </c>
      <c r="U99" s="3"/>
      <c r="V99" s="7">
        <f t="shared" si="17"/>
        <v>9.8061142644556343E-2</v>
      </c>
      <c r="W99" s="3"/>
      <c r="X99" s="8">
        <f t="shared" si="18"/>
        <v>-29241.089999999997</v>
      </c>
      <c r="Y99" s="3"/>
      <c r="Z99" s="7">
        <f t="shared" si="19"/>
        <v>-0.15626032534174927</v>
      </c>
    </row>
    <row r="100" spans="1:26" s="69" customFormat="1" ht="15" hidden="1" customHeight="1" outlineLevel="2" x14ac:dyDescent="0.3">
      <c r="A100" s="26"/>
      <c r="B100" s="12" t="str">
        <f>CONCATENATE("          ","6004"," - ","STAFF HOURLY")</f>
        <v xml:space="preserve">          6004 - STAFF HOURLY</v>
      </c>
      <c r="C100" s="12"/>
      <c r="D100" s="8">
        <v>20817.57</v>
      </c>
      <c r="E100" s="3"/>
      <c r="F100" s="7">
        <f t="shared" si="12"/>
        <v>2.6277931892878751E-2</v>
      </c>
      <c r="G100" s="3"/>
      <c r="H100" s="8">
        <v>5641.76</v>
      </c>
      <c r="I100" s="3"/>
      <c r="J100" s="7">
        <f t="shared" si="13"/>
        <v>1.3790236688610664E-2</v>
      </c>
      <c r="K100" s="3"/>
      <c r="L100" s="8">
        <f t="shared" si="14"/>
        <v>15175.81</v>
      </c>
      <c r="M100" s="3"/>
      <c r="N100" s="7">
        <f t="shared" si="15"/>
        <v>2.6899070502821814</v>
      </c>
      <c r="O100" s="12"/>
      <c r="P100" s="8">
        <v>105166.38</v>
      </c>
      <c r="Q100" s="3"/>
      <c r="R100" s="7">
        <f t="shared" si="16"/>
        <v>2.466123507697698E-2</v>
      </c>
      <c r="S100" s="3"/>
      <c r="T100" s="8">
        <v>58047.75</v>
      </c>
      <c r="U100" s="3"/>
      <c r="V100" s="7">
        <f t="shared" si="17"/>
        <v>3.0418479867860986E-2</v>
      </c>
      <c r="W100" s="3"/>
      <c r="X100" s="8">
        <f t="shared" si="18"/>
        <v>47118.630000000005</v>
      </c>
      <c r="Y100" s="3"/>
      <c r="Z100" s="7">
        <f t="shared" si="19"/>
        <v>0.81172190136568612</v>
      </c>
    </row>
    <row r="101" spans="1:26" s="69" customFormat="1" ht="15" hidden="1" customHeight="1" outlineLevel="2" x14ac:dyDescent="0.3">
      <c r="A101" s="26"/>
      <c r="B101" s="12" t="str">
        <f>CONCATENATE("          ","6005"," - ","TEMPORARY WAGES-HOURLY")</f>
        <v xml:space="preserve">          6005 - TEMPORARY WAGES-HOURLY</v>
      </c>
      <c r="C101" s="12"/>
      <c r="D101" s="8">
        <v>3478.64</v>
      </c>
      <c r="E101" s="3"/>
      <c r="F101" s="7">
        <f t="shared" si="12"/>
        <v>4.3910727813017431E-3</v>
      </c>
      <c r="G101" s="3"/>
      <c r="H101" s="8">
        <v>7541.21</v>
      </c>
      <c r="I101" s="3"/>
      <c r="J101" s="7">
        <f t="shared" si="13"/>
        <v>1.8433090173725509E-2</v>
      </c>
      <c r="K101" s="3"/>
      <c r="L101" s="8">
        <f t="shared" si="14"/>
        <v>-4062.57</v>
      </c>
      <c r="M101" s="3"/>
      <c r="N101" s="7">
        <f t="shared" si="15"/>
        <v>-0.53871593550637098</v>
      </c>
      <c r="O101" s="12"/>
      <c r="P101" s="8">
        <v>36130.53</v>
      </c>
      <c r="Q101" s="3"/>
      <c r="R101" s="7">
        <f t="shared" si="16"/>
        <v>8.4725127344477298E-3</v>
      </c>
      <c r="S101" s="3"/>
      <c r="T101" s="8">
        <v>64761.26</v>
      </c>
      <c r="U101" s="3"/>
      <c r="V101" s="7">
        <f t="shared" si="17"/>
        <v>3.3936527833159959E-2</v>
      </c>
      <c r="W101" s="3"/>
      <c r="X101" s="8">
        <f t="shared" si="18"/>
        <v>-28630.730000000003</v>
      </c>
      <c r="Y101" s="3"/>
      <c r="Z101" s="7">
        <f t="shared" si="19"/>
        <v>-0.44209655587306368</v>
      </c>
    </row>
    <row r="102" spans="1:26" s="69" customFormat="1" ht="15" hidden="1" customHeight="1" outlineLevel="2" x14ac:dyDescent="0.3">
      <c r="A102" s="26"/>
      <c r="B102" s="12" t="str">
        <f>CONCATENATE("          ","6006"," - ","TEMPORARY PART TIME")</f>
        <v xml:space="preserve">          6006 - TEMPORARY PART TIME</v>
      </c>
      <c r="C102" s="12"/>
      <c r="D102" s="8"/>
      <c r="E102" s="3"/>
      <c r="F102" s="7">
        <f t="shared" si="12"/>
        <v>0</v>
      </c>
      <c r="G102" s="3"/>
      <c r="H102" s="8">
        <v>2207.4699999999998</v>
      </c>
      <c r="I102" s="3"/>
      <c r="J102" s="7">
        <f t="shared" si="13"/>
        <v>5.3957512873655349E-3</v>
      </c>
      <c r="K102" s="3"/>
      <c r="L102" s="8">
        <f t="shared" si="14"/>
        <v>-2207.4699999999998</v>
      </c>
      <c r="M102" s="3"/>
      <c r="N102" s="7">
        <f t="shared" si="15"/>
        <v>-1</v>
      </c>
      <c r="O102" s="12"/>
      <c r="P102" s="8"/>
      <c r="Q102" s="3"/>
      <c r="R102" s="7">
        <f t="shared" si="16"/>
        <v>0</v>
      </c>
      <c r="S102" s="3"/>
      <c r="T102" s="8">
        <v>4978.08</v>
      </c>
      <c r="U102" s="3"/>
      <c r="V102" s="7">
        <f t="shared" si="17"/>
        <v>2.6086390301191934E-3</v>
      </c>
      <c r="W102" s="3"/>
      <c r="X102" s="8">
        <f t="shared" si="18"/>
        <v>-4978.08</v>
      </c>
      <c r="Y102" s="3"/>
      <c r="Z102" s="7">
        <f t="shared" si="19"/>
        <v>-1</v>
      </c>
    </row>
    <row r="103" spans="1:26" s="69" customFormat="1" ht="15" hidden="1" customHeight="1" outlineLevel="2" x14ac:dyDescent="0.3">
      <c r="A103" s="26"/>
      <c r="B103" s="12" t="str">
        <f>CONCATENATE("          ","6007"," - ","STUDENT HOURLY")</f>
        <v xml:space="preserve">          6007 - STUDENT HOURLY</v>
      </c>
      <c r="C103" s="12"/>
      <c r="D103" s="8">
        <v>38513.11</v>
      </c>
      <c r="E103" s="3"/>
      <c r="F103" s="7">
        <f t="shared" si="12"/>
        <v>4.8614938321953405E-2</v>
      </c>
      <c r="G103" s="3"/>
      <c r="H103" s="8">
        <v>4867.8999999999996</v>
      </c>
      <c r="I103" s="3"/>
      <c r="J103" s="7">
        <f t="shared" si="13"/>
        <v>1.1898679344120956E-2</v>
      </c>
      <c r="K103" s="3"/>
      <c r="L103" s="8">
        <f t="shared" si="14"/>
        <v>33645.21</v>
      </c>
      <c r="M103" s="3"/>
      <c r="N103" s="7">
        <f t="shared" si="15"/>
        <v>6.9116477331087331</v>
      </c>
      <c r="O103" s="12"/>
      <c r="P103" s="8">
        <v>329724.38</v>
      </c>
      <c r="Q103" s="3"/>
      <c r="R103" s="7">
        <f t="shared" si="16"/>
        <v>7.7319485997240631E-2</v>
      </c>
      <c r="S103" s="3"/>
      <c r="T103" s="8">
        <v>73139.740000000005</v>
      </c>
      <c r="U103" s="3"/>
      <c r="V103" s="7">
        <f t="shared" si="17"/>
        <v>3.832706192282366E-2</v>
      </c>
      <c r="W103" s="3"/>
      <c r="X103" s="8">
        <f t="shared" si="18"/>
        <v>256584.64</v>
      </c>
      <c r="Y103" s="3"/>
      <c r="Z103" s="7">
        <f t="shared" si="19"/>
        <v>3.5081426321723321</v>
      </c>
    </row>
    <row r="104" spans="1:26" s="69" customFormat="1" ht="15" hidden="1" customHeight="1" outlineLevel="2" x14ac:dyDescent="0.3">
      <c r="A104" s="26"/>
      <c r="B104" s="12" t="str">
        <f>CONCATENATE("          ","6008"," - ","STUDENT HOURLY-FICA EXEMPT")</f>
        <v xml:space="preserve">          6008 - STUDENT HOURLY-FICA EXEMPT</v>
      </c>
      <c r="C104" s="12"/>
      <c r="D104" s="8">
        <v>16018.99</v>
      </c>
      <c r="E104" s="3"/>
      <c r="F104" s="7">
        <f t="shared" si="12"/>
        <v>2.0220704347947708E-2</v>
      </c>
      <c r="G104" s="3"/>
      <c r="H104" s="8">
        <v>1590.33</v>
      </c>
      <c r="I104" s="3"/>
      <c r="J104" s="7">
        <f t="shared" si="13"/>
        <v>3.8872669367357345E-3</v>
      </c>
      <c r="K104" s="3"/>
      <c r="L104" s="8">
        <f t="shared" si="14"/>
        <v>14428.66</v>
      </c>
      <c r="M104" s="3"/>
      <c r="N104" s="7">
        <f t="shared" si="15"/>
        <v>9.0727459080819699</v>
      </c>
      <c r="O104" s="12"/>
      <c r="P104" s="8">
        <v>85857.25</v>
      </c>
      <c r="Q104" s="3"/>
      <c r="R104" s="7">
        <f t="shared" si="16"/>
        <v>2.0133295691196956E-2</v>
      </c>
      <c r="S104" s="3"/>
      <c r="T104" s="8">
        <v>9034.69</v>
      </c>
      <c r="U104" s="3"/>
      <c r="V104" s="7">
        <f t="shared" si="17"/>
        <v>4.7344046216669031E-3</v>
      </c>
      <c r="W104" s="3"/>
      <c r="X104" s="8">
        <f t="shared" si="18"/>
        <v>76822.559999999998</v>
      </c>
      <c r="Y104" s="3"/>
      <c r="Z104" s="7">
        <f t="shared" si="19"/>
        <v>8.5030654067820794</v>
      </c>
    </row>
    <row r="105" spans="1:26" s="68" customFormat="1" ht="15" customHeight="1" outlineLevel="1" collapsed="1" x14ac:dyDescent="0.3">
      <c r="A105" s="25"/>
      <c r="B105" s="14" t="str">
        <f>CONCATENATE("     ","Advertising/Promo                                 ")</f>
        <v xml:space="preserve">     Advertising/Promo                                 </v>
      </c>
      <c r="C105" s="14"/>
      <c r="D105" s="2">
        <f>SUM(OSRRefD22_2x_0)</f>
        <v>2512.85</v>
      </c>
      <c r="E105" s="2"/>
      <c r="F105" s="6">
        <f t="shared" si="12"/>
        <v>3.1719600874175208E-3</v>
      </c>
      <c r="G105" s="2"/>
      <c r="H105" s="2">
        <f>SUM(OSRRefH22_2x_0)</f>
        <v>1011.62</v>
      </c>
      <c r="I105" s="2"/>
      <c r="J105" s="6">
        <f t="shared" si="13"/>
        <v>2.4727175985742606E-3</v>
      </c>
      <c r="K105" s="2"/>
      <c r="L105" s="2">
        <f t="shared" si="14"/>
        <v>1501.23</v>
      </c>
      <c r="M105" s="2"/>
      <c r="N105" s="6">
        <f t="shared" si="15"/>
        <v>1.4839860817302939</v>
      </c>
      <c r="O105" s="14"/>
      <c r="P105" s="2">
        <f>SUM(OSRRefP22_2x_0)</f>
        <v>10889.21</v>
      </c>
      <c r="Q105" s="2"/>
      <c r="R105" s="6">
        <f t="shared" si="16"/>
        <v>2.5534906460845039E-3</v>
      </c>
      <c r="S105" s="2"/>
      <c r="T105" s="2">
        <f>SUM(OSRRefT22_2x_0)</f>
        <v>14978.46</v>
      </c>
      <c r="U105" s="2"/>
      <c r="V105" s="6">
        <f t="shared" si="17"/>
        <v>7.8490894817036146E-3</v>
      </c>
      <c r="W105" s="2"/>
      <c r="X105" s="2">
        <f t="shared" si="18"/>
        <v>-4089.25</v>
      </c>
      <c r="Y105" s="2"/>
      <c r="Z105" s="6">
        <f t="shared" si="19"/>
        <v>-0.27300870717016301</v>
      </c>
    </row>
    <row r="106" spans="1:26" s="69" customFormat="1" ht="15" hidden="1" customHeight="1" outlineLevel="2" x14ac:dyDescent="0.3">
      <c r="A106" s="26"/>
      <c r="B106" s="12" t="str">
        <f>CONCATENATE("          ","6362"," - ","ADVERTISING EXPENSE")</f>
        <v xml:space="preserve">          6362 - ADVERTISING EXPENSE</v>
      </c>
      <c r="C106" s="12"/>
      <c r="D106" s="8">
        <v>2512.85</v>
      </c>
      <c r="E106" s="3"/>
      <c r="F106" s="7">
        <f t="shared" si="12"/>
        <v>3.1719600874175208E-3</v>
      </c>
      <c r="G106" s="3"/>
      <c r="H106" s="8">
        <v>1011.62</v>
      </c>
      <c r="I106" s="3"/>
      <c r="J106" s="7">
        <f t="shared" si="13"/>
        <v>2.4727175985742606E-3</v>
      </c>
      <c r="K106" s="3"/>
      <c r="L106" s="8">
        <f t="shared" si="14"/>
        <v>1501.23</v>
      </c>
      <c r="M106" s="3"/>
      <c r="N106" s="7">
        <f t="shared" si="15"/>
        <v>1.4839860817302939</v>
      </c>
      <c r="O106" s="12"/>
      <c r="P106" s="8">
        <v>10889.21</v>
      </c>
      <c r="Q106" s="3"/>
      <c r="R106" s="7">
        <f t="shared" si="16"/>
        <v>2.5534906460845039E-3</v>
      </c>
      <c r="S106" s="3"/>
      <c r="T106" s="8">
        <v>14978.46</v>
      </c>
      <c r="U106" s="3"/>
      <c r="V106" s="7">
        <f t="shared" si="17"/>
        <v>7.8490894817036146E-3</v>
      </c>
      <c r="W106" s="3"/>
      <c r="X106" s="8">
        <f t="shared" si="18"/>
        <v>-4089.25</v>
      </c>
      <c r="Y106" s="3"/>
      <c r="Z106" s="7">
        <f t="shared" si="19"/>
        <v>-0.27300870717016301</v>
      </c>
    </row>
    <row r="107" spans="1:26" s="68" customFormat="1" ht="15" customHeight="1" outlineLevel="1" collapsed="1" x14ac:dyDescent="0.3">
      <c r="A107" s="25"/>
      <c r="B107" s="14" t="str">
        <f>CONCATENATE("     ","Bad Debts/Over/Short                              ")</f>
        <v xml:space="preserve">     Bad Debts/Over/Short                              </v>
      </c>
      <c r="C107" s="14"/>
      <c r="D107" s="2">
        <f>SUM(OSRRefD22_3x_0)</f>
        <v>0.87</v>
      </c>
      <c r="E107" s="2"/>
      <c r="F107" s="6">
        <f t="shared" si="12"/>
        <v>1.0981973759091245E-6</v>
      </c>
      <c r="G107" s="2"/>
      <c r="H107" s="2">
        <f>SUM(OSRRefH22_3x_0)</f>
        <v>0.26</v>
      </c>
      <c r="I107" s="2"/>
      <c r="J107" s="6">
        <f t="shared" si="13"/>
        <v>6.3552181217187063E-7</v>
      </c>
      <c r="K107" s="2"/>
      <c r="L107" s="2">
        <f t="shared" si="14"/>
        <v>0.61</v>
      </c>
      <c r="M107" s="2"/>
      <c r="N107" s="6">
        <f t="shared" si="15"/>
        <v>2.3461538461538458</v>
      </c>
      <c r="O107" s="14"/>
      <c r="P107" s="2">
        <f>SUM(OSRRefP22_3x_0)</f>
        <v>-56.92</v>
      </c>
      <c r="Q107" s="2"/>
      <c r="R107" s="6">
        <f t="shared" si="16"/>
        <v>-1.3347587894358726E-5</v>
      </c>
      <c r="S107" s="2"/>
      <c r="T107" s="2">
        <f>SUM(OSRRefT22_3x_0)</f>
        <v>-22</v>
      </c>
      <c r="U107" s="2"/>
      <c r="V107" s="6">
        <f t="shared" si="17"/>
        <v>-1.1528552908475207E-5</v>
      </c>
      <c r="W107" s="2"/>
      <c r="X107" s="2">
        <f t="shared" si="18"/>
        <v>-34.92</v>
      </c>
      <c r="Y107" s="2"/>
      <c r="Z107" s="6">
        <f t="shared" si="19"/>
        <v>1.5872727272727274</v>
      </c>
    </row>
    <row r="108" spans="1:26" s="69" customFormat="1" ht="15" hidden="1" customHeight="1" outlineLevel="2" x14ac:dyDescent="0.3">
      <c r="A108" s="26"/>
      <c r="B108" s="12" t="str">
        <f>CONCATENATE("          ","6272"," - ","CASH (OVER/SHORT)")</f>
        <v xml:space="preserve">          6272 - CASH (OVER/SHORT)</v>
      </c>
      <c r="C108" s="12"/>
      <c r="D108" s="8">
        <v>0.87</v>
      </c>
      <c r="E108" s="3"/>
      <c r="F108" s="7">
        <f t="shared" si="12"/>
        <v>1.0981973759091245E-6</v>
      </c>
      <c r="G108" s="3"/>
      <c r="H108" s="8">
        <v>0.26</v>
      </c>
      <c r="I108" s="3"/>
      <c r="J108" s="7">
        <f t="shared" si="13"/>
        <v>6.3552181217187063E-7</v>
      </c>
      <c r="K108" s="3"/>
      <c r="L108" s="8">
        <f t="shared" si="14"/>
        <v>0.61</v>
      </c>
      <c r="M108" s="3"/>
      <c r="N108" s="7">
        <f t="shared" si="15"/>
        <v>2.3461538461538458</v>
      </c>
      <c r="O108" s="12"/>
      <c r="P108" s="8">
        <v>-56.92</v>
      </c>
      <c r="Q108" s="3"/>
      <c r="R108" s="7">
        <f t="shared" si="16"/>
        <v>-1.3347587894358726E-5</v>
      </c>
      <c r="S108" s="3"/>
      <c r="T108" s="8">
        <v>-22</v>
      </c>
      <c r="U108" s="3"/>
      <c r="V108" s="7">
        <f t="shared" si="17"/>
        <v>-1.1528552908475207E-5</v>
      </c>
      <c r="W108" s="3"/>
      <c r="X108" s="8">
        <f t="shared" si="18"/>
        <v>-34.92</v>
      </c>
      <c r="Y108" s="3"/>
      <c r="Z108" s="7">
        <f t="shared" si="19"/>
        <v>1.5872727272727274</v>
      </c>
    </row>
    <row r="109" spans="1:26" s="68" customFormat="1" ht="15" customHeight="1" outlineLevel="1" collapsed="1" x14ac:dyDescent="0.3">
      <c r="A109" s="25"/>
      <c r="B109" s="14" t="str">
        <f>CONCATENATE("     ","Bank/card Fees                                    ")</f>
        <v xml:space="preserve">     Bank/card Fees                                    </v>
      </c>
      <c r="C109" s="14"/>
      <c r="D109" s="2">
        <f>SUM(OSRRefD22_4x_0)</f>
        <v>570.77</v>
      </c>
      <c r="E109" s="2"/>
      <c r="F109" s="6">
        <f t="shared" si="12"/>
        <v>7.2048059338810451E-4</v>
      </c>
      <c r="G109" s="2"/>
      <c r="H109" s="2">
        <f>SUM(OSRRefH22_4x_0)</f>
        <v>494.45</v>
      </c>
      <c r="I109" s="2"/>
      <c r="J109" s="6">
        <f t="shared" si="13"/>
        <v>1.2085913847245439E-3</v>
      </c>
      <c r="K109" s="2"/>
      <c r="L109" s="2">
        <f t="shared" si="14"/>
        <v>76.319999999999993</v>
      </c>
      <c r="M109" s="2"/>
      <c r="N109" s="6">
        <f t="shared" si="15"/>
        <v>0.15435332187278794</v>
      </c>
      <c r="O109" s="14"/>
      <c r="P109" s="2">
        <f>SUM(OSRRefP22_4x_0)</f>
        <v>5345.72</v>
      </c>
      <c r="Q109" s="2"/>
      <c r="R109" s="6">
        <f t="shared" si="16"/>
        <v>1.2535570547897283E-3</v>
      </c>
      <c r="S109" s="2"/>
      <c r="T109" s="2">
        <f>SUM(OSRRefT22_4x_0)</f>
        <v>3832.35</v>
      </c>
      <c r="U109" s="2"/>
      <c r="V109" s="6">
        <f t="shared" si="17"/>
        <v>2.0082477153997706E-3</v>
      </c>
      <c r="W109" s="2"/>
      <c r="X109" s="2">
        <f t="shared" si="18"/>
        <v>1513.3700000000003</v>
      </c>
      <c r="Y109" s="2"/>
      <c r="Z109" s="6">
        <f t="shared" si="19"/>
        <v>0.39489347267342501</v>
      </c>
    </row>
    <row r="110" spans="1:26" s="69" customFormat="1" ht="15" hidden="1" customHeight="1" outlineLevel="2" x14ac:dyDescent="0.3">
      <c r="A110" s="26"/>
      <c r="B110" s="12" t="str">
        <f>CONCATENATE("          ","6381"," - ","BANK/CREDIT CARD FEES")</f>
        <v xml:space="preserve">          6381 - BANK/CREDIT CARD FEES</v>
      </c>
      <c r="C110" s="12"/>
      <c r="D110" s="8">
        <v>570.77</v>
      </c>
      <c r="E110" s="3"/>
      <c r="F110" s="7">
        <f t="shared" si="12"/>
        <v>7.2048059338810451E-4</v>
      </c>
      <c r="G110" s="3"/>
      <c r="H110" s="8">
        <v>494.45</v>
      </c>
      <c r="I110" s="3"/>
      <c r="J110" s="7">
        <f t="shared" si="13"/>
        <v>1.2085913847245439E-3</v>
      </c>
      <c r="K110" s="3"/>
      <c r="L110" s="8">
        <f t="shared" si="14"/>
        <v>76.319999999999993</v>
      </c>
      <c r="M110" s="3"/>
      <c r="N110" s="7">
        <f t="shared" si="15"/>
        <v>0.15435332187278794</v>
      </c>
      <c r="O110" s="12"/>
      <c r="P110" s="8">
        <v>5345.72</v>
      </c>
      <c r="Q110" s="3"/>
      <c r="R110" s="7">
        <f t="shared" si="16"/>
        <v>1.2535570547897283E-3</v>
      </c>
      <c r="S110" s="3"/>
      <c r="T110" s="8">
        <v>3832.35</v>
      </c>
      <c r="U110" s="3"/>
      <c r="V110" s="7">
        <f t="shared" si="17"/>
        <v>2.0082477153997706E-3</v>
      </c>
      <c r="W110" s="3"/>
      <c r="X110" s="8">
        <f t="shared" si="18"/>
        <v>1513.3700000000003</v>
      </c>
      <c r="Y110" s="3"/>
      <c r="Z110" s="7">
        <f t="shared" si="19"/>
        <v>0.39489347267342501</v>
      </c>
    </row>
    <row r="111" spans="1:26" s="68" customFormat="1" ht="15" customHeight="1" outlineLevel="1" collapsed="1" x14ac:dyDescent="0.3">
      <c r="A111" s="25"/>
      <c r="B111" s="14" t="str">
        <f>CONCATENATE("     ","Discounts and Markdowns                           ")</f>
        <v xml:space="preserve">     Discounts and Markdowns                           </v>
      </c>
      <c r="C111" s="14"/>
      <c r="D111" s="2">
        <f>SUM(OSRRefD22_5x_0)</f>
        <v>-20.86</v>
      </c>
      <c r="E111" s="2"/>
      <c r="F111" s="6">
        <f t="shared" si="12"/>
        <v>-2.6331491105131421E-5</v>
      </c>
      <c r="G111" s="2"/>
      <c r="H111" s="2">
        <f>SUM(OSRRefH22_5x_0)</f>
        <v>0</v>
      </c>
      <c r="I111" s="2"/>
      <c r="J111" s="6">
        <f t="shared" si="13"/>
        <v>0</v>
      </c>
      <c r="K111" s="2"/>
      <c r="L111" s="2">
        <f t="shared" si="14"/>
        <v>-20.86</v>
      </c>
      <c r="M111" s="2"/>
      <c r="N111" s="6">
        <f t="shared" si="15"/>
        <v>0</v>
      </c>
      <c r="O111" s="14"/>
      <c r="P111" s="2">
        <f>SUM(OSRRefP22_5x_0)</f>
        <v>-21.53</v>
      </c>
      <c r="Q111" s="2"/>
      <c r="R111" s="6">
        <f t="shared" si="16"/>
        <v>-5.0487274660144656E-6</v>
      </c>
      <c r="S111" s="2"/>
      <c r="T111" s="2">
        <f>SUM(OSRRefT22_5x_0)</f>
        <v>0</v>
      </c>
      <c r="U111" s="2"/>
      <c r="V111" s="6">
        <f t="shared" si="17"/>
        <v>0</v>
      </c>
      <c r="W111" s="2"/>
      <c r="X111" s="2">
        <f t="shared" si="18"/>
        <v>-21.53</v>
      </c>
      <c r="Y111" s="2"/>
      <c r="Z111" s="6">
        <f t="shared" si="19"/>
        <v>0</v>
      </c>
    </row>
    <row r="112" spans="1:26" s="69" customFormat="1" ht="15" hidden="1" customHeight="1" outlineLevel="2" x14ac:dyDescent="0.3">
      <c r="A112" s="26"/>
      <c r="B112" s="12" t="str">
        <f>CONCATENATE("          ","6382"," - ","DISCOUNTS/MARK DOWNS")</f>
        <v xml:space="preserve">          6382 - DISCOUNTS/MARK DOWNS</v>
      </c>
      <c r="C112" s="12"/>
      <c r="D112" s="8"/>
      <c r="E112" s="3"/>
      <c r="F112" s="7">
        <f t="shared" si="12"/>
        <v>0</v>
      </c>
      <c r="G112" s="3"/>
      <c r="H112" s="8">
        <v>0</v>
      </c>
      <c r="I112" s="3"/>
      <c r="J112" s="7">
        <f t="shared" si="13"/>
        <v>0</v>
      </c>
      <c r="K112" s="3"/>
      <c r="L112" s="8">
        <f t="shared" si="14"/>
        <v>0</v>
      </c>
      <c r="M112" s="3"/>
      <c r="N112" s="7">
        <f t="shared" si="15"/>
        <v>0</v>
      </c>
      <c r="O112" s="12"/>
      <c r="P112" s="8"/>
      <c r="Q112" s="3"/>
      <c r="R112" s="7">
        <f t="shared" si="16"/>
        <v>0</v>
      </c>
      <c r="S112" s="3"/>
      <c r="T112" s="8">
        <v>0</v>
      </c>
      <c r="U112" s="3"/>
      <c r="V112" s="7">
        <f t="shared" si="17"/>
        <v>0</v>
      </c>
      <c r="W112" s="3"/>
      <c r="X112" s="8">
        <f t="shared" si="18"/>
        <v>0</v>
      </c>
      <c r="Y112" s="3"/>
      <c r="Z112" s="7">
        <f t="shared" si="19"/>
        <v>0</v>
      </c>
    </row>
    <row r="113" spans="1:26" s="69" customFormat="1" ht="15" hidden="1" customHeight="1" outlineLevel="2" x14ac:dyDescent="0.3">
      <c r="A113" s="26"/>
      <c r="B113" s="12" t="str">
        <f>CONCATENATE("          ","9175"," - ","EARNED DISCOUNTS")</f>
        <v xml:space="preserve">          9175 - EARNED DISCOUNTS</v>
      </c>
      <c r="C113" s="12"/>
      <c r="D113" s="8">
        <v>-20.86</v>
      </c>
      <c r="E113" s="3"/>
      <c r="F113" s="7">
        <f t="shared" si="12"/>
        <v>-2.6331491105131421E-5</v>
      </c>
      <c r="G113" s="3"/>
      <c r="H113" s="8">
        <v>0</v>
      </c>
      <c r="I113" s="3"/>
      <c r="J113" s="7">
        <f t="shared" si="13"/>
        <v>0</v>
      </c>
      <c r="K113" s="3"/>
      <c r="L113" s="8">
        <f t="shared" si="14"/>
        <v>-20.86</v>
      </c>
      <c r="M113" s="3"/>
      <c r="N113" s="7">
        <f t="shared" si="15"/>
        <v>0</v>
      </c>
      <c r="O113" s="12"/>
      <c r="P113" s="8">
        <v>-21.53</v>
      </c>
      <c r="Q113" s="3"/>
      <c r="R113" s="7">
        <f t="shared" si="16"/>
        <v>-5.0487274660144656E-6</v>
      </c>
      <c r="S113" s="3"/>
      <c r="T113" s="8">
        <v>0</v>
      </c>
      <c r="U113" s="3"/>
      <c r="V113" s="7">
        <f t="shared" si="17"/>
        <v>0</v>
      </c>
      <c r="W113" s="3"/>
      <c r="X113" s="8">
        <f t="shared" si="18"/>
        <v>-21.53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5"/>
      <c r="B114" s="14" t="str">
        <f>CONCATENATE("     ","Employees' Appreciation                           ")</f>
        <v xml:space="preserve">     Employees' Appreciation                           </v>
      </c>
      <c r="C114" s="14"/>
      <c r="D114" s="2">
        <f>SUM(OSRRefD22_6x_0)</f>
        <v>0</v>
      </c>
      <c r="E114" s="2"/>
      <c r="F114" s="6">
        <f t="shared" si="12"/>
        <v>0</v>
      </c>
      <c r="G114" s="2"/>
      <c r="H114" s="2">
        <f>SUM(OSRRefH22_6x_0)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SUM(OSRRefP22_6x_0)</f>
        <v>291.13</v>
      </c>
      <c r="Q114" s="2"/>
      <c r="R114" s="6">
        <f t="shared" si="16"/>
        <v>6.8269207021866751E-5</v>
      </c>
      <c r="S114" s="2"/>
      <c r="T114" s="2">
        <f>SUM(OSRRefT22_6x_0)</f>
        <v>0</v>
      </c>
      <c r="U114" s="2"/>
      <c r="V114" s="6">
        <f t="shared" si="17"/>
        <v>0</v>
      </c>
      <c r="W114" s="2"/>
      <c r="X114" s="2">
        <f t="shared" si="18"/>
        <v>291.13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","6277"," - ","EMPLOYEE APPRECIATION")</f>
        <v xml:space="preserve">          6277 - EMPLOYEE APPRECIATION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291.13</v>
      </c>
      <c r="Q115" s="3"/>
      <c r="R115" s="7">
        <f t="shared" si="16"/>
        <v>6.8269207021866751E-5</v>
      </c>
      <c r="S115" s="3"/>
      <c r="T115" s="8"/>
      <c r="U115" s="3"/>
      <c r="V115" s="7">
        <f t="shared" si="17"/>
        <v>0</v>
      </c>
      <c r="W115" s="3"/>
      <c r="X115" s="8">
        <f t="shared" si="18"/>
        <v>291.13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","Equipment Rental                                  ")</f>
        <v xml:space="preserve">     Equipment Rental                                  </v>
      </c>
      <c r="C116" s="14"/>
      <c r="D116" s="2">
        <f>SUM(OSRRefD22_7x_0)</f>
        <v>0</v>
      </c>
      <c r="E116" s="2"/>
      <c r="F116" s="6">
        <f t="shared" si="12"/>
        <v>0</v>
      </c>
      <c r="G116" s="2"/>
      <c r="H116" s="2">
        <f>SUM(OSRRefH22_7x_0)</f>
        <v>0</v>
      </c>
      <c r="I116" s="2"/>
      <c r="J116" s="6">
        <f t="shared" si="13"/>
        <v>0</v>
      </c>
      <c r="K116" s="2"/>
      <c r="L116" s="2">
        <f t="shared" si="14"/>
        <v>0</v>
      </c>
      <c r="M116" s="2"/>
      <c r="N116" s="6">
        <f t="shared" si="15"/>
        <v>0</v>
      </c>
      <c r="O116" s="14"/>
      <c r="P116" s="2">
        <f>SUM(OSRRefP22_7x_0)</f>
        <v>118.91</v>
      </c>
      <c r="Q116" s="2"/>
      <c r="R116" s="6">
        <f t="shared" si="16"/>
        <v>2.7884077240305622E-5</v>
      </c>
      <c r="S116" s="2"/>
      <c r="T116" s="2">
        <f>SUM(OSRRefT22_7x_0)</f>
        <v>0</v>
      </c>
      <c r="U116" s="2"/>
      <c r="V116" s="6">
        <f t="shared" si="17"/>
        <v>0</v>
      </c>
      <c r="W116" s="2"/>
      <c r="X116" s="2">
        <f t="shared" si="18"/>
        <v>118.91</v>
      </c>
      <c r="Y116" s="2"/>
      <c r="Z116" s="6">
        <f t="shared" si="19"/>
        <v>0</v>
      </c>
    </row>
    <row r="117" spans="1:26" s="69" customFormat="1" ht="15" hidden="1" customHeight="1" outlineLevel="2" x14ac:dyDescent="0.3">
      <c r="A117" s="26"/>
      <c r="B117" s="12" t="str">
        <f>CONCATENATE("          ","6351"," - ","EQUIPMENT RENTAL")</f>
        <v xml:space="preserve">          6351 - EQUIPMENT RENTAL</v>
      </c>
      <c r="C117" s="12"/>
      <c r="D117" s="8"/>
      <c r="E117" s="3"/>
      <c r="F117" s="7">
        <f t="shared" si="12"/>
        <v>0</v>
      </c>
      <c r="G117" s="3"/>
      <c r="H117" s="8"/>
      <c r="I117" s="3"/>
      <c r="J117" s="7">
        <f t="shared" si="13"/>
        <v>0</v>
      </c>
      <c r="K117" s="3"/>
      <c r="L117" s="8">
        <f t="shared" si="14"/>
        <v>0</v>
      </c>
      <c r="M117" s="3"/>
      <c r="N117" s="7">
        <f t="shared" si="15"/>
        <v>0</v>
      </c>
      <c r="O117" s="12"/>
      <c r="P117" s="8">
        <v>118.91</v>
      </c>
      <c r="Q117" s="3"/>
      <c r="R117" s="7">
        <f t="shared" si="16"/>
        <v>2.7884077240305622E-5</v>
      </c>
      <c r="S117" s="3"/>
      <c r="T117" s="8"/>
      <c r="U117" s="3"/>
      <c r="V117" s="7">
        <f t="shared" si="17"/>
        <v>0</v>
      </c>
      <c r="W117" s="3"/>
      <c r="X117" s="8">
        <f t="shared" si="18"/>
        <v>118.91</v>
      </c>
      <c r="Y117" s="3"/>
      <c r="Z117" s="7">
        <f t="shared" si="19"/>
        <v>0</v>
      </c>
    </row>
    <row r="118" spans="1:26" s="68" customFormat="1" ht="15" customHeight="1" outlineLevel="1" collapsed="1" x14ac:dyDescent="0.3">
      <c r="A118" s="25"/>
      <c r="B118" s="14" t="str">
        <f>CONCATENATE("     ","Freight out/Postage                               ")</f>
        <v xml:space="preserve">     Freight out/Postage                               </v>
      </c>
      <c r="C118" s="14"/>
      <c r="D118" s="2">
        <f>SUM(OSRRefD22_8x_0)</f>
        <v>0</v>
      </c>
      <c r="E118" s="2"/>
      <c r="F118" s="6">
        <f t="shared" si="12"/>
        <v>0</v>
      </c>
      <c r="G118" s="2"/>
      <c r="H118" s="2">
        <f>SUM(OSRRefH22_8x_0)</f>
        <v>40.200000000000003</v>
      </c>
      <c r="I118" s="2"/>
      <c r="J118" s="6">
        <f t="shared" si="13"/>
        <v>9.8261449420420001E-5</v>
      </c>
      <c r="K118" s="2"/>
      <c r="L118" s="2">
        <f t="shared" si="14"/>
        <v>-40.200000000000003</v>
      </c>
      <c r="M118" s="2"/>
      <c r="N118" s="6">
        <f t="shared" si="15"/>
        <v>-1</v>
      </c>
      <c r="O118" s="14"/>
      <c r="P118" s="2">
        <f>SUM(OSRRefP22_8x_0)</f>
        <v>983.79</v>
      </c>
      <c r="Q118" s="2"/>
      <c r="R118" s="6">
        <f t="shared" si="16"/>
        <v>2.306961260469285E-4</v>
      </c>
      <c r="S118" s="2"/>
      <c r="T118" s="2">
        <f>SUM(OSRRefT22_8x_0)</f>
        <v>-175.89999999999998</v>
      </c>
      <c r="U118" s="2"/>
      <c r="V118" s="6">
        <f t="shared" si="17"/>
        <v>-9.2176020754581301E-5</v>
      </c>
      <c r="W118" s="2"/>
      <c r="X118" s="2">
        <f t="shared" si="18"/>
        <v>1159.69</v>
      </c>
      <c r="Y118" s="2"/>
      <c r="Z118" s="6">
        <f t="shared" si="19"/>
        <v>-6.5928936895963623</v>
      </c>
    </row>
    <row r="119" spans="1:26" s="69" customFormat="1" ht="15" hidden="1" customHeight="1" outlineLevel="2" x14ac:dyDescent="0.3">
      <c r="A119" s="26"/>
      <c r="B119" s="12" t="str">
        <f>CONCATENATE("          ","6305"," - ","FREIGHT OUT")</f>
        <v xml:space="preserve">          6305 - FREIGHT OUT</v>
      </c>
      <c r="C119" s="12"/>
      <c r="D119" s="8"/>
      <c r="E119" s="3"/>
      <c r="F119" s="7">
        <f t="shared" si="12"/>
        <v>0</v>
      </c>
      <c r="G119" s="3"/>
      <c r="H119" s="8">
        <v>40.200000000000003</v>
      </c>
      <c r="I119" s="3"/>
      <c r="J119" s="7">
        <f t="shared" si="13"/>
        <v>9.8261449420420001E-5</v>
      </c>
      <c r="K119" s="3"/>
      <c r="L119" s="8">
        <f t="shared" si="14"/>
        <v>-40.200000000000003</v>
      </c>
      <c r="M119" s="3"/>
      <c r="N119" s="7">
        <f t="shared" si="15"/>
        <v>-1</v>
      </c>
      <c r="O119" s="12"/>
      <c r="P119" s="8">
        <v>893.87</v>
      </c>
      <c r="Q119" s="3"/>
      <c r="R119" s="7">
        <f t="shared" si="16"/>
        <v>2.0961012633749886E-4</v>
      </c>
      <c r="S119" s="3"/>
      <c r="T119" s="8">
        <v>113.44</v>
      </c>
      <c r="U119" s="3"/>
      <c r="V119" s="7">
        <f t="shared" si="17"/>
        <v>5.9445410997155794E-5</v>
      </c>
      <c r="W119" s="3"/>
      <c r="X119" s="8">
        <f t="shared" si="18"/>
        <v>780.43000000000006</v>
      </c>
      <c r="Y119" s="3"/>
      <c r="Z119" s="7">
        <f t="shared" si="19"/>
        <v>6.8796720733427366</v>
      </c>
    </row>
    <row r="120" spans="1:26" s="69" customFormat="1" ht="15" hidden="1" customHeight="1" outlineLevel="2" x14ac:dyDescent="0.3">
      <c r="A120" s="26"/>
      <c r="B120" s="12" t="str">
        <f>CONCATENATE("          ","6307"," - ","POSTAGE")</f>
        <v xml:space="preserve">          6307 - POSTAGE</v>
      </c>
      <c r="C120" s="12"/>
      <c r="D120" s="8"/>
      <c r="E120" s="3"/>
      <c r="F120" s="7">
        <f t="shared" ref="F120:F151" si="20">IF(D$12=0,0,D120/D$12)</f>
        <v>0</v>
      </c>
      <c r="G120" s="3"/>
      <c r="H120" s="8"/>
      <c r="I120" s="3"/>
      <c r="J120" s="7">
        <f t="shared" ref="J120:J151" si="21">IF(H$12=0,0,H120/H$12)</f>
        <v>0</v>
      </c>
      <c r="K120" s="3"/>
      <c r="L120" s="8">
        <f t="shared" ref="L120:L151" si="22">+D120-H120</f>
        <v>0</v>
      </c>
      <c r="M120" s="3"/>
      <c r="N120" s="7">
        <f t="shared" ref="N120:N151" si="23">IF(H120=0,0,L120/H120)</f>
        <v>0</v>
      </c>
      <c r="O120" s="12"/>
      <c r="P120" s="8">
        <v>89.92</v>
      </c>
      <c r="Q120" s="3"/>
      <c r="R120" s="7">
        <f t="shared" ref="R120:R151" si="24">IF(P$12=0,0,P120/P$12)</f>
        <v>2.1085999709429668E-5</v>
      </c>
      <c r="S120" s="3"/>
      <c r="T120" s="8">
        <v>-289.33999999999997</v>
      </c>
      <c r="U120" s="3"/>
      <c r="V120" s="7">
        <f t="shared" ref="V120:V151" si="25">IF(T$12=0,0,T120/T$12)</f>
        <v>-1.516214317517371E-4</v>
      </c>
      <c r="W120" s="3"/>
      <c r="X120" s="8">
        <f t="shared" ref="X120:X151" si="26">+P120-T120</f>
        <v>379.26</v>
      </c>
      <c r="Y120" s="3"/>
      <c r="Z120" s="7">
        <f t="shared" ref="Z120:Z151" si="27">IF(T120=0,0,X120/T120)</f>
        <v>-1.3107762493951753</v>
      </c>
    </row>
    <row r="121" spans="1:26" s="68" customFormat="1" ht="15" customHeight="1" outlineLevel="1" collapsed="1" x14ac:dyDescent="0.3">
      <c r="A121" s="25"/>
      <c r="B121" s="14" t="str">
        <f>CONCATENATE("     ","General                                           ")</f>
        <v xml:space="preserve">     General                                           </v>
      </c>
      <c r="C121" s="14"/>
      <c r="D121" s="2">
        <f>SUM(OSRRefD22_9x_0)</f>
        <v>565.61</v>
      </c>
      <c r="E121" s="2"/>
      <c r="F121" s="6">
        <f t="shared" si="20"/>
        <v>7.1396714688271251E-4</v>
      </c>
      <c r="G121" s="2"/>
      <c r="H121" s="2">
        <f>SUM(OSRRefH22_9x_0)</f>
        <v>94.83</v>
      </c>
      <c r="I121" s="2"/>
      <c r="J121" s="6">
        <f t="shared" si="21"/>
        <v>2.317943594163788E-4</v>
      </c>
      <c r="K121" s="2"/>
      <c r="L121" s="2">
        <f t="shared" si="22"/>
        <v>470.78000000000003</v>
      </c>
      <c r="M121" s="2"/>
      <c r="N121" s="6">
        <f t="shared" si="23"/>
        <v>4.964462722767057</v>
      </c>
      <c r="O121" s="14"/>
      <c r="P121" s="2">
        <f>SUM(OSRRefP22_9x_0)</f>
        <v>3524.95</v>
      </c>
      <c r="Q121" s="2"/>
      <c r="R121" s="6">
        <f t="shared" si="24"/>
        <v>8.2659135537982767E-4</v>
      </c>
      <c r="S121" s="2"/>
      <c r="T121" s="2">
        <f>SUM(OSRRefT22_9x_0)</f>
        <v>2259.84</v>
      </c>
      <c r="U121" s="2"/>
      <c r="V121" s="6">
        <f t="shared" si="25"/>
        <v>1.1842129547585732E-3</v>
      </c>
      <c r="W121" s="2"/>
      <c r="X121" s="2">
        <f t="shared" si="26"/>
        <v>1265.1099999999997</v>
      </c>
      <c r="Y121" s="2"/>
      <c r="Z121" s="6">
        <f t="shared" si="27"/>
        <v>0.55982281931464162</v>
      </c>
    </row>
    <row r="122" spans="1:26" s="69" customFormat="1" ht="15" hidden="1" customHeight="1" outlineLevel="2" x14ac:dyDescent="0.3">
      <c r="A122" s="26"/>
      <c r="B122" s="12" t="str">
        <f>CONCATENATE("          ","6279"," - ","GENERAL EXPENSE")</f>
        <v xml:space="preserve">          6279 - GENERAL EXPENSE</v>
      </c>
      <c r="C122" s="12"/>
      <c r="D122" s="8">
        <v>565.61</v>
      </c>
      <c r="E122" s="3"/>
      <c r="F122" s="7">
        <f t="shared" si="20"/>
        <v>7.1396714688271251E-4</v>
      </c>
      <c r="G122" s="3"/>
      <c r="H122" s="8">
        <v>94.83</v>
      </c>
      <c r="I122" s="3"/>
      <c r="J122" s="7">
        <f t="shared" si="21"/>
        <v>2.317943594163788E-4</v>
      </c>
      <c r="K122" s="3"/>
      <c r="L122" s="8">
        <f t="shared" si="22"/>
        <v>470.78000000000003</v>
      </c>
      <c r="M122" s="3"/>
      <c r="N122" s="7">
        <f t="shared" si="23"/>
        <v>4.964462722767057</v>
      </c>
      <c r="O122" s="12"/>
      <c r="P122" s="8">
        <v>3524.95</v>
      </c>
      <c r="Q122" s="3"/>
      <c r="R122" s="7">
        <f t="shared" si="24"/>
        <v>8.2659135537982767E-4</v>
      </c>
      <c r="S122" s="3"/>
      <c r="T122" s="8">
        <v>2259.84</v>
      </c>
      <c r="U122" s="3"/>
      <c r="V122" s="7">
        <f t="shared" si="25"/>
        <v>1.1842129547585732E-3</v>
      </c>
      <c r="W122" s="3"/>
      <c r="X122" s="8">
        <f t="shared" si="26"/>
        <v>1265.1099999999997</v>
      </c>
      <c r="Y122" s="3"/>
      <c r="Z122" s="7">
        <f t="shared" si="27"/>
        <v>0.55982281931464162</v>
      </c>
    </row>
    <row r="123" spans="1:26" s="68" customFormat="1" ht="15" customHeight="1" outlineLevel="1" collapsed="1" x14ac:dyDescent="0.3">
      <c r="A123" s="25"/>
      <c r="B123" s="14" t="str">
        <f>CONCATENATE("     ","Insurance                                         ")</f>
        <v xml:space="preserve">     Insurance                                         </v>
      </c>
      <c r="C123" s="14"/>
      <c r="D123" s="2">
        <f>SUM(OSRRefD22_10x_0)</f>
        <v>219.08</v>
      </c>
      <c r="E123" s="2"/>
      <c r="F123" s="6">
        <f t="shared" si="20"/>
        <v>2.7654377139559884E-4</v>
      </c>
      <c r="G123" s="2"/>
      <c r="H123" s="2">
        <f>SUM(OSRRefH22_10x_0)</f>
        <v>161.18</v>
      </c>
      <c r="I123" s="2"/>
      <c r="J123" s="6">
        <f t="shared" si="21"/>
        <v>3.9397463725331582E-4</v>
      </c>
      <c r="K123" s="2"/>
      <c r="L123" s="2">
        <f t="shared" si="22"/>
        <v>57.900000000000006</v>
      </c>
      <c r="M123" s="2"/>
      <c r="N123" s="6">
        <f t="shared" si="23"/>
        <v>0.35922571038590395</v>
      </c>
      <c r="O123" s="14"/>
      <c r="P123" s="2">
        <f>SUM(OSRRefP22_10x_0)</f>
        <v>2190.8000000000002</v>
      </c>
      <c r="Q123" s="2"/>
      <c r="R123" s="6">
        <f t="shared" si="24"/>
        <v>5.1373674558961879E-4</v>
      </c>
      <c r="S123" s="2"/>
      <c r="T123" s="2">
        <f>SUM(OSRRefT22_10x_0)</f>
        <v>1611.8</v>
      </c>
      <c r="U123" s="2"/>
      <c r="V123" s="6">
        <f t="shared" si="25"/>
        <v>8.4462370808546989E-4</v>
      </c>
      <c r="W123" s="2"/>
      <c r="X123" s="2">
        <f t="shared" si="26"/>
        <v>579.00000000000023</v>
      </c>
      <c r="Y123" s="2"/>
      <c r="Z123" s="6">
        <f t="shared" si="27"/>
        <v>0.35922571038590412</v>
      </c>
    </row>
    <row r="124" spans="1:26" s="69" customFormat="1" ht="15" hidden="1" customHeight="1" outlineLevel="2" x14ac:dyDescent="0.3">
      <c r="A124" s="26"/>
      <c r="B124" s="12" t="str">
        <f>CONCATENATE("          ","6314"," - ","LIABILITY INSURANCE")</f>
        <v xml:space="preserve">          6314 - LIABILITY INSURANCE</v>
      </c>
      <c r="C124" s="12"/>
      <c r="D124" s="8">
        <v>219.08</v>
      </c>
      <c r="E124" s="3"/>
      <c r="F124" s="7">
        <f t="shared" si="20"/>
        <v>2.7654377139559884E-4</v>
      </c>
      <c r="G124" s="3"/>
      <c r="H124" s="8">
        <v>161.18</v>
      </c>
      <c r="I124" s="3"/>
      <c r="J124" s="7">
        <f t="shared" si="21"/>
        <v>3.9397463725331582E-4</v>
      </c>
      <c r="K124" s="3"/>
      <c r="L124" s="8">
        <f t="shared" si="22"/>
        <v>57.900000000000006</v>
      </c>
      <c r="M124" s="3"/>
      <c r="N124" s="7">
        <f t="shared" si="23"/>
        <v>0.35922571038590395</v>
      </c>
      <c r="O124" s="12"/>
      <c r="P124" s="8">
        <v>2190.8000000000002</v>
      </c>
      <c r="Q124" s="3"/>
      <c r="R124" s="7">
        <f t="shared" si="24"/>
        <v>5.1373674558961879E-4</v>
      </c>
      <c r="S124" s="3"/>
      <c r="T124" s="8">
        <v>1611.8</v>
      </c>
      <c r="U124" s="3"/>
      <c r="V124" s="7">
        <f t="shared" si="25"/>
        <v>8.4462370808546989E-4</v>
      </c>
      <c r="W124" s="3"/>
      <c r="X124" s="8">
        <f t="shared" si="26"/>
        <v>579.00000000000023</v>
      </c>
      <c r="Y124" s="3"/>
      <c r="Z124" s="7">
        <f t="shared" si="27"/>
        <v>0.35922571038590412</v>
      </c>
    </row>
    <row r="125" spans="1:26" s="68" customFormat="1" ht="15" customHeight="1" outlineLevel="1" collapsed="1" x14ac:dyDescent="0.3">
      <c r="A125" s="25"/>
      <c r="B125" s="14" t="str">
        <f>CONCATENATE("     ","Inventory Adjustment                              ")</f>
        <v xml:space="preserve">     Inventory Adjustment                              </v>
      </c>
      <c r="C125" s="14"/>
      <c r="D125" s="2">
        <f>SUM(OSRRefD22_11x_0)</f>
        <v>4100</v>
      </c>
      <c r="E125" s="2"/>
      <c r="F125" s="6">
        <f t="shared" si="20"/>
        <v>5.1754129209510462E-3</v>
      </c>
      <c r="G125" s="2"/>
      <c r="H125" s="2">
        <f>SUM(OSRRefH22_11x_0)</f>
        <v>1100</v>
      </c>
      <c r="I125" s="2"/>
      <c r="J125" s="6">
        <f t="shared" si="21"/>
        <v>2.6887461284194527E-3</v>
      </c>
      <c r="K125" s="2"/>
      <c r="L125" s="2">
        <f t="shared" si="22"/>
        <v>3000</v>
      </c>
      <c r="M125" s="2"/>
      <c r="N125" s="6">
        <f t="shared" si="23"/>
        <v>2.7272727272727271</v>
      </c>
      <c r="O125" s="14"/>
      <c r="P125" s="2">
        <f>SUM(OSRRefP22_11x_0)</f>
        <v>41000</v>
      </c>
      <c r="Q125" s="2"/>
      <c r="R125" s="6">
        <f t="shared" si="24"/>
        <v>9.6143904369063206E-3</v>
      </c>
      <c r="S125" s="2"/>
      <c r="T125" s="2">
        <f>SUM(OSRRefT22_11x_0)</f>
        <v>11000</v>
      </c>
      <c r="U125" s="2"/>
      <c r="V125" s="6">
        <f t="shared" si="25"/>
        <v>5.7642764542376037E-3</v>
      </c>
      <c r="W125" s="2"/>
      <c r="X125" s="2">
        <f t="shared" si="26"/>
        <v>30000</v>
      </c>
      <c r="Y125" s="2"/>
      <c r="Z125" s="6">
        <f t="shared" si="27"/>
        <v>2.7272727272727271</v>
      </c>
    </row>
    <row r="126" spans="1:26" s="69" customFormat="1" ht="15" hidden="1" customHeight="1" outlineLevel="2" x14ac:dyDescent="0.3">
      <c r="A126" s="26"/>
      <c r="B126" s="12" t="str">
        <f>CONCATENATE("          ","6408"," - ","INVENTORY ADJUSTMENT")</f>
        <v xml:space="preserve">          6408 - INVENTORY ADJUSTMENT</v>
      </c>
      <c r="C126" s="12"/>
      <c r="D126" s="8">
        <v>4100</v>
      </c>
      <c r="E126" s="3"/>
      <c r="F126" s="7">
        <f t="shared" si="20"/>
        <v>5.1754129209510462E-3</v>
      </c>
      <c r="G126" s="3"/>
      <c r="H126" s="8">
        <v>1100</v>
      </c>
      <c r="I126" s="3"/>
      <c r="J126" s="7">
        <f t="shared" si="21"/>
        <v>2.6887461284194527E-3</v>
      </c>
      <c r="K126" s="3"/>
      <c r="L126" s="8">
        <f t="shared" si="22"/>
        <v>3000</v>
      </c>
      <c r="M126" s="3"/>
      <c r="N126" s="7">
        <f t="shared" si="23"/>
        <v>2.7272727272727271</v>
      </c>
      <c r="O126" s="12"/>
      <c r="P126" s="8">
        <v>41000</v>
      </c>
      <c r="Q126" s="3"/>
      <c r="R126" s="7">
        <f t="shared" si="24"/>
        <v>9.6143904369063206E-3</v>
      </c>
      <c r="S126" s="3"/>
      <c r="T126" s="8">
        <v>11000</v>
      </c>
      <c r="U126" s="3"/>
      <c r="V126" s="7">
        <f t="shared" si="25"/>
        <v>5.7642764542376037E-3</v>
      </c>
      <c r="W126" s="3"/>
      <c r="X126" s="8">
        <f t="shared" si="26"/>
        <v>30000</v>
      </c>
      <c r="Y126" s="3"/>
      <c r="Z126" s="7">
        <f t="shared" si="27"/>
        <v>2.7272727272727271</v>
      </c>
    </row>
    <row r="127" spans="1:26" s="69" customFormat="1" ht="15" hidden="1" customHeight="1" outlineLevel="2" x14ac:dyDescent="0.3">
      <c r="A127" s="26"/>
      <c r="B127" s="12" t="str">
        <f>CONCATENATE("          ","7741"," - ","INV. SHRINKAGE-LOGO GIFTS")</f>
        <v xml:space="preserve">          7741 - INV. SHRINKAGE-LOGO GIFTS</v>
      </c>
      <c r="C127" s="12"/>
      <c r="D127" s="8"/>
      <c r="E127" s="3"/>
      <c r="F127" s="7">
        <f t="shared" si="20"/>
        <v>0</v>
      </c>
      <c r="G127" s="3"/>
      <c r="H127" s="8"/>
      <c r="I127" s="3"/>
      <c r="J127" s="7">
        <f t="shared" si="21"/>
        <v>0</v>
      </c>
      <c r="K127" s="3"/>
      <c r="L127" s="8">
        <f t="shared" si="22"/>
        <v>0</v>
      </c>
      <c r="M127" s="3"/>
      <c r="N127" s="7">
        <f t="shared" si="23"/>
        <v>0</v>
      </c>
      <c r="O127" s="12"/>
      <c r="P127" s="8"/>
      <c r="Q127" s="3"/>
      <c r="R127" s="7">
        <f t="shared" si="24"/>
        <v>0</v>
      </c>
      <c r="S127" s="3"/>
      <c r="T127" s="8">
        <v>0</v>
      </c>
      <c r="U127" s="3"/>
      <c r="V127" s="7">
        <f t="shared" si="25"/>
        <v>0</v>
      </c>
      <c r="W127" s="3"/>
      <c r="X127" s="8">
        <f t="shared" si="26"/>
        <v>0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5"/>
      <c r="B128" s="14" t="str">
        <f>CONCATENATE("     ","Professional Services                             ")</f>
        <v xml:space="preserve">     Professional Services                             </v>
      </c>
      <c r="C128" s="14"/>
      <c r="D128" s="2">
        <f>SUM(OSRRefD22_12x_0)</f>
        <v>0</v>
      </c>
      <c r="E128" s="2"/>
      <c r="F128" s="6">
        <f t="shared" si="20"/>
        <v>0</v>
      </c>
      <c r="G128" s="2"/>
      <c r="H128" s="2">
        <f>SUM(OSRRefH22_12x_0)</f>
        <v>0</v>
      </c>
      <c r="I128" s="2"/>
      <c r="J128" s="6">
        <f t="shared" si="21"/>
        <v>0</v>
      </c>
      <c r="K128" s="2"/>
      <c r="L128" s="2">
        <f t="shared" si="22"/>
        <v>0</v>
      </c>
      <c r="M128" s="2"/>
      <c r="N128" s="6">
        <f t="shared" si="23"/>
        <v>0</v>
      </c>
      <c r="O128" s="14"/>
      <c r="P128" s="2">
        <f>SUM(OSRRefP22_12x_0)</f>
        <v>2109.1</v>
      </c>
      <c r="Q128" s="2"/>
      <c r="R128" s="6">
        <f t="shared" si="24"/>
        <v>4.9457831391412491E-4</v>
      </c>
      <c r="S128" s="2"/>
      <c r="T128" s="2">
        <f>SUM(OSRRefT22_12x_0)</f>
        <v>0</v>
      </c>
      <c r="U128" s="2"/>
      <c r="V128" s="6">
        <f t="shared" si="25"/>
        <v>0</v>
      </c>
      <c r="W128" s="2"/>
      <c r="X128" s="2">
        <f t="shared" si="26"/>
        <v>2109.1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6"/>
      <c r="B129" s="12" t="str">
        <f>CONCATENATE("          ","6336"," - ","PROFESSIONAL SERVICES")</f>
        <v xml:space="preserve">          6336 - PROFESSIONAL SERVICES</v>
      </c>
      <c r="C129" s="12"/>
      <c r="D129" s="8"/>
      <c r="E129" s="3"/>
      <c r="F129" s="7">
        <f t="shared" si="20"/>
        <v>0</v>
      </c>
      <c r="G129" s="3"/>
      <c r="H129" s="8"/>
      <c r="I129" s="3"/>
      <c r="J129" s="7">
        <f t="shared" si="21"/>
        <v>0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>
        <v>2109.1</v>
      </c>
      <c r="Q129" s="3"/>
      <c r="R129" s="7">
        <f t="shared" si="24"/>
        <v>4.9457831391412491E-4</v>
      </c>
      <c r="S129" s="3"/>
      <c r="T129" s="8"/>
      <c r="U129" s="3"/>
      <c r="V129" s="7">
        <f t="shared" si="25"/>
        <v>0</v>
      </c>
      <c r="W129" s="3"/>
      <c r="X129" s="8">
        <f t="shared" si="26"/>
        <v>2109.1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5"/>
      <c r="B130" s="14" t="str">
        <f>CONCATENATE("     ","Rent                                              ")</f>
        <v xml:space="preserve">     Rent                                              </v>
      </c>
      <c r="C130" s="14"/>
      <c r="D130" s="2">
        <f>SUM(OSRRefD22_13x_0)</f>
        <v>6900</v>
      </c>
      <c r="E130" s="2"/>
      <c r="F130" s="6">
        <f t="shared" si="20"/>
        <v>8.7098412572102976E-3</v>
      </c>
      <c r="G130" s="2"/>
      <c r="H130" s="2">
        <f>SUM(OSRRefH22_13x_0)</f>
        <v>6900</v>
      </c>
      <c r="I130" s="2"/>
      <c r="J130" s="6">
        <f t="shared" si="21"/>
        <v>1.6865771169176567E-2</v>
      </c>
      <c r="K130" s="2"/>
      <c r="L130" s="2">
        <f t="shared" si="22"/>
        <v>0</v>
      </c>
      <c r="M130" s="2"/>
      <c r="N130" s="6">
        <f t="shared" si="23"/>
        <v>0</v>
      </c>
      <c r="O130" s="14"/>
      <c r="P130" s="2">
        <f>SUM(OSRRefP22_13x_0)</f>
        <v>69000</v>
      </c>
      <c r="Q130" s="2"/>
      <c r="R130" s="6">
        <f t="shared" si="24"/>
        <v>1.6180315613330148E-2</v>
      </c>
      <c r="S130" s="2"/>
      <c r="T130" s="2">
        <f>SUM(OSRRefT22_13x_0)</f>
        <v>69000</v>
      </c>
      <c r="U130" s="2"/>
      <c r="V130" s="6">
        <f t="shared" si="25"/>
        <v>3.6157734122035878E-2</v>
      </c>
      <c r="W130" s="2"/>
      <c r="X130" s="2">
        <f t="shared" si="26"/>
        <v>0</v>
      </c>
      <c r="Y130" s="2"/>
      <c r="Z130" s="6">
        <f t="shared" si="27"/>
        <v>0</v>
      </c>
    </row>
    <row r="131" spans="1:26" s="69" customFormat="1" ht="15" hidden="1" customHeight="1" outlineLevel="2" x14ac:dyDescent="0.3">
      <c r="A131" s="26"/>
      <c r="B131" s="12" t="str">
        <f>CONCATENATE("          ","6273"," - ","RENT")</f>
        <v xml:space="preserve">          6273 - RENT</v>
      </c>
      <c r="C131" s="12"/>
      <c r="D131" s="8">
        <v>6900</v>
      </c>
      <c r="E131" s="3"/>
      <c r="F131" s="7">
        <f t="shared" si="20"/>
        <v>8.7098412572102976E-3</v>
      </c>
      <c r="G131" s="3"/>
      <c r="H131" s="8">
        <v>6900</v>
      </c>
      <c r="I131" s="3"/>
      <c r="J131" s="7">
        <f t="shared" si="21"/>
        <v>1.6865771169176567E-2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>
        <v>69000</v>
      </c>
      <c r="Q131" s="3"/>
      <c r="R131" s="7">
        <f t="shared" si="24"/>
        <v>1.6180315613330148E-2</v>
      </c>
      <c r="S131" s="3"/>
      <c r="T131" s="8">
        <v>69000</v>
      </c>
      <c r="U131" s="3"/>
      <c r="V131" s="7">
        <f t="shared" si="25"/>
        <v>3.6157734122035878E-2</v>
      </c>
      <c r="W131" s="3"/>
      <c r="X131" s="8">
        <f t="shared" si="26"/>
        <v>0</v>
      </c>
      <c r="Y131" s="3"/>
      <c r="Z131" s="7">
        <f t="shared" si="27"/>
        <v>0</v>
      </c>
    </row>
    <row r="132" spans="1:26" s="68" customFormat="1" ht="15" customHeight="1" outlineLevel="1" collapsed="1" x14ac:dyDescent="0.3">
      <c r="A132" s="25"/>
      <c r="B132" s="14" t="str">
        <f>CONCATENATE("     ","Repair and Maintenance                            ")</f>
        <v xml:space="preserve">     Repair and Maintenance                            </v>
      </c>
      <c r="C132" s="14"/>
      <c r="D132" s="2">
        <f>SUM(OSRRefD22_14x_0)</f>
        <v>2154.4699999999998</v>
      </c>
      <c r="E132" s="2"/>
      <c r="F132" s="6">
        <f t="shared" si="20"/>
        <v>2.7195785062930243E-3</v>
      </c>
      <c r="G132" s="2"/>
      <c r="H132" s="2">
        <f>SUM(OSRRefH22_14x_0)</f>
        <v>0</v>
      </c>
      <c r="I132" s="2"/>
      <c r="J132" s="6">
        <f t="shared" si="21"/>
        <v>0</v>
      </c>
      <c r="K132" s="2"/>
      <c r="L132" s="2">
        <f t="shared" si="22"/>
        <v>2154.4699999999998</v>
      </c>
      <c r="M132" s="2"/>
      <c r="N132" s="6">
        <f t="shared" si="23"/>
        <v>0</v>
      </c>
      <c r="O132" s="14"/>
      <c r="P132" s="2">
        <f>SUM(OSRRefP22_14x_0)</f>
        <v>6435.8700000000008</v>
      </c>
      <c r="Q132" s="2"/>
      <c r="R132" s="6">
        <f t="shared" si="24"/>
        <v>1.5091943166139583E-3</v>
      </c>
      <c r="S132" s="2"/>
      <c r="T132" s="2">
        <f>SUM(OSRRefT22_14x_0)</f>
        <v>571.6400000000001</v>
      </c>
      <c r="U132" s="2"/>
      <c r="V132" s="6">
        <f t="shared" si="25"/>
        <v>2.9955372657276217E-4</v>
      </c>
      <c r="W132" s="2"/>
      <c r="X132" s="2">
        <f t="shared" si="26"/>
        <v>5864.2300000000005</v>
      </c>
      <c r="Y132" s="2"/>
      <c r="Z132" s="6">
        <f t="shared" si="27"/>
        <v>10.258606815478272</v>
      </c>
    </row>
    <row r="133" spans="1:26" s="69" customFormat="1" ht="15" hidden="1" customHeight="1" outlineLevel="2" x14ac:dyDescent="0.3">
      <c r="A133" s="26"/>
      <c r="B133" s="12" t="str">
        <f>CONCATENATE("          ","6372"," - ","COMPUTER HARDWARE MAINTENANCE")</f>
        <v xml:space="preserve">          6372 - COMPUTER HARDWARE MAINTENANCE</v>
      </c>
      <c r="C133" s="12"/>
      <c r="D133" s="8"/>
      <c r="E133" s="3"/>
      <c r="F133" s="7">
        <f t="shared" si="20"/>
        <v>0</v>
      </c>
      <c r="G133" s="3"/>
      <c r="H133" s="8"/>
      <c r="I133" s="3"/>
      <c r="J133" s="7">
        <f t="shared" si="21"/>
        <v>0</v>
      </c>
      <c r="K133" s="3"/>
      <c r="L133" s="8">
        <f t="shared" si="22"/>
        <v>0</v>
      </c>
      <c r="M133" s="3"/>
      <c r="N133" s="7">
        <f t="shared" si="23"/>
        <v>0</v>
      </c>
      <c r="O133" s="12"/>
      <c r="P133" s="8"/>
      <c r="Q133" s="3"/>
      <c r="R133" s="7">
        <f t="shared" si="24"/>
        <v>0</v>
      </c>
      <c r="S133" s="3"/>
      <c r="T133" s="8">
        <v>-0.52</v>
      </c>
      <c r="U133" s="3"/>
      <c r="V133" s="7">
        <f t="shared" si="25"/>
        <v>-2.7249306874577761E-7</v>
      </c>
      <c r="W133" s="3"/>
      <c r="X133" s="8">
        <f t="shared" si="26"/>
        <v>0.52</v>
      </c>
      <c r="Y133" s="3"/>
      <c r="Z133" s="7">
        <f t="shared" si="27"/>
        <v>-1</v>
      </c>
    </row>
    <row r="134" spans="1:26" s="69" customFormat="1" ht="15" hidden="1" customHeight="1" outlineLevel="2" x14ac:dyDescent="0.3">
      <c r="A134" s="26"/>
      <c r="B134" s="12" t="str">
        <f>CONCATENATE("          ","6373"," - ","MAINTENANCE CONTRACTS")</f>
        <v xml:space="preserve">          6373 - MAINTENANCE CONTRACTS</v>
      </c>
      <c r="C134" s="12"/>
      <c r="D134" s="8"/>
      <c r="E134" s="3"/>
      <c r="F134" s="7">
        <f t="shared" si="20"/>
        <v>0</v>
      </c>
      <c r="G134" s="3"/>
      <c r="H134" s="8"/>
      <c r="I134" s="3"/>
      <c r="J134" s="7">
        <f t="shared" si="21"/>
        <v>0</v>
      </c>
      <c r="K134" s="3"/>
      <c r="L134" s="8">
        <f t="shared" si="22"/>
        <v>0</v>
      </c>
      <c r="M134" s="3"/>
      <c r="N134" s="7">
        <f t="shared" si="23"/>
        <v>0</v>
      </c>
      <c r="O134" s="12"/>
      <c r="P134" s="8">
        <v>1053.73</v>
      </c>
      <c r="Q134" s="3"/>
      <c r="R134" s="7">
        <f t="shared" si="24"/>
        <v>2.4709686914832431E-4</v>
      </c>
      <c r="S134" s="3"/>
      <c r="T134" s="8">
        <v>406.6</v>
      </c>
      <c r="U134" s="3"/>
      <c r="V134" s="7">
        <f t="shared" si="25"/>
        <v>2.1306861875390997E-4</v>
      </c>
      <c r="W134" s="3"/>
      <c r="X134" s="8">
        <f t="shared" si="26"/>
        <v>647.13</v>
      </c>
      <c r="Y134" s="3"/>
      <c r="Z134" s="7">
        <f t="shared" si="27"/>
        <v>1.591564190850959</v>
      </c>
    </row>
    <row r="135" spans="1:26" s="69" customFormat="1" ht="15" hidden="1" customHeight="1" outlineLevel="2" x14ac:dyDescent="0.3">
      <c r="A135" s="26"/>
      <c r="B135" s="12" t="str">
        <f>CONCATENATE("          ","6375"," - ","OUTSIDE REPAIRS &amp; MAINTENANCE")</f>
        <v xml:space="preserve">          6375 - OUTSIDE REPAIRS &amp; MAINTENANCE</v>
      </c>
      <c r="C135" s="12"/>
      <c r="D135" s="8">
        <v>2154.4699999999998</v>
      </c>
      <c r="E135" s="3"/>
      <c r="F135" s="7">
        <f t="shared" si="20"/>
        <v>2.7195785062930243E-3</v>
      </c>
      <c r="G135" s="3"/>
      <c r="H135" s="8"/>
      <c r="I135" s="3"/>
      <c r="J135" s="7">
        <f t="shared" si="21"/>
        <v>0</v>
      </c>
      <c r="K135" s="3"/>
      <c r="L135" s="8">
        <f t="shared" si="22"/>
        <v>2154.4699999999998</v>
      </c>
      <c r="M135" s="3"/>
      <c r="N135" s="7">
        <f t="shared" si="23"/>
        <v>0</v>
      </c>
      <c r="O135" s="12"/>
      <c r="P135" s="8">
        <v>5382.14</v>
      </c>
      <c r="Q135" s="3"/>
      <c r="R135" s="7">
        <f t="shared" si="24"/>
        <v>1.2620974474656338E-3</v>
      </c>
      <c r="S135" s="3"/>
      <c r="T135" s="8">
        <v>165.56</v>
      </c>
      <c r="U135" s="3"/>
      <c r="V135" s="7">
        <f t="shared" si="25"/>
        <v>8.6757600887597963E-5</v>
      </c>
      <c r="W135" s="3"/>
      <c r="X135" s="8">
        <f t="shared" si="26"/>
        <v>5216.58</v>
      </c>
      <c r="Y135" s="3"/>
      <c r="Z135" s="7">
        <f t="shared" si="27"/>
        <v>31.508697753080455</v>
      </c>
    </row>
    <row r="136" spans="1:26" s="68" customFormat="1" ht="15" customHeight="1" outlineLevel="1" collapsed="1" x14ac:dyDescent="0.3">
      <c r="A136" s="25"/>
      <c r="B136" s="14" t="str">
        <f>CONCATENATE("     ","Royalty &amp; Commissions                             ")</f>
        <v xml:space="preserve">     Royalty &amp; Commissions                             </v>
      </c>
      <c r="C136" s="14"/>
      <c r="D136" s="2">
        <f>SUM(OSRRefD22_15x_0)</f>
        <v>26841.57</v>
      </c>
      <c r="E136" s="2"/>
      <c r="F136" s="6">
        <f t="shared" si="20"/>
        <v>3.3882001999173655E-2</v>
      </c>
      <c r="G136" s="2"/>
      <c r="H136" s="2">
        <f>SUM(OSRRefH22_15x_0)</f>
        <v>8961.48</v>
      </c>
      <c r="I136" s="2"/>
      <c r="J136" s="6">
        <f t="shared" si="21"/>
        <v>2.1904676959007593E-2</v>
      </c>
      <c r="K136" s="2"/>
      <c r="L136" s="2">
        <f t="shared" si="22"/>
        <v>17880.09</v>
      </c>
      <c r="M136" s="2"/>
      <c r="N136" s="6">
        <f t="shared" si="23"/>
        <v>1.9952161919682911</v>
      </c>
      <c r="O136" s="14"/>
      <c r="P136" s="2">
        <f>SUM(OSRRefP22_15x_0)</f>
        <v>69571.88</v>
      </c>
      <c r="Q136" s="2"/>
      <c r="R136" s="6">
        <f t="shared" si="24"/>
        <v>1.6314419945112051E-2</v>
      </c>
      <c r="S136" s="2"/>
      <c r="T136" s="2">
        <f>SUM(OSRRefT22_15x_0)</f>
        <v>35159.06</v>
      </c>
      <c r="U136" s="2"/>
      <c r="V136" s="6">
        <f t="shared" si="25"/>
        <v>1.8424231064647922E-2</v>
      </c>
      <c r="W136" s="2"/>
      <c r="X136" s="2">
        <f t="shared" si="26"/>
        <v>34412.820000000007</v>
      </c>
      <c r="Y136" s="2"/>
      <c r="Z136" s="6">
        <f t="shared" si="27"/>
        <v>0.97877531424332764</v>
      </c>
    </row>
    <row r="137" spans="1:26" s="69" customFormat="1" ht="15" hidden="1" customHeight="1" outlineLevel="2" x14ac:dyDescent="0.3">
      <c r="A137" s="26"/>
      <c r="B137" s="12" t="str">
        <f>CONCATENATE("          ","6253"," - ","ROYALTY DUE ATHLETICS-LRG")</f>
        <v xml:space="preserve">          6253 - ROYALTY DUE ATHLETICS-LRG</v>
      </c>
      <c r="C137" s="12"/>
      <c r="D137" s="8">
        <v>15944.33</v>
      </c>
      <c r="E137" s="3"/>
      <c r="F137" s="7">
        <f t="shared" si="20"/>
        <v>2.0126461340953024E-2</v>
      </c>
      <c r="G137" s="3"/>
      <c r="H137" s="8">
        <v>8961.48</v>
      </c>
      <c r="I137" s="3"/>
      <c r="J137" s="7">
        <f t="shared" si="21"/>
        <v>2.1904676959007593E-2</v>
      </c>
      <c r="K137" s="3"/>
      <c r="L137" s="8">
        <f t="shared" si="22"/>
        <v>6982.85</v>
      </c>
      <c r="M137" s="3"/>
      <c r="N137" s="7">
        <f t="shared" si="23"/>
        <v>0.77920722916304008</v>
      </c>
      <c r="O137" s="12"/>
      <c r="P137" s="8">
        <v>55165.49</v>
      </c>
      <c r="Q137" s="3"/>
      <c r="R137" s="7">
        <f t="shared" si="24"/>
        <v>1.2936159987884176E-2</v>
      </c>
      <c r="S137" s="3"/>
      <c r="T137" s="8">
        <v>35159.06</v>
      </c>
      <c r="U137" s="3"/>
      <c r="V137" s="7">
        <f t="shared" si="25"/>
        <v>1.8424231064647922E-2</v>
      </c>
      <c r="W137" s="3"/>
      <c r="X137" s="8">
        <f t="shared" si="26"/>
        <v>20006.43</v>
      </c>
      <c r="Y137" s="3"/>
      <c r="Z137" s="7">
        <f t="shared" si="27"/>
        <v>0.56902630502635743</v>
      </c>
    </row>
    <row r="138" spans="1:26" s="69" customFormat="1" ht="15" hidden="1" customHeight="1" outlineLevel="2" x14ac:dyDescent="0.3">
      <c r="A138" s="26"/>
      <c r="B138" s="12" t="str">
        <f>CONCATENATE("          ","6254"," - ","ROYALTY &amp; COMMISSIONS")</f>
        <v xml:space="preserve">          6254 - ROYALTY &amp; COMMISSIONS</v>
      </c>
      <c r="C138" s="12"/>
      <c r="D138" s="8">
        <v>10897.24</v>
      </c>
      <c r="E138" s="3"/>
      <c r="F138" s="7">
        <f t="shared" si="20"/>
        <v>1.3755540658220629E-2</v>
      </c>
      <c r="G138" s="3"/>
      <c r="H138" s="8"/>
      <c r="I138" s="3"/>
      <c r="J138" s="7">
        <f t="shared" si="21"/>
        <v>0</v>
      </c>
      <c r="K138" s="3"/>
      <c r="L138" s="8">
        <f t="shared" si="22"/>
        <v>10897.24</v>
      </c>
      <c r="M138" s="3"/>
      <c r="N138" s="7">
        <f t="shared" si="23"/>
        <v>0</v>
      </c>
      <c r="O138" s="12"/>
      <c r="P138" s="8">
        <v>14406.39</v>
      </c>
      <c r="Q138" s="3"/>
      <c r="R138" s="7">
        <f t="shared" si="24"/>
        <v>3.378259957227874E-3</v>
      </c>
      <c r="S138" s="3"/>
      <c r="T138" s="8"/>
      <c r="U138" s="3"/>
      <c r="V138" s="7">
        <f t="shared" si="25"/>
        <v>0</v>
      </c>
      <c r="W138" s="3"/>
      <c r="X138" s="8">
        <f t="shared" si="26"/>
        <v>14406.39</v>
      </c>
      <c r="Y138" s="3"/>
      <c r="Z138" s="7">
        <f t="shared" si="27"/>
        <v>0</v>
      </c>
    </row>
    <row r="139" spans="1:26" s="68" customFormat="1" ht="15" customHeight="1" outlineLevel="1" collapsed="1" x14ac:dyDescent="0.3">
      <c r="A139" s="25"/>
      <c r="B139" s="14" t="str">
        <f>CONCATENATE("     ","Services                                          ")</f>
        <v xml:space="preserve">     Services                                          </v>
      </c>
      <c r="C139" s="14"/>
      <c r="D139" s="2">
        <f>SUM(OSRRefD22_16x_0)</f>
        <v>278.56</v>
      </c>
      <c r="E139" s="2"/>
      <c r="F139" s="6">
        <f t="shared" si="20"/>
        <v>3.5162512762442036E-4</v>
      </c>
      <c r="G139" s="2"/>
      <c r="H139" s="2">
        <f>SUM(OSRRefH22_16x_0)</f>
        <v>155.59</v>
      </c>
      <c r="I139" s="2"/>
      <c r="J139" s="6">
        <f t="shared" si="21"/>
        <v>3.8031091829162056E-4</v>
      </c>
      <c r="K139" s="2"/>
      <c r="L139" s="2">
        <f t="shared" si="22"/>
        <v>122.97</v>
      </c>
      <c r="M139" s="2"/>
      <c r="N139" s="6">
        <f t="shared" si="23"/>
        <v>0.79034642329198534</v>
      </c>
      <c r="O139" s="14"/>
      <c r="P139" s="2">
        <f>SUM(OSRRefP22_16x_0)</f>
        <v>6037.48</v>
      </c>
      <c r="Q139" s="2"/>
      <c r="R139" s="6">
        <f t="shared" si="24"/>
        <v>1.4157729262198333E-3</v>
      </c>
      <c r="S139" s="2"/>
      <c r="T139" s="2">
        <f>SUM(OSRRefT22_16x_0)</f>
        <v>781.43</v>
      </c>
      <c r="U139" s="2"/>
      <c r="V139" s="6">
        <f t="shared" si="25"/>
        <v>4.0948895905771726E-4</v>
      </c>
      <c r="W139" s="2"/>
      <c r="X139" s="2">
        <f t="shared" si="26"/>
        <v>5256.0499999999993</v>
      </c>
      <c r="Y139" s="2"/>
      <c r="Z139" s="6">
        <f t="shared" si="27"/>
        <v>6.7261942848367733</v>
      </c>
    </row>
    <row r="140" spans="1:26" s="69" customFormat="1" ht="15" hidden="1" customHeight="1" outlineLevel="2" x14ac:dyDescent="0.3">
      <c r="A140" s="26"/>
      <c r="B140" s="12" t="str">
        <f>CONCATENATE("          ","6282"," - ","JANITORIAL/EXTERMINATOR EXPENS")</f>
        <v xml:space="preserve">          6282 - JANITORIAL/EXTERMINATOR EXPENS</v>
      </c>
      <c r="C140" s="12"/>
      <c r="D140" s="8">
        <v>69</v>
      </c>
      <c r="E140" s="3"/>
      <c r="F140" s="7">
        <f t="shared" si="20"/>
        <v>8.7098412572102972E-5</v>
      </c>
      <c r="G140" s="3"/>
      <c r="H140" s="8"/>
      <c r="I140" s="3"/>
      <c r="J140" s="7">
        <f t="shared" si="21"/>
        <v>0</v>
      </c>
      <c r="K140" s="3"/>
      <c r="L140" s="8">
        <f t="shared" si="22"/>
        <v>69</v>
      </c>
      <c r="M140" s="3"/>
      <c r="N140" s="7">
        <f t="shared" si="23"/>
        <v>0</v>
      </c>
      <c r="O140" s="12"/>
      <c r="P140" s="8">
        <v>905.6</v>
      </c>
      <c r="Q140" s="3"/>
      <c r="R140" s="7">
        <f t="shared" si="24"/>
        <v>2.1236077999176498E-4</v>
      </c>
      <c r="S140" s="3"/>
      <c r="T140" s="8">
        <v>176</v>
      </c>
      <c r="U140" s="3"/>
      <c r="V140" s="7">
        <f t="shared" si="25"/>
        <v>9.2228423267801652E-5</v>
      </c>
      <c r="W140" s="3"/>
      <c r="X140" s="8">
        <f t="shared" si="26"/>
        <v>729.6</v>
      </c>
      <c r="Y140" s="3"/>
      <c r="Z140" s="7">
        <f t="shared" si="27"/>
        <v>4.1454545454545455</v>
      </c>
    </row>
    <row r="141" spans="1:26" s="69" customFormat="1" ht="15" hidden="1" customHeight="1" outlineLevel="2" x14ac:dyDescent="0.3">
      <c r="A141" s="26"/>
      <c r="B141" s="12" t="str">
        <f>CONCATENATE("          ","6283"," - ","PLANT SERVICE")</f>
        <v xml:space="preserve">          6283 - PLANT SERVICE</v>
      </c>
      <c r="C141" s="12"/>
      <c r="D141" s="8"/>
      <c r="E141" s="3"/>
      <c r="F141" s="7">
        <f t="shared" si="20"/>
        <v>0</v>
      </c>
      <c r="G141" s="3"/>
      <c r="H141" s="8"/>
      <c r="I141" s="3"/>
      <c r="J141" s="7">
        <f t="shared" si="21"/>
        <v>0</v>
      </c>
      <c r="K141" s="3"/>
      <c r="L141" s="8">
        <f t="shared" si="22"/>
        <v>0</v>
      </c>
      <c r="M141" s="3"/>
      <c r="N141" s="7">
        <f t="shared" si="23"/>
        <v>0</v>
      </c>
      <c r="O141" s="12"/>
      <c r="P141" s="8"/>
      <c r="Q141" s="3"/>
      <c r="R141" s="7">
        <f t="shared" si="24"/>
        <v>0</v>
      </c>
      <c r="S141" s="3"/>
      <c r="T141" s="8">
        <v>41.31</v>
      </c>
      <c r="U141" s="3"/>
      <c r="V141" s="7">
        <f t="shared" si="25"/>
        <v>2.164747821132322E-5</v>
      </c>
      <c r="W141" s="3"/>
      <c r="X141" s="8">
        <f t="shared" si="26"/>
        <v>-41.31</v>
      </c>
      <c r="Y141" s="3"/>
      <c r="Z141" s="7">
        <f t="shared" si="27"/>
        <v>-1</v>
      </c>
    </row>
    <row r="142" spans="1:26" s="69" customFormat="1" ht="15" hidden="1" customHeight="1" outlineLevel="2" x14ac:dyDescent="0.3">
      <c r="A142" s="26"/>
      <c r="B142" s="12" t="str">
        <f>CONCATENATE("          ","6284"," - ","TRASH REMOVAL EXPENSE")</f>
        <v xml:space="preserve">          6284 - TRASH REMOVAL EXPENSE</v>
      </c>
      <c r="C142" s="12"/>
      <c r="D142" s="8"/>
      <c r="E142" s="3"/>
      <c r="F142" s="7">
        <f t="shared" si="20"/>
        <v>0</v>
      </c>
      <c r="G142" s="3"/>
      <c r="H142" s="8">
        <v>142.57</v>
      </c>
      <c r="I142" s="3"/>
      <c r="J142" s="7">
        <f t="shared" si="21"/>
        <v>3.4848594138978302E-4</v>
      </c>
      <c r="K142" s="3"/>
      <c r="L142" s="8">
        <f t="shared" si="22"/>
        <v>-142.57</v>
      </c>
      <c r="M142" s="3"/>
      <c r="N142" s="7">
        <f t="shared" si="23"/>
        <v>-1</v>
      </c>
      <c r="O142" s="12"/>
      <c r="P142" s="8">
        <v>1340.17</v>
      </c>
      <c r="Q142" s="3"/>
      <c r="R142" s="7">
        <f t="shared" si="24"/>
        <v>3.1426628370314008E-4</v>
      </c>
      <c r="S142" s="3"/>
      <c r="T142" s="8">
        <v>1440.72</v>
      </c>
      <c r="U142" s="3"/>
      <c r="V142" s="7">
        <f t="shared" si="25"/>
        <v>7.549734884681091E-4</v>
      </c>
      <c r="W142" s="3"/>
      <c r="X142" s="8">
        <f t="shared" si="26"/>
        <v>-100.54999999999995</v>
      </c>
      <c r="Y142" s="3"/>
      <c r="Z142" s="7">
        <f t="shared" si="27"/>
        <v>-6.9791493142317695E-2</v>
      </c>
    </row>
    <row r="143" spans="1:26" s="69" customFormat="1" ht="15" hidden="1" customHeight="1" outlineLevel="2" x14ac:dyDescent="0.3">
      <c r="A143" s="26"/>
      <c r="B143" s="12" t="str">
        <f>CONCATENATE("          ","6285"," - ","JANITORIAL SERVICES")</f>
        <v xml:space="preserve">          6285 - JANITORIAL SERVICES</v>
      </c>
      <c r="C143" s="12"/>
      <c r="D143" s="8">
        <v>209.56</v>
      </c>
      <c r="E143" s="3"/>
      <c r="F143" s="7">
        <f t="shared" si="20"/>
        <v>2.6452671505231739E-4</v>
      </c>
      <c r="G143" s="3"/>
      <c r="H143" s="8">
        <v>13.02</v>
      </c>
      <c r="I143" s="3"/>
      <c r="J143" s="7">
        <f t="shared" si="21"/>
        <v>3.1824976901837519E-5</v>
      </c>
      <c r="K143" s="3"/>
      <c r="L143" s="8">
        <f t="shared" si="22"/>
        <v>196.54</v>
      </c>
      <c r="M143" s="3"/>
      <c r="N143" s="7">
        <f t="shared" si="23"/>
        <v>15.095238095238095</v>
      </c>
      <c r="O143" s="12"/>
      <c r="P143" s="8">
        <v>3791.71</v>
      </c>
      <c r="Q143" s="3"/>
      <c r="R143" s="7">
        <f t="shared" si="24"/>
        <v>8.8914586252492847E-4</v>
      </c>
      <c r="S143" s="3"/>
      <c r="T143" s="8">
        <v>-876.6</v>
      </c>
      <c r="U143" s="3"/>
      <c r="V143" s="7">
        <f t="shared" si="25"/>
        <v>-4.5936043088951663E-4</v>
      </c>
      <c r="W143" s="3"/>
      <c r="X143" s="8">
        <f t="shared" si="26"/>
        <v>4668.3100000000004</v>
      </c>
      <c r="Y143" s="3"/>
      <c r="Z143" s="7">
        <f t="shared" si="27"/>
        <v>-5.3254734200319422</v>
      </c>
    </row>
    <row r="144" spans="1:26" s="68" customFormat="1" ht="15" customHeight="1" outlineLevel="1" collapsed="1" x14ac:dyDescent="0.3">
      <c r="A144" s="25"/>
      <c r="B144" s="14" t="str">
        <f>CONCATENATE("     ","Subscriptions &amp; Dues                              ")</f>
        <v xml:space="preserve">     Subscriptions &amp; Dues                              </v>
      </c>
      <c r="C144" s="14"/>
      <c r="D144" s="2">
        <f>SUM(OSRRefD22_17x_0)</f>
        <v>0</v>
      </c>
      <c r="E144" s="2"/>
      <c r="F144" s="6">
        <f t="shared" si="20"/>
        <v>0</v>
      </c>
      <c r="G144" s="2"/>
      <c r="H144" s="2">
        <f>SUM(OSRRefH22_17x_0)</f>
        <v>2014.87</v>
      </c>
      <c r="I144" s="2"/>
      <c r="J144" s="6">
        <f t="shared" si="21"/>
        <v>4.9249762834259114E-3</v>
      </c>
      <c r="K144" s="2"/>
      <c r="L144" s="2">
        <f t="shared" si="22"/>
        <v>-2014.87</v>
      </c>
      <c r="M144" s="2"/>
      <c r="N144" s="6">
        <f t="shared" si="23"/>
        <v>-1</v>
      </c>
      <c r="O144" s="14"/>
      <c r="P144" s="2">
        <f>SUM(OSRRefP22_17x_0)</f>
        <v>170.27</v>
      </c>
      <c r="Q144" s="2"/>
      <c r="R144" s="6">
        <f t="shared" si="24"/>
        <v>3.9927859992488761E-5</v>
      </c>
      <c r="S144" s="2"/>
      <c r="T144" s="2">
        <f>SUM(OSRRefT22_17x_0)</f>
        <v>2022.57</v>
      </c>
      <c r="U144" s="2"/>
      <c r="V144" s="6">
        <f t="shared" si="25"/>
        <v>1.0598775116406681E-3</v>
      </c>
      <c r="W144" s="2"/>
      <c r="X144" s="2">
        <f t="shared" si="26"/>
        <v>-1852.3</v>
      </c>
      <c r="Y144" s="2"/>
      <c r="Z144" s="6">
        <f t="shared" si="27"/>
        <v>-0.91581502741561482</v>
      </c>
    </row>
    <row r="145" spans="1:26" s="69" customFormat="1" ht="15" hidden="1" customHeight="1" outlineLevel="2" x14ac:dyDescent="0.3">
      <c r="A145" s="26"/>
      <c r="B145" s="12" t="str">
        <f>CONCATENATE("          ","6258"," - ","MEMBERSHIP DUES")</f>
        <v xml:space="preserve">          6258 - MEMBERSHIP DUES</v>
      </c>
      <c r="C145" s="12"/>
      <c r="D145" s="8"/>
      <c r="E145" s="3"/>
      <c r="F145" s="7">
        <f t="shared" si="20"/>
        <v>0</v>
      </c>
      <c r="G145" s="3"/>
      <c r="H145" s="8"/>
      <c r="I145" s="3"/>
      <c r="J145" s="7">
        <f t="shared" si="21"/>
        <v>0</v>
      </c>
      <c r="K145" s="3"/>
      <c r="L145" s="8">
        <f t="shared" si="22"/>
        <v>0</v>
      </c>
      <c r="M145" s="3"/>
      <c r="N145" s="7">
        <f t="shared" si="23"/>
        <v>0</v>
      </c>
      <c r="O145" s="12"/>
      <c r="P145" s="8">
        <v>170.27</v>
      </c>
      <c r="Q145" s="3"/>
      <c r="R145" s="7">
        <f t="shared" si="24"/>
        <v>3.9927859992488761E-5</v>
      </c>
      <c r="S145" s="3"/>
      <c r="T145" s="8">
        <v>-368.03</v>
      </c>
      <c r="U145" s="3"/>
      <c r="V145" s="7">
        <f t="shared" si="25"/>
        <v>-1.9285696940482408E-4</v>
      </c>
      <c r="W145" s="3"/>
      <c r="X145" s="8">
        <f t="shared" si="26"/>
        <v>538.29999999999995</v>
      </c>
      <c r="Y145" s="3"/>
      <c r="Z145" s="7">
        <f t="shared" si="27"/>
        <v>-1.4626525011547971</v>
      </c>
    </row>
    <row r="146" spans="1:26" s="69" customFormat="1" ht="15" hidden="1" customHeight="1" outlineLevel="2" x14ac:dyDescent="0.3">
      <c r="A146" s="26"/>
      <c r="B146" s="12" t="str">
        <f>CONCATENATE("          ","6275"," - ","SUBSCRIPTIONS")</f>
        <v xml:space="preserve">          6275 - SUBSCRIPTIONS</v>
      </c>
      <c r="C146" s="12"/>
      <c r="D146" s="8"/>
      <c r="E146" s="3"/>
      <c r="F146" s="7">
        <f t="shared" si="20"/>
        <v>0</v>
      </c>
      <c r="G146" s="3"/>
      <c r="H146" s="8">
        <v>2014.87</v>
      </c>
      <c r="I146" s="3"/>
      <c r="J146" s="7">
        <f t="shared" si="21"/>
        <v>4.9249762834259114E-3</v>
      </c>
      <c r="K146" s="3"/>
      <c r="L146" s="8">
        <f t="shared" si="22"/>
        <v>-2014.87</v>
      </c>
      <c r="M146" s="3"/>
      <c r="N146" s="7">
        <f t="shared" si="23"/>
        <v>-1</v>
      </c>
      <c r="O146" s="12"/>
      <c r="P146" s="8"/>
      <c r="Q146" s="3"/>
      <c r="R146" s="7">
        <f t="shared" si="24"/>
        <v>0</v>
      </c>
      <c r="S146" s="3"/>
      <c r="T146" s="8">
        <v>2390.6</v>
      </c>
      <c r="U146" s="3"/>
      <c r="V146" s="7">
        <f t="shared" si="25"/>
        <v>1.2527344810454922E-3</v>
      </c>
      <c r="W146" s="3"/>
      <c r="X146" s="8">
        <f t="shared" si="26"/>
        <v>-2390.6</v>
      </c>
      <c r="Y146" s="3"/>
      <c r="Z146" s="7">
        <f t="shared" si="27"/>
        <v>-1</v>
      </c>
    </row>
    <row r="147" spans="1:26" s="68" customFormat="1" ht="15" customHeight="1" outlineLevel="1" collapsed="1" x14ac:dyDescent="0.3">
      <c r="A147" s="25"/>
      <c r="B147" s="14" t="str">
        <f>CONCATENATE("     ","Supplies                                          ")</f>
        <v xml:space="preserve">     Supplies                                          </v>
      </c>
      <c r="C147" s="14"/>
      <c r="D147" s="2">
        <f>SUM(OSRRefD22_18x_0)</f>
        <v>794.12</v>
      </c>
      <c r="E147" s="2"/>
      <c r="F147" s="6">
        <f t="shared" si="20"/>
        <v>1.0024143679964988E-3</v>
      </c>
      <c r="G147" s="2"/>
      <c r="H147" s="2">
        <f>SUM(OSRRefH22_18x_0)</f>
        <v>399.95</v>
      </c>
      <c r="I147" s="2"/>
      <c r="J147" s="6">
        <f t="shared" si="21"/>
        <v>9.7760364914669089E-4</v>
      </c>
      <c r="K147" s="2"/>
      <c r="L147" s="2">
        <f t="shared" si="22"/>
        <v>394.17</v>
      </c>
      <c r="M147" s="2"/>
      <c r="N147" s="6">
        <f t="shared" si="23"/>
        <v>0.98554819352419054</v>
      </c>
      <c r="O147" s="14"/>
      <c r="P147" s="2">
        <f>SUM(OSRRefP22_18x_0)</f>
        <v>12065.23</v>
      </c>
      <c r="Q147" s="2"/>
      <c r="R147" s="6">
        <f t="shared" si="24"/>
        <v>2.8292641934408594E-3</v>
      </c>
      <c r="S147" s="2"/>
      <c r="T147" s="2">
        <f>SUM(OSRRefT22_18x_0)</f>
        <v>6481.34</v>
      </c>
      <c r="U147" s="2"/>
      <c r="V147" s="6">
        <f t="shared" si="25"/>
        <v>3.3963850503553046E-3</v>
      </c>
      <c r="W147" s="2"/>
      <c r="X147" s="2">
        <f t="shared" si="26"/>
        <v>5583.8899999999994</v>
      </c>
      <c r="Y147" s="2"/>
      <c r="Z147" s="6">
        <f t="shared" si="27"/>
        <v>0.86153326318323054</v>
      </c>
    </row>
    <row r="148" spans="1:26" s="69" customFormat="1" ht="15" hidden="1" customHeight="1" outlineLevel="2" x14ac:dyDescent="0.3">
      <c r="A148" s="26"/>
      <c r="B148" s="12" t="str">
        <f>CONCATENATE("          ","6234"," - ","EXPENDABLE SUPPLIES &amp; EQUIPMEN")</f>
        <v xml:space="preserve">          6234 - EXPENDABLE SUPPLIES &amp; EQUIPMEN</v>
      </c>
      <c r="C148" s="12"/>
      <c r="D148" s="8"/>
      <c r="E148" s="3"/>
      <c r="F148" s="7">
        <f t="shared" si="20"/>
        <v>0</v>
      </c>
      <c r="G148" s="3"/>
      <c r="H148" s="8">
        <v>53</v>
      </c>
      <c r="I148" s="3"/>
      <c r="J148" s="7">
        <f t="shared" si="21"/>
        <v>1.2954867709657363E-4</v>
      </c>
      <c r="K148" s="3"/>
      <c r="L148" s="8">
        <f t="shared" si="22"/>
        <v>-53</v>
      </c>
      <c r="M148" s="3"/>
      <c r="N148" s="7">
        <f t="shared" si="23"/>
        <v>-1</v>
      </c>
      <c r="O148" s="12"/>
      <c r="P148" s="8">
        <v>1393.55</v>
      </c>
      <c r="Q148" s="3"/>
      <c r="R148" s="7">
        <f t="shared" si="24"/>
        <v>3.2678375105733664E-4</v>
      </c>
      <c r="S148" s="3"/>
      <c r="T148" s="8">
        <v>449.5</v>
      </c>
      <c r="U148" s="3"/>
      <c r="V148" s="7">
        <f t="shared" si="25"/>
        <v>2.3554929692543662E-4</v>
      </c>
      <c r="W148" s="3"/>
      <c r="X148" s="8">
        <f t="shared" si="26"/>
        <v>944.05</v>
      </c>
      <c r="Y148" s="3"/>
      <c r="Z148" s="7">
        <f t="shared" si="27"/>
        <v>2.1002224694104559</v>
      </c>
    </row>
    <row r="149" spans="1:26" s="69" customFormat="1" ht="15" hidden="1" customHeight="1" outlineLevel="2" x14ac:dyDescent="0.3">
      <c r="A149" s="26"/>
      <c r="B149" s="12" t="str">
        <f>CONCATENATE("          ","6235"," - ","COVID-19 EXPENSES")</f>
        <v xml:space="preserve">          6235 - COVID-19 EXPENSES</v>
      </c>
      <c r="C149" s="12"/>
      <c r="D149" s="8"/>
      <c r="E149" s="3"/>
      <c r="F149" s="7">
        <f t="shared" si="20"/>
        <v>0</v>
      </c>
      <c r="G149" s="3"/>
      <c r="H149" s="8"/>
      <c r="I149" s="3"/>
      <c r="J149" s="7">
        <f t="shared" si="21"/>
        <v>0</v>
      </c>
      <c r="K149" s="3"/>
      <c r="L149" s="8">
        <f t="shared" si="22"/>
        <v>0</v>
      </c>
      <c r="M149" s="3"/>
      <c r="N149" s="7">
        <f t="shared" si="23"/>
        <v>0</v>
      </c>
      <c r="O149" s="12"/>
      <c r="P149" s="8"/>
      <c r="Q149" s="3"/>
      <c r="R149" s="7">
        <f t="shared" si="24"/>
        <v>0</v>
      </c>
      <c r="S149" s="3"/>
      <c r="T149" s="8">
        <v>1736.43</v>
      </c>
      <c r="U149" s="3"/>
      <c r="V149" s="7">
        <f t="shared" si="25"/>
        <v>9.0993296031198197E-4</v>
      </c>
      <c r="W149" s="3"/>
      <c r="X149" s="8">
        <f t="shared" si="26"/>
        <v>-1736.43</v>
      </c>
      <c r="Y149" s="3"/>
      <c r="Z149" s="7">
        <f t="shared" si="27"/>
        <v>-1</v>
      </c>
    </row>
    <row r="150" spans="1:26" s="69" customFormat="1" ht="15" hidden="1" customHeight="1" outlineLevel="2" x14ac:dyDescent="0.3">
      <c r="A150" s="26"/>
      <c r="B150" s="12" t="str">
        <f>CONCATENATE("          ","6237"," - ","JANITORIAL SUPPLIES")</f>
        <v xml:space="preserve">          6237 - JANITORIAL SUPPLIES</v>
      </c>
      <c r="C150" s="12"/>
      <c r="D150" s="8">
        <v>692.84</v>
      </c>
      <c r="E150" s="3"/>
      <c r="F150" s="7">
        <f t="shared" si="20"/>
        <v>8.7456904589066416E-4</v>
      </c>
      <c r="G150" s="3"/>
      <c r="H150" s="8"/>
      <c r="I150" s="3"/>
      <c r="J150" s="7">
        <f t="shared" si="21"/>
        <v>0</v>
      </c>
      <c r="K150" s="3"/>
      <c r="L150" s="8">
        <f t="shared" si="22"/>
        <v>692.84</v>
      </c>
      <c r="M150" s="3"/>
      <c r="N150" s="7">
        <f t="shared" si="23"/>
        <v>0</v>
      </c>
      <c r="O150" s="12"/>
      <c r="P150" s="8">
        <v>770.01</v>
      </c>
      <c r="Q150" s="3"/>
      <c r="R150" s="7">
        <f t="shared" si="24"/>
        <v>1.8056528732493258E-4</v>
      </c>
      <c r="S150" s="3"/>
      <c r="T150" s="8">
        <v>191.74</v>
      </c>
      <c r="U150" s="3"/>
      <c r="V150" s="7">
        <f t="shared" si="25"/>
        <v>1.0047657884868347E-4</v>
      </c>
      <c r="W150" s="3"/>
      <c r="X150" s="8">
        <f t="shared" si="26"/>
        <v>578.27</v>
      </c>
      <c r="Y150" s="3"/>
      <c r="Z150" s="7">
        <f t="shared" si="27"/>
        <v>3.0159069573380619</v>
      </c>
    </row>
    <row r="151" spans="1:26" s="69" customFormat="1" ht="15" hidden="1" customHeight="1" outlineLevel="2" x14ac:dyDescent="0.3">
      <c r="A151" s="26"/>
      <c r="B151" s="12" t="str">
        <f>CONCATENATE("          ","6241"," - ","OFFICE EXPENSE")</f>
        <v xml:space="preserve">          6241 - OFFICE EXPENSE</v>
      </c>
      <c r="C151" s="12"/>
      <c r="D151" s="8">
        <v>344.18</v>
      </c>
      <c r="E151" s="3"/>
      <c r="F151" s="7">
        <f t="shared" si="20"/>
        <v>4.3445698027632469E-4</v>
      </c>
      <c r="G151" s="3"/>
      <c r="H151" s="8">
        <v>346.95</v>
      </c>
      <c r="I151" s="3"/>
      <c r="J151" s="7">
        <f t="shared" si="21"/>
        <v>8.4805497205011726E-4</v>
      </c>
      <c r="K151" s="3"/>
      <c r="L151" s="8">
        <f t="shared" si="22"/>
        <v>-2.7699999999999818</v>
      </c>
      <c r="M151" s="3"/>
      <c r="N151" s="7">
        <f t="shared" si="23"/>
        <v>-7.9838593457269985E-3</v>
      </c>
      <c r="O151" s="12"/>
      <c r="P151" s="8">
        <v>2637.02</v>
      </c>
      <c r="Q151" s="3"/>
      <c r="R151" s="7">
        <f t="shared" si="24"/>
        <v>6.183741431690416E-4</v>
      </c>
      <c r="S151" s="3"/>
      <c r="T151" s="8">
        <v>1770.71</v>
      </c>
      <c r="U151" s="3"/>
      <c r="V151" s="7">
        <f t="shared" si="25"/>
        <v>9.2789654184391522E-4</v>
      </c>
      <c r="W151" s="3"/>
      <c r="X151" s="8">
        <f t="shared" si="26"/>
        <v>866.31</v>
      </c>
      <c r="Y151" s="3"/>
      <c r="Z151" s="7">
        <f t="shared" si="27"/>
        <v>0.48924442737658902</v>
      </c>
    </row>
    <row r="152" spans="1:26" s="69" customFormat="1" ht="15" hidden="1" customHeight="1" outlineLevel="2" x14ac:dyDescent="0.3">
      <c r="A152" s="26"/>
      <c r="B152" s="12" t="str">
        <f>CONCATENATE("          ","6245"," - ","PRINTING")</f>
        <v xml:space="preserve">          6245 - PRINTING</v>
      </c>
      <c r="C152" s="12"/>
      <c r="D152" s="8"/>
      <c r="E152" s="3"/>
      <c r="F152" s="7">
        <f t="shared" ref="F152:F161" si="28">IF(D$12=0,0,D152/D$12)</f>
        <v>0</v>
      </c>
      <c r="G152" s="3"/>
      <c r="H152" s="8"/>
      <c r="I152" s="3"/>
      <c r="J152" s="7">
        <f t="shared" ref="J152:J161" si="29">IF(H$12=0,0,H152/H$12)</f>
        <v>0</v>
      </c>
      <c r="K152" s="3"/>
      <c r="L152" s="8">
        <f t="shared" ref="L152:L161" si="30">+D152-H152</f>
        <v>0</v>
      </c>
      <c r="M152" s="3"/>
      <c r="N152" s="7">
        <f t="shared" ref="N152:N161" si="31">IF(H152=0,0,L152/H152)</f>
        <v>0</v>
      </c>
      <c r="O152" s="12"/>
      <c r="P152" s="8">
        <v>35.549999999999997</v>
      </c>
      <c r="Q152" s="3"/>
      <c r="R152" s="7">
        <f t="shared" ref="R152:R161" si="32">IF(P$12=0,0,P152/P$12)</f>
        <v>8.3363800007809667E-6</v>
      </c>
      <c r="S152" s="3"/>
      <c r="T152" s="8"/>
      <c r="U152" s="3"/>
      <c r="V152" s="7">
        <f t="shared" ref="V152:V161" si="33">IF(T$12=0,0,T152/T$12)</f>
        <v>0</v>
      </c>
      <c r="W152" s="3"/>
      <c r="X152" s="8">
        <f t="shared" ref="X152:X161" si="34">+P152-T152</f>
        <v>35.549999999999997</v>
      </c>
      <c r="Y152" s="3"/>
      <c r="Z152" s="7">
        <f t="shared" ref="Z152:Z161" si="35">IF(T152=0,0,X152/T152)</f>
        <v>0</v>
      </c>
    </row>
    <row r="153" spans="1:26" s="69" customFormat="1" ht="15" hidden="1" customHeight="1" outlineLevel="2" x14ac:dyDescent="0.3">
      <c r="A153" s="26"/>
      <c r="B153" s="12" t="str">
        <f>CONCATENATE("          ","6247"," - ","STORE SUPPLIES")</f>
        <v xml:space="preserve">          6247 - STORE SUPPLIES</v>
      </c>
      <c r="C153" s="12"/>
      <c r="D153" s="8">
        <v>-242.9</v>
      </c>
      <c r="E153" s="3"/>
      <c r="F153" s="7">
        <f t="shared" si="28"/>
        <v>-3.0661165817049004E-4</v>
      </c>
      <c r="G153" s="3"/>
      <c r="H153" s="8"/>
      <c r="I153" s="3"/>
      <c r="J153" s="7">
        <f t="shared" si="29"/>
        <v>0</v>
      </c>
      <c r="K153" s="3"/>
      <c r="L153" s="8">
        <f t="shared" si="30"/>
        <v>-242.9</v>
      </c>
      <c r="M153" s="3"/>
      <c r="N153" s="7">
        <f t="shared" si="31"/>
        <v>0</v>
      </c>
      <c r="O153" s="12"/>
      <c r="P153" s="8">
        <v>7229.1</v>
      </c>
      <c r="Q153" s="3"/>
      <c r="R153" s="7">
        <f t="shared" si="32"/>
        <v>1.6952046318887679E-3</v>
      </c>
      <c r="S153" s="3"/>
      <c r="T153" s="8">
        <v>2332.96</v>
      </c>
      <c r="U153" s="3"/>
      <c r="V153" s="7">
        <f t="shared" si="33"/>
        <v>1.2225296724252873E-3</v>
      </c>
      <c r="W153" s="3"/>
      <c r="X153" s="8">
        <f t="shared" si="34"/>
        <v>4896.1400000000003</v>
      </c>
      <c r="Y153" s="3"/>
      <c r="Z153" s="7">
        <f t="shared" si="35"/>
        <v>2.0986815033262465</v>
      </c>
    </row>
    <row r="154" spans="1:26" s="68" customFormat="1" ht="15" customHeight="1" outlineLevel="1" collapsed="1" x14ac:dyDescent="0.3">
      <c r="A154" s="25"/>
      <c r="B154" s="14" t="str">
        <f>CONCATENATE("     ","Telephone/Data Lines                              ")</f>
        <v xml:space="preserve">     Telephone/Data Lines                              </v>
      </c>
      <c r="C154" s="14"/>
      <c r="D154" s="2">
        <f>SUM(OSRRefD22_19x_0)</f>
        <v>721.84</v>
      </c>
      <c r="E154" s="2"/>
      <c r="F154" s="6">
        <f t="shared" si="28"/>
        <v>9.1117562508763494E-4</v>
      </c>
      <c r="G154" s="2"/>
      <c r="H154" s="2">
        <f>SUM(OSRRefH22_19x_0)</f>
        <v>383</v>
      </c>
      <c r="I154" s="2"/>
      <c r="J154" s="6">
        <f t="shared" si="29"/>
        <v>9.3617251562240944E-4</v>
      </c>
      <c r="K154" s="2"/>
      <c r="L154" s="2">
        <f t="shared" si="30"/>
        <v>338.84000000000003</v>
      </c>
      <c r="M154" s="2"/>
      <c r="N154" s="6">
        <f t="shared" si="31"/>
        <v>0.88469973890339437</v>
      </c>
      <c r="O154" s="14"/>
      <c r="P154" s="2">
        <f>SUM(OSRRefP22_19x_0)</f>
        <v>5792.59</v>
      </c>
      <c r="Q154" s="2"/>
      <c r="R154" s="6">
        <f t="shared" si="32"/>
        <v>1.3583468756321754E-3</v>
      </c>
      <c r="S154" s="2"/>
      <c r="T154" s="2">
        <f>SUM(OSRRefT22_19x_0)</f>
        <v>6336.78</v>
      </c>
      <c r="U154" s="2"/>
      <c r="V154" s="6">
        <f t="shared" si="33"/>
        <v>3.3206319772439781E-3</v>
      </c>
      <c r="W154" s="2"/>
      <c r="X154" s="2">
        <f t="shared" si="34"/>
        <v>-544.1899999999996</v>
      </c>
      <c r="Y154" s="2"/>
      <c r="Z154" s="6">
        <f t="shared" si="35"/>
        <v>-8.5878001129911341E-2</v>
      </c>
    </row>
    <row r="155" spans="1:26" s="69" customFormat="1" ht="15" hidden="1" customHeight="1" outlineLevel="2" x14ac:dyDescent="0.3">
      <c r="A155" s="26"/>
      <c r="B155" s="12" t="str">
        <f>CONCATENATE("          ","6309"," - ","TELEPHONE")</f>
        <v xml:space="preserve">          6309 - TELEPHONE</v>
      </c>
      <c r="C155" s="12"/>
      <c r="D155" s="8">
        <v>721.84</v>
      </c>
      <c r="E155" s="3"/>
      <c r="F155" s="7">
        <f t="shared" si="28"/>
        <v>9.1117562508763494E-4</v>
      </c>
      <c r="G155" s="3"/>
      <c r="H155" s="8">
        <v>383</v>
      </c>
      <c r="I155" s="3"/>
      <c r="J155" s="7">
        <f t="shared" si="29"/>
        <v>9.3617251562240944E-4</v>
      </c>
      <c r="K155" s="3"/>
      <c r="L155" s="8">
        <f t="shared" si="30"/>
        <v>338.84000000000003</v>
      </c>
      <c r="M155" s="3"/>
      <c r="N155" s="7">
        <f t="shared" si="31"/>
        <v>0.88469973890339437</v>
      </c>
      <c r="O155" s="12"/>
      <c r="P155" s="8">
        <v>5792.59</v>
      </c>
      <c r="Q155" s="3"/>
      <c r="R155" s="7">
        <f t="shared" si="32"/>
        <v>1.3583468756321754E-3</v>
      </c>
      <c r="S155" s="3"/>
      <c r="T155" s="8">
        <v>6336.78</v>
      </c>
      <c r="U155" s="3"/>
      <c r="V155" s="7">
        <f t="shared" si="33"/>
        <v>3.3206319772439781E-3</v>
      </c>
      <c r="W155" s="3"/>
      <c r="X155" s="8">
        <f t="shared" si="34"/>
        <v>-544.1899999999996</v>
      </c>
      <c r="Y155" s="3"/>
      <c r="Z155" s="7">
        <f t="shared" si="35"/>
        <v>-8.5878001129911341E-2</v>
      </c>
    </row>
    <row r="156" spans="1:26" s="68" customFormat="1" ht="15" customHeight="1" outlineLevel="1" collapsed="1" x14ac:dyDescent="0.3">
      <c r="A156" s="25"/>
      <c r="B156" s="14" t="str">
        <f>CONCATENATE("     ","Training                                          ")</f>
        <v xml:space="preserve">     Training                                          </v>
      </c>
      <c r="C156" s="14"/>
      <c r="D156" s="2">
        <f>SUM(OSRRefD22_20x_0)</f>
        <v>0</v>
      </c>
      <c r="E156" s="2"/>
      <c r="F156" s="6">
        <f t="shared" si="28"/>
        <v>0</v>
      </c>
      <c r="G156" s="2"/>
      <c r="H156" s="2">
        <f>SUM(OSRRefH22_20x_0)</f>
        <v>0</v>
      </c>
      <c r="I156" s="2"/>
      <c r="J156" s="6">
        <f t="shared" si="29"/>
        <v>0</v>
      </c>
      <c r="K156" s="2"/>
      <c r="L156" s="2">
        <f t="shared" si="30"/>
        <v>0</v>
      </c>
      <c r="M156" s="2"/>
      <c r="N156" s="6">
        <f t="shared" si="31"/>
        <v>0</v>
      </c>
      <c r="O156" s="14"/>
      <c r="P156" s="2">
        <f>SUM(OSRRefP22_20x_0)</f>
        <v>300</v>
      </c>
      <c r="Q156" s="2"/>
      <c r="R156" s="6">
        <f t="shared" si="32"/>
        <v>7.0349198318826734E-5</v>
      </c>
      <c r="S156" s="2"/>
      <c r="T156" s="2">
        <f>SUM(OSRRefT22_20x_0)</f>
        <v>14</v>
      </c>
      <c r="U156" s="2"/>
      <c r="V156" s="6">
        <f t="shared" si="33"/>
        <v>7.336351850847859E-6</v>
      </c>
      <c r="W156" s="2"/>
      <c r="X156" s="2">
        <f t="shared" si="34"/>
        <v>286</v>
      </c>
      <c r="Y156" s="2"/>
      <c r="Z156" s="6">
        <f t="shared" si="35"/>
        <v>20.428571428571427</v>
      </c>
    </row>
    <row r="157" spans="1:26" s="69" customFormat="1" ht="15" hidden="1" customHeight="1" outlineLevel="2" x14ac:dyDescent="0.3">
      <c r="A157" s="26"/>
      <c r="B157" s="12" t="str">
        <f>CONCATENATE("          ","6376"," - ","TRAINING")</f>
        <v xml:space="preserve">          6376 - TRAINING</v>
      </c>
      <c r="C157" s="12"/>
      <c r="D157" s="8"/>
      <c r="E157" s="3"/>
      <c r="F157" s="7">
        <f t="shared" si="28"/>
        <v>0</v>
      </c>
      <c r="G157" s="3"/>
      <c r="H157" s="8"/>
      <c r="I157" s="3"/>
      <c r="J157" s="7">
        <f t="shared" si="29"/>
        <v>0</v>
      </c>
      <c r="K157" s="3"/>
      <c r="L157" s="8">
        <f t="shared" si="30"/>
        <v>0</v>
      </c>
      <c r="M157" s="3"/>
      <c r="N157" s="7">
        <f t="shared" si="31"/>
        <v>0</v>
      </c>
      <c r="O157" s="12"/>
      <c r="P157" s="8">
        <v>300</v>
      </c>
      <c r="Q157" s="3"/>
      <c r="R157" s="7">
        <f t="shared" si="32"/>
        <v>7.0349198318826734E-5</v>
      </c>
      <c r="S157" s="3"/>
      <c r="T157" s="8">
        <v>14</v>
      </c>
      <c r="U157" s="3"/>
      <c r="V157" s="7">
        <f t="shared" si="33"/>
        <v>7.336351850847859E-6</v>
      </c>
      <c r="W157" s="3"/>
      <c r="X157" s="8">
        <f t="shared" si="34"/>
        <v>286</v>
      </c>
      <c r="Y157" s="3"/>
      <c r="Z157" s="7">
        <f t="shared" si="35"/>
        <v>20.428571428571427</v>
      </c>
    </row>
    <row r="158" spans="1:26" s="68" customFormat="1" ht="15" customHeight="1" outlineLevel="1" collapsed="1" x14ac:dyDescent="0.3">
      <c r="A158" s="25"/>
      <c r="B158" s="14" t="str">
        <f>CONCATENATE("     ","Travel                                            ")</f>
        <v xml:space="preserve">     Travel                                            </v>
      </c>
      <c r="C158" s="14"/>
      <c r="D158" s="2">
        <f>SUM(OSRRefD22_21x_0)</f>
        <v>0</v>
      </c>
      <c r="E158" s="2"/>
      <c r="F158" s="6">
        <f t="shared" si="28"/>
        <v>0</v>
      </c>
      <c r="G158" s="2"/>
      <c r="H158" s="2">
        <f>SUM(OSRRefH22_21x_0)</f>
        <v>69.069999999999993</v>
      </c>
      <c r="I158" s="2"/>
      <c r="J158" s="6">
        <f t="shared" si="29"/>
        <v>1.6882881371811962E-4</v>
      </c>
      <c r="K158" s="2"/>
      <c r="L158" s="2">
        <f t="shared" si="30"/>
        <v>-69.069999999999993</v>
      </c>
      <c r="M158" s="2"/>
      <c r="N158" s="6">
        <f t="shared" si="31"/>
        <v>-1</v>
      </c>
      <c r="O158" s="14"/>
      <c r="P158" s="2">
        <f>SUM(OSRRefP22_21x_0)</f>
        <v>403.48</v>
      </c>
      <c r="Q158" s="2"/>
      <c r="R158" s="6">
        <f t="shared" si="32"/>
        <v>9.4614981792267371E-5</v>
      </c>
      <c r="S158" s="2"/>
      <c r="T158" s="2">
        <f>SUM(OSRRefT22_21x_0)</f>
        <v>613.35</v>
      </c>
      <c r="U158" s="2"/>
      <c r="V158" s="6">
        <f t="shared" si="33"/>
        <v>3.2141081483696673E-4</v>
      </c>
      <c r="W158" s="2"/>
      <c r="X158" s="2">
        <f t="shared" si="34"/>
        <v>-209.87</v>
      </c>
      <c r="Y158" s="2"/>
      <c r="Z158" s="6">
        <f t="shared" si="35"/>
        <v>-0.34217004972690956</v>
      </c>
    </row>
    <row r="159" spans="1:26" s="69" customFormat="1" ht="15" hidden="1" customHeight="1" outlineLevel="2" x14ac:dyDescent="0.3">
      <c r="A159" s="26"/>
      <c r="B159" s="12" t="str">
        <f>CONCATENATE("          ","6294"," - ","TRAVEL OPERATIONAL")</f>
        <v xml:space="preserve">          6294 - TRAVEL OPERATIONAL</v>
      </c>
      <c r="C159" s="12"/>
      <c r="D159" s="8"/>
      <c r="E159" s="3"/>
      <c r="F159" s="7">
        <f t="shared" si="28"/>
        <v>0</v>
      </c>
      <c r="G159" s="3"/>
      <c r="H159" s="8">
        <v>69.069999999999993</v>
      </c>
      <c r="I159" s="3"/>
      <c r="J159" s="7">
        <f t="shared" si="29"/>
        <v>1.6882881371811962E-4</v>
      </c>
      <c r="K159" s="3"/>
      <c r="L159" s="8">
        <f t="shared" si="30"/>
        <v>-69.069999999999993</v>
      </c>
      <c r="M159" s="3"/>
      <c r="N159" s="7">
        <f t="shared" si="31"/>
        <v>-1</v>
      </c>
      <c r="O159" s="12"/>
      <c r="P159" s="8">
        <v>403.48</v>
      </c>
      <c r="Q159" s="3"/>
      <c r="R159" s="7">
        <f t="shared" si="32"/>
        <v>9.4614981792267371E-5</v>
      </c>
      <c r="S159" s="3"/>
      <c r="T159" s="8">
        <v>613.35</v>
      </c>
      <c r="U159" s="3"/>
      <c r="V159" s="7">
        <f t="shared" si="33"/>
        <v>3.2141081483696673E-4</v>
      </c>
      <c r="W159" s="3"/>
      <c r="X159" s="8">
        <f t="shared" si="34"/>
        <v>-209.87</v>
      </c>
      <c r="Y159" s="3"/>
      <c r="Z159" s="7">
        <f t="shared" si="35"/>
        <v>-0.34217004972690956</v>
      </c>
    </row>
    <row r="160" spans="1:26" s="68" customFormat="1" ht="15" customHeight="1" outlineLevel="1" collapsed="1" x14ac:dyDescent="0.3">
      <c r="A160" s="25"/>
      <c r="B160" s="14" t="str">
        <f>CONCATENATE("     ","Utilities                                         ")</f>
        <v xml:space="preserve">     Utilities                                         </v>
      </c>
      <c r="C160" s="14"/>
      <c r="D160" s="2">
        <f>SUM(OSRRefD22_22x_0)</f>
        <v>254.32</v>
      </c>
      <c r="E160" s="2"/>
      <c r="F160" s="6">
        <f t="shared" si="28"/>
        <v>3.2102707659909029E-4</v>
      </c>
      <c r="G160" s="2"/>
      <c r="H160" s="2">
        <f>SUM(OSRRefH22_22x_0)</f>
        <v>28.93</v>
      </c>
      <c r="I160" s="2"/>
      <c r="J160" s="6">
        <f t="shared" si="29"/>
        <v>7.07140231774316E-5</v>
      </c>
      <c r="K160" s="2"/>
      <c r="L160" s="2">
        <f t="shared" si="30"/>
        <v>225.39</v>
      </c>
      <c r="M160" s="2"/>
      <c r="N160" s="6">
        <f t="shared" si="31"/>
        <v>7.7908745247148286</v>
      </c>
      <c r="O160" s="14"/>
      <c r="P160" s="2">
        <f>SUM(OSRRefP22_22x_0)</f>
        <v>1287.22</v>
      </c>
      <c r="Q160" s="2"/>
      <c r="R160" s="6">
        <f t="shared" si="32"/>
        <v>3.0184965019986718E-4</v>
      </c>
      <c r="S160" s="2"/>
      <c r="T160" s="2">
        <f>SUM(OSRRefT22_22x_0)</f>
        <v>264.52999999999997</v>
      </c>
      <c r="U160" s="2"/>
      <c r="V160" s="6">
        <f t="shared" si="33"/>
        <v>1.3862036822177027E-4</v>
      </c>
      <c r="W160" s="2"/>
      <c r="X160" s="2">
        <f t="shared" si="34"/>
        <v>1022.69</v>
      </c>
      <c r="Y160" s="2"/>
      <c r="Z160" s="6">
        <f t="shared" si="35"/>
        <v>3.8660643405284851</v>
      </c>
    </row>
    <row r="161" spans="1:26" s="69" customFormat="1" ht="15" hidden="1" customHeight="1" outlineLevel="2" x14ac:dyDescent="0.3">
      <c r="A161" s="26"/>
      <c r="B161" s="12" t="str">
        <f>CONCATENATE("          ","6274"," - ","UTILITIES")</f>
        <v xml:space="preserve">          6274 - UTILITIES</v>
      </c>
      <c r="C161" s="12"/>
      <c r="D161" s="8">
        <v>254.32</v>
      </c>
      <c r="E161" s="3"/>
      <c r="F161" s="7">
        <f t="shared" si="28"/>
        <v>3.2102707659909029E-4</v>
      </c>
      <c r="G161" s="3"/>
      <c r="H161" s="8">
        <v>28.93</v>
      </c>
      <c r="I161" s="3"/>
      <c r="J161" s="7">
        <f t="shared" si="29"/>
        <v>7.07140231774316E-5</v>
      </c>
      <c r="K161" s="3"/>
      <c r="L161" s="8">
        <f t="shared" si="30"/>
        <v>225.39</v>
      </c>
      <c r="M161" s="3"/>
      <c r="N161" s="7">
        <f t="shared" si="31"/>
        <v>7.7908745247148286</v>
      </c>
      <c r="O161" s="12"/>
      <c r="P161" s="8">
        <v>1287.22</v>
      </c>
      <c r="Q161" s="3"/>
      <c r="R161" s="7">
        <f t="shared" si="32"/>
        <v>3.0184965019986718E-4</v>
      </c>
      <c r="S161" s="3"/>
      <c r="T161" s="8">
        <v>264.52999999999997</v>
      </c>
      <c r="U161" s="3"/>
      <c r="V161" s="7">
        <f t="shared" si="33"/>
        <v>1.3862036822177027E-4</v>
      </c>
      <c r="W161" s="3"/>
      <c r="X161" s="8">
        <f t="shared" si="34"/>
        <v>1022.69</v>
      </c>
      <c r="Y161" s="3"/>
      <c r="Z161" s="7">
        <f t="shared" si="35"/>
        <v>3.8660643405284851</v>
      </c>
    </row>
    <row r="162" spans="1:26" s="64" customFormat="1" ht="15" customHeight="1" x14ac:dyDescent="0.3">
      <c r="A162" s="36"/>
      <c r="B162" s="36"/>
      <c r="C162" s="36"/>
      <c r="D162" s="2"/>
      <c r="E162" s="2"/>
      <c r="F162" s="6"/>
      <c r="G162" s="2"/>
      <c r="H162" s="2"/>
      <c r="I162" s="2"/>
      <c r="J162" s="6"/>
      <c r="K162" s="2"/>
      <c r="L162" s="2"/>
      <c r="M162" s="2"/>
      <c r="N162" s="6"/>
      <c r="O162" s="36"/>
      <c r="P162" s="2"/>
      <c r="Q162" s="2"/>
      <c r="R162" s="6"/>
      <c r="S162" s="2"/>
      <c r="T162" s="2"/>
      <c r="U162" s="2"/>
      <c r="V162" s="6"/>
      <c r="W162" s="2"/>
      <c r="X162" s="2"/>
      <c r="Y162" s="2"/>
      <c r="Z162" s="6"/>
    </row>
    <row r="163" spans="1:26" s="62" customFormat="1" ht="15" customHeight="1" collapsed="1" x14ac:dyDescent="0.3">
      <c r="A163" s="11"/>
      <c r="B163" s="27" t="s">
        <v>290</v>
      </c>
      <c r="C163" s="11"/>
      <c r="D163" s="5">
        <f>SUM(OSRRefD25x_0)</f>
        <v>33877.660000000003</v>
      </c>
      <c r="E163" s="5"/>
      <c r="F163" s="13">
        <f>IF(D$12=0,0,D163/D$12)</f>
        <v>4.2763629096484498E-2</v>
      </c>
      <c r="G163" s="5"/>
      <c r="H163" s="5">
        <f>SUM(OSRRefH25x_0)</f>
        <v>18017.009999999998</v>
      </c>
      <c r="I163" s="5"/>
      <c r="J163" s="13">
        <f>IF(H$12=0,0,H163/H$12)</f>
        <v>4.4039241711995053E-2</v>
      </c>
      <c r="K163" s="5"/>
      <c r="L163" s="5">
        <f>+D163-H163</f>
        <v>15860.650000000005</v>
      </c>
      <c r="M163" s="5"/>
      <c r="N163" s="13">
        <f>IF(H163=0,0,L163/H163)</f>
        <v>0.88031532424081504</v>
      </c>
      <c r="O163" s="11"/>
      <c r="P163" s="5">
        <f>SUM(OSRRefP25x_0)</f>
        <v>367580.03</v>
      </c>
      <c r="Q163" s="5"/>
      <c r="R163" s="13">
        <f>IF(P$12=0,0,P163/P$12)</f>
        <v>8.6196534761700944E-2</v>
      </c>
      <c r="S163" s="5"/>
      <c r="T163" s="5">
        <f>SUM(OSRRefT25x_0)</f>
        <v>410824.77999999997</v>
      </c>
      <c r="U163" s="5"/>
      <c r="V163" s="13">
        <f>IF(T$12=0,0,T163/T$12)</f>
        <v>0.21528250965194029</v>
      </c>
      <c r="W163" s="5"/>
      <c r="X163" s="5">
        <f>+P163-T163</f>
        <v>-43244.749999999942</v>
      </c>
      <c r="Y163" s="5"/>
      <c r="Z163" s="13">
        <f>IF(T163=0,0,X163/T163)</f>
        <v>-0.10526324629200787</v>
      </c>
    </row>
    <row r="164" spans="1:26" s="69" customFormat="1" ht="15" hidden="1" customHeight="1" outlineLevel="1" x14ac:dyDescent="0.3">
      <c r="A164" s="42"/>
      <c r="B164" s="12" t="str">
        <f>CONCATENATE("          ","4098"," - ","TAXABLE SALES-GRAD RENTALS")</f>
        <v xml:space="preserve">          4098 - TAXABLE SALES-GRAD RENTALS</v>
      </c>
      <c r="C164" s="12"/>
      <c r="D164" s="3">
        <f>0</f>
        <v>0</v>
      </c>
      <c r="E164" s="3"/>
      <c r="F164" s="20">
        <f>IF(D$12=0,0,D164/D$12)</f>
        <v>0</v>
      </c>
      <c r="G164" s="3"/>
      <c r="H164" s="3">
        <f>--49.95</f>
        <v>49.95</v>
      </c>
      <c r="I164" s="3"/>
      <c r="J164" s="20">
        <f>IF(H$12=0,0,H164/H$12)</f>
        <v>1.2209351737686516E-4</v>
      </c>
      <c r="K164" s="3"/>
      <c r="L164" s="3">
        <f>+D164-H164</f>
        <v>-49.95</v>
      </c>
      <c r="M164" s="3"/>
      <c r="N164" s="20">
        <f>IF(H164=0,0,L164/H164)</f>
        <v>-1</v>
      </c>
      <c r="O164" s="12"/>
      <c r="P164" s="3">
        <f>0</f>
        <v>0</v>
      </c>
      <c r="Q164" s="3"/>
      <c r="R164" s="20">
        <f>IF(P$12=0,0,P164/P$12)</f>
        <v>0</v>
      </c>
      <c r="S164" s="3"/>
      <c r="T164" s="3">
        <f>--49.95</f>
        <v>49.95</v>
      </c>
      <c r="U164" s="3"/>
      <c r="V164" s="20">
        <f>IF(T$12=0,0,T164/T$12)</f>
        <v>2.6175055353560754E-5</v>
      </c>
      <c r="W164" s="3"/>
      <c r="X164" s="3">
        <f>+P164-T164</f>
        <v>-49.95</v>
      </c>
      <c r="Y164" s="3"/>
      <c r="Z164" s="20">
        <f>IF(T164=0,0,X164/T164)</f>
        <v>-1</v>
      </c>
    </row>
    <row r="165" spans="1:26" s="69" customFormat="1" ht="15" hidden="1" customHeight="1" outlineLevel="1" x14ac:dyDescent="0.3">
      <c r="A165" s="42"/>
      <c r="B165" s="12" t="str">
        <f>CONCATENATE("          ","9150"," - ","MISC. INCOME")</f>
        <v xml:space="preserve">          9150 - MISC. INCOME</v>
      </c>
      <c r="C165" s="12"/>
      <c r="D165" s="3">
        <f>--31888.66</f>
        <v>31888.66</v>
      </c>
      <c r="E165" s="3"/>
      <c r="F165" s="20">
        <f>IF(D$12=0,0,D165/D$12)</f>
        <v>4.0252922681906049E-2</v>
      </c>
      <c r="G165" s="3"/>
      <c r="H165" s="3">
        <f>--17922.96</f>
        <v>17922.96</v>
      </c>
      <c r="I165" s="3"/>
      <c r="J165" s="20">
        <f>IF(H$12=0,0,H165/H$12)</f>
        <v>4.3809353918015187E-2</v>
      </c>
      <c r="K165" s="3"/>
      <c r="L165" s="3">
        <f>+D165-H165</f>
        <v>13965.7</v>
      </c>
      <c r="M165" s="3"/>
      <c r="N165" s="20">
        <f>IF(H165=0,0,L165/H165)</f>
        <v>0.77920722916304008</v>
      </c>
      <c r="O165" s="12"/>
      <c r="P165" s="3">
        <f>--110760.33</f>
        <v>110760.33</v>
      </c>
      <c r="Q165" s="3"/>
      <c r="R165" s="20">
        <f>IF(P$12=0,0,P165/P$12)</f>
        <v>2.5973001403428984E-2</v>
      </c>
      <c r="S165" s="3"/>
      <c r="T165" s="3">
        <f>--64296.27</f>
        <v>64296.27</v>
      </c>
      <c r="U165" s="3"/>
      <c r="V165" s="20">
        <f>IF(T$12=0,0,T165/T$12)</f>
        <v>3.3692861386936689E-2</v>
      </c>
      <c r="W165" s="3"/>
      <c r="X165" s="3">
        <f>+P165-T165</f>
        <v>46464.060000000005</v>
      </c>
      <c r="Y165" s="3"/>
      <c r="Z165" s="20">
        <f>IF(T165=0,0,X165/T165)</f>
        <v>0.72265560661606043</v>
      </c>
    </row>
    <row r="166" spans="1:26" s="69" customFormat="1" ht="15" hidden="1" customHeight="1" outlineLevel="1" x14ac:dyDescent="0.3">
      <c r="A166" s="42"/>
      <c r="B166" s="12" t="str">
        <f>CONCATENATE("          ","9163"," - ","MISC. INCOME")</f>
        <v xml:space="preserve">          9163 - MISC. INCOME</v>
      </c>
      <c r="C166" s="12"/>
      <c r="D166" s="3">
        <f>--1989</f>
        <v>1989</v>
      </c>
      <c r="E166" s="3"/>
      <c r="F166" s="20">
        <f>IF(D$12=0,0,D166/D$12)</f>
        <v>2.5107064145784468E-3</v>
      </c>
      <c r="G166" s="3"/>
      <c r="H166" s="3">
        <f>--44.1</f>
        <v>44.1</v>
      </c>
      <c r="I166" s="3"/>
      <c r="J166" s="20">
        <f>IF(H$12=0,0,H166/H$12)</f>
        <v>1.0779427660299805E-4</v>
      </c>
      <c r="K166" s="3"/>
      <c r="L166" s="3">
        <f>+D166-H166</f>
        <v>1944.9</v>
      </c>
      <c r="M166" s="3"/>
      <c r="N166" s="20">
        <f>IF(H166=0,0,L166/H166)</f>
        <v>44.102040816326529</v>
      </c>
      <c r="O166" s="12"/>
      <c r="P166" s="3">
        <f>--256819.7</f>
        <v>256819.7</v>
      </c>
      <c r="Q166" s="3"/>
      <c r="R166" s="20">
        <f>IF(P$12=0,0,P166/P$12)</f>
        <v>6.0223533358271956E-2</v>
      </c>
      <c r="S166" s="3"/>
      <c r="T166" s="3">
        <f>--346478.56</f>
        <v>346478.56</v>
      </c>
      <c r="U166" s="3"/>
      <c r="V166" s="20">
        <f>IF(T$12=0,0,T166/T$12)</f>
        <v>0.18156347320965005</v>
      </c>
      <c r="W166" s="3"/>
      <c r="X166" s="3">
        <f>+P166-T166</f>
        <v>-89658.859999999986</v>
      </c>
      <c r="Y166" s="3"/>
      <c r="Z166" s="20">
        <f>IF(T166=0,0,X166/T166)</f>
        <v>-0.25877174045054907</v>
      </c>
    </row>
    <row r="167" spans="1:26" ht="15" customHeight="1" x14ac:dyDescent="0.3">
      <c r="A167" s="10"/>
      <c r="B167" s="11"/>
      <c r="C167" s="11"/>
      <c r="D167" s="4"/>
      <c r="E167" s="4"/>
      <c r="F167" s="9"/>
      <c r="G167" s="4"/>
      <c r="H167" s="4"/>
      <c r="I167" s="4"/>
      <c r="J167" s="9"/>
      <c r="K167" s="4"/>
      <c r="L167" s="4"/>
      <c r="M167" s="4"/>
      <c r="N167" s="9"/>
      <c r="O167" s="11"/>
      <c r="P167" s="4"/>
      <c r="Q167" s="4"/>
      <c r="R167" s="9"/>
      <c r="S167" s="4"/>
      <c r="T167" s="4"/>
      <c r="U167" s="4"/>
      <c r="V167" s="9"/>
      <c r="W167" s="4"/>
      <c r="X167" s="4"/>
      <c r="Y167" s="4"/>
      <c r="Z167" s="9"/>
    </row>
    <row r="168" spans="1:26" s="62" customFormat="1" ht="15" customHeight="1" x14ac:dyDescent="0.3">
      <c r="A168" s="11"/>
      <c r="B168" s="28" t="s">
        <v>291</v>
      </c>
      <c r="C168" s="28"/>
      <c r="D168" s="21">
        <f>+D86-D88+D163</f>
        <v>319226.89999999991</v>
      </c>
      <c r="E168" s="15"/>
      <c r="F168" s="23">
        <f>IF(D$12=0,0,D168/D$12)</f>
        <v>0.40295878609149927</v>
      </c>
      <c r="G168" s="15"/>
      <c r="H168" s="21">
        <f>+H86-H88+H163</f>
        <v>153731.48000000004</v>
      </c>
      <c r="I168" s="15"/>
      <c r="J168" s="23">
        <f>IF(H$12=0,0,H168/H$12)</f>
        <v>0.37576811060562965</v>
      </c>
      <c r="K168" s="16"/>
      <c r="L168" s="21">
        <f>+D168-H168</f>
        <v>165495.41999999987</v>
      </c>
      <c r="M168" s="16"/>
      <c r="N168" s="23">
        <f>IF(H168=0,0,L168/H168)</f>
        <v>1.0765226484517019</v>
      </c>
      <c r="O168" s="27"/>
      <c r="P168" s="21">
        <f>+P86-P88+P163</f>
        <v>1513645.3500000008</v>
      </c>
      <c r="Q168" s="15"/>
      <c r="R168" s="23">
        <f>IF(P$12=0,0,P168/P$12)</f>
        <v>0.35494578970506652</v>
      </c>
      <c r="S168" s="15"/>
      <c r="T168" s="21">
        <f>+T86-T88+T163</f>
        <v>577203.35000000009</v>
      </c>
      <c r="U168" s="15"/>
      <c r="V168" s="23">
        <f>IF(T$12=0,0,T168/T$12)</f>
        <v>0.30246906179200606</v>
      </c>
      <c r="W168" s="16"/>
      <c r="X168" s="21">
        <f>+P168-T168</f>
        <v>936442.0000000007</v>
      </c>
      <c r="Y168" s="16"/>
      <c r="Z168" s="23">
        <f>IF(T168=0,0,X168/T168)</f>
        <v>1.6223779712990241</v>
      </c>
    </row>
    <row r="169" spans="1:26" ht="15" customHeight="1" x14ac:dyDescent="0.3">
      <c r="A169" s="10"/>
      <c r="B169" s="11"/>
      <c r="C169" s="10"/>
      <c r="D169" s="4"/>
      <c r="E169" s="4"/>
      <c r="F169" s="9"/>
      <c r="G169" s="4"/>
      <c r="H169" s="4"/>
      <c r="I169" s="4"/>
      <c r="J169" s="9"/>
      <c r="K169" s="4"/>
      <c r="L169" s="4"/>
      <c r="M169" s="4"/>
      <c r="N169" s="9"/>
      <c r="P169" s="4"/>
      <c r="Q169" s="4"/>
      <c r="R169" s="9"/>
      <c r="S169" s="4"/>
      <c r="T169" s="4"/>
      <c r="U169" s="4"/>
      <c r="V169" s="9"/>
      <c r="W169" s="4"/>
      <c r="X169" s="4"/>
      <c r="Y169" s="4"/>
      <c r="Z169" s="9"/>
    </row>
    <row r="170" spans="1:26" s="62" customFormat="1" ht="15" customHeight="1" x14ac:dyDescent="0.3">
      <c r="A170" s="48"/>
      <c r="B170" s="11" t="s">
        <v>292</v>
      </c>
      <c r="C170" s="11"/>
      <c r="D170" s="5">
        <v>68689.850000000006</v>
      </c>
      <c r="E170" s="5"/>
      <c r="F170" s="13">
        <f>IF(D$12=0,0,D170/D$12)</f>
        <v>8.6706911519070548E-2</v>
      </c>
      <c r="G170" s="5"/>
      <c r="H170" s="5">
        <v>90254.33</v>
      </c>
      <c r="I170" s="5"/>
      <c r="J170" s="13">
        <f>IF(H$12=0,0,H170/H$12)</f>
        <v>0.22060998214599242</v>
      </c>
      <c r="K170" s="5"/>
      <c r="L170" s="5">
        <f>+D170-H170</f>
        <v>-21564.479999999996</v>
      </c>
      <c r="M170" s="5"/>
      <c r="N170" s="13">
        <f>IF(H170=0,0,L170/H170)</f>
        <v>-0.23893014329617199</v>
      </c>
      <c r="O170" s="11"/>
      <c r="P170" s="5">
        <v>483092.41</v>
      </c>
      <c r="Q170" s="5"/>
      <c r="R170" s="13">
        <f>IF(P$12=0,0,P170/P$12)</f>
        <v>0.11328387919136651</v>
      </c>
      <c r="S170" s="5"/>
      <c r="T170" s="5">
        <v>399225.24</v>
      </c>
      <c r="U170" s="5"/>
      <c r="V170" s="13">
        <f>IF(T$12=0,0,T170/T$12)</f>
        <v>0.20920405916994148</v>
      </c>
      <c r="W170" s="5"/>
      <c r="X170" s="5">
        <f>+P170-T170</f>
        <v>83867.169999999984</v>
      </c>
      <c r="Y170" s="5"/>
      <c r="Z170" s="13">
        <f>IF(T170=0,0,X170/T170)</f>
        <v>0.21007481891675983</v>
      </c>
    </row>
    <row r="171" spans="1:26" ht="15" customHeight="1" x14ac:dyDescent="0.3">
      <c r="A171" s="10"/>
      <c r="B171" s="11"/>
      <c r="C171" s="11"/>
      <c r="D171" s="4"/>
      <c r="E171" s="4"/>
      <c r="F171" s="9"/>
      <c r="G171" s="4"/>
      <c r="H171" s="4"/>
      <c r="I171" s="4"/>
      <c r="J171" s="9"/>
      <c r="K171" s="4"/>
      <c r="L171" s="4"/>
      <c r="M171" s="4"/>
      <c r="N171" s="9"/>
      <c r="O171" s="11"/>
      <c r="P171" s="4"/>
      <c r="Q171" s="4"/>
      <c r="R171" s="9"/>
      <c r="S171" s="4"/>
      <c r="T171" s="4"/>
      <c r="U171" s="4"/>
      <c r="V171" s="9"/>
      <c r="W171" s="4"/>
      <c r="X171" s="4"/>
      <c r="Y171" s="4"/>
      <c r="Z171" s="9"/>
    </row>
    <row r="172" spans="1:26" s="62" customFormat="1" ht="15" customHeight="1" x14ac:dyDescent="0.3">
      <c r="A172" s="11"/>
      <c r="B172" s="28" t="s">
        <v>293</v>
      </c>
      <c r="C172" s="28"/>
      <c r="D172" s="34">
        <f>+D168-D170</f>
        <v>250537.0499999999</v>
      </c>
      <c r="E172" s="15"/>
      <c r="F172" s="30">
        <f>IF(D$12=0,0,D172/D$12)</f>
        <v>0.31625187457242876</v>
      </c>
      <c r="G172" s="15"/>
      <c r="H172" s="34">
        <f>+H168-H170</f>
        <v>63477.150000000038</v>
      </c>
      <c r="I172" s="15"/>
      <c r="J172" s="30">
        <f>IF(H$12=0,0,H172/H$12)</f>
        <v>0.15515812845963722</v>
      </c>
      <c r="K172" s="16"/>
      <c r="L172" s="34">
        <f>D172-H172</f>
        <v>187059.89999999985</v>
      </c>
      <c r="M172" s="16"/>
      <c r="N172" s="30">
        <f>IF(H172=0,0,L172/H172)</f>
        <v>2.9468856115940891</v>
      </c>
      <c r="O172" s="27"/>
      <c r="P172" s="34">
        <f>+P168-P170</f>
        <v>1030552.9400000009</v>
      </c>
      <c r="Q172" s="15"/>
      <c r="R172" s="30">
        <f>IF(P$12=0,0,P172/P$12)</f>
        <v>0.24166191051370003</v>
      </c>
      <c r="S172" s="15"/>
      <c r="T172" s="34">
        <f>+T168-T170</f>
        <v>177978.1100000001</v>
      </c>
      <c r="U172" s="15"/>
      <c r="V172" s="30">
        <f>IF(T$12=0,0,T172/T$12)</f>
        <v>9.3265002622064608E-2</v>
      </c>
      <c r="W172" s="16"/>
      <c r="X172" s="34">
        <f>P172-T172</f>
        <v>852574.83000000077</v>
      </c>
      <c r="Y172" s="16"/>
      <c r="Z172" s="30">
        <f>IF(T172=0,0,X172/T172)</f>
        <v>4.7903353395538382</v>
      </c>
    </row>
    <row r="173" spans="1:26" ht="15" customHeight="1" x14ac:dyDescent="0.3">
      <c r="A173" s="10"/>
      <c r="B173" s="10"/>
      <c r="C173" s="10"/>
      <c r="D173" s="4"/>
      <c r="E173" s="4"/>
      <c r="F173" s="9"/>
      <c r="G173" s="4"/>
      <c r="H173" s="4"/>
      <c r="I173" s="4"/>
      <c r="J173" s="9"/>
      <c r="K173" s="4"/>
      <c r="L173" s="4"/>
      <c r="M173" s="4"/>
      <c r="N173" s="9"/>
      <c r="P173" s="4"/>
      <c r="Q173" s="4"/>
      <c r="R173" s="9"/>
      <c r="S173" s="4"/>
      <c r="T173" s="4"/>
      <c r="U173" s="4"/>
      <c r="V173" s="9"/>
      <c r="W173" s="4"/>
      <c r="X173" s="4"/>
      <c r="Y173" s="4"/>
      <c r="Z173" s="9"/>
    </row>
    <row r="174" spans="1:26" ht="15" customHeight="1" x14ac:dyDescent="0.3">
      <c r="A174" s="10"/>
      <c r="B174" s="10"/>
      <c r="C174" s="10"/>
      <c r="D174" s="4"/>
      <c r="E174" s="4"/>
      <c r="F174" s="9"/>
      <c r="G174" s="4"/>
      <c r="H174" s="4"/>
      <c r="I174" s="4"/>
      <c r="J174" s="9"/>
      <c r="K174" s="4"/>
      <c r="L174" s="4"/>
      <c r="M174" s="4"/>
      <c r="N174" s="9"/>
      <c r="P174" s="4"/>
      <c r="Q174" s="4"/>
      <c r="R174" s="9"/>
      <c r="S174" s="4"/>
      <c r="T174" s="4"/>
      <c r="U174" s="4"/>
      <c r="V174" s="9"/>
      <c r="W174" s="4"/>
      <c r="X174" s="4"/>
      <c r="Y174" s="4"/>
      <c r="Z174" s="9"/>
    </row>
    <row r="175" spans="1:26" s="62" customFormat="1" ht="15" customHeight="1" x14ac:dyDescent="0.3">
      <c r="A175" s="11"/>
      <c r="B175" s="28" t="s">
        <v>296</v>
      </c>
      <c r="C175" s="28"/>
      <c r="D175" s="29">
        <f>SUM(D172:D174)</f>
        <v>250537.0499999999</v>
      </c>
      <c r="E175" s="15"/>
      <c r="F175" s="35">
        <f>IF(D$12=0,0,D175/D$12)</f>
        <v>0.31625187457242876</v>
      </c>
      <c r="G175" s="15"/>
      <c r="H175" s="29">
        <f>SUM(H172:H174)</f>
        <v>63477.150000000038</v>
      </c>
      <c r="I175" s="15"/>
      <c r="J175" s="35">
        <f>IF(H$12=0,0,H175/H$12)</f>
        <v>0.15515812845963722</v>
      </c>
      <c r="K175" s="16"/>
      <c r="L175" s="29">
        <f>+D175-H175</f>
        <v>187059.89999999985</v>
      </c>
      <c r="M175" s="16"/>
      <c r="N175" s="35">
        <f>IF(H175=0,0,L175/H175)</f>
        <v>2.9468856115940891</v>
      </c>
      <c r="O175" s="27"/>
      <c r="P175" s="29">
        <f>SUM(P172:P174)</f>
        <v>1030552.9400000009</v>
      </c>
      <c r="Q175" s="15"/>
      <c r="R175" s="35">
        <f>IF(P$12=0,0,P175/P$12)</f>
        <v>0.24166191051370003</v>
      </c>
      <c r="S175" s="15"/>
      <c r="T175" s="29">
        <f>SUM(T172:T174)</f>
        <v>177978.1100000001</v>
      </c>
      <c r="U175" s="15"/>
      <c r="V175" s="35">
        <f>IF(T$12=0,0,T175/T$12)</f>
        <v>9.3265002622064608E-2</v>
      </c>
      <c r="W175" s="16"/>
      <c r="X175" s="29">
        <f>+P175-T175</f>
        <v>852574.83000000077</v>
      </c>
      <c r="Y175" s="16"/>
      <c r="Z175" s="35">
        <f>IF(T175=0,0,X175/T175)</f>
        <v>4.7903353395538382</v>
      </c>
    </row>
    <row r="176" spans="1:26" ht="15" customHeight="1" x14ac:dyDescent="0.3">
      <c r="A176" s="10"/>
      <c r="C176" s="10"/>
      <c r="D176" s="18"/>
      <c r="E176" s="18"/>
      <c r="G176" s="18"/>
      <c r="H176" s="18"/>
      <c r="I176" s="18"/>
      <c r="J176" s="40"/>
      <c r="K176" s="18"/>
      <c r="L176" s="18"/>
      <c r="M176" s="18"/>
      <c r="P176" s="18"/>
      <c r="Q176" s="18"/>
      <c r="R176" s="40"/>
      <c r="S176" s="18"/>
      <c r="T176" s="18"/>
      <c r="U176" s="18"/>
      <c r="V176" s="40"/>
      <c r="W176" s="18"/>
      <c r="X176" s="18"/>
    </row>
    <row r="177" spans="1:24" ht="15" customHeight="1" x14ac:dyDescent="0.3">
      <c r="A177" s="10"/>
      <c r="B177" s="56">
        <v>44694.890795057872</v>
      </c>
      <c r="D177" s="18"/>
      <c r="E177" s="18"/>
      <c r="G177" s="18"/>
      <c r="H177" s="18"/>
      <c r="I177" s="18"/>
      <c r="J177" s="40"/>
      <c r="K177" s="18"/>
      <c r="L177" s="18"/>
      <c r="M177" s="18"/>
      <c r="P177" s="18"/>
      <c r="Q177" s="18"/>
      <c r="R177" s="40"/>
      <c r="S177" s="18"/>
      <c r="T177" s="18"/>
      <c r="U177" s="18"/>
      <c r="V177" s="40"/>
      <c r="W177" s="18"/>
      <c r="X177" s="18"/>
    </row>
    <row r="178" spans="1:24" ht="15" customHeight="1" x14ac:dyDescent="0.3">
      <c r="A178" s="10"/>
      <c r="B178" s="52" t="s">
        <v>297</v>
      </c>
      <c r="D178" s="18"/>
      <c r="E178" s="18"/>
      <c r="G178" s="18"/>
      <c r="H178" s="18"/>
      <c r="I178" s="18"/>
      <c r="J178" s="40"/>
      <c r="K178" s="18"/>
      <c r="L178" s="18"/>
      <c r="M178" s="18"/>
      <c r="P178" s="18"/>
      <c r="Q178" s="18"/>
      <c r="R178" s="40"/>
      <c r="S178" s="18"/>
      <c r="T178" s="18"/>
      <c r="U178" s="18"/>
      <c r="V178" s="40"/>
      <c r="W178" s="18"/>
      <c r="X178" s="18"/>
    </row>
    <row r="179" spans="1:24" ht="15" customHeight="1" x14ac:dyDescent="0.3">
      <c r="A179" s="10"/>
      <c r="B179" s="58"/>
      <c r="D179" s="18"/>
      <c r="E179" s="18"/>
      <c r="G179" s="18"/>
      <c r="H179" s="18"/>
      <c r="I179" s="18"/>
      <c r="J179" s="40"/>
      <c r="K179" s="18"/>
      <c r="L179" s="18"/>
      <c r="M179" s="18"/>
      <c r="P179" s="18"/>
      <c r="Q179" s="18"/>
      <c r="R179" s="40"/>
      <c r="S179" s="18"/>
      <c r="T179" s="18"/>
      <c r="U179" s="18"/>
      <c r="V179" s="40"/>
      <c r="W179" s="18"/>
      <c r="X179" s="18"/>
    </row>
    <row r="180" spans="1:24" ht="15" customHeight="1" x14ac:dyDescent="0.3">
      <c r="D180" s="18"/>
      <c r="E180" s="18"/>
      <c r="G180" s="18"/>
      <c r="H180" s="18"/>
      <c r="I180" s="18"/>
      <c r="J180" s="40"/>
      <c r="K180" s="18"/>
      <c r="L180" s="18"/>
      <c r="M180" s="18"/>
      <c r="P180" s="18"/>
      <c r="Q180" s="18"/>
      <c r="R180" s="40"/>
      <c r="S180" s="18"/>
      <c r="T180" s="18"/>
      <c r="U180" s="18"/>
      <c r="V180" s="40"/>
      <c r="W180" s="18"/>
      <c r="X18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F0A3B-C95E-1695-BCF7-9DD8D0E76173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","307"," - ","Art Store")</f>
        <v>Department 307 - Art Store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40501.600000000006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 t="shared" ref="L12:L25" si="0">+D12-H12</f>
        <v>40501.600000000006</v>
      </c>
      <c r="M12" s="5"/>
      <c r="N12" s="13">
        <f t="shared" ref="N12:N25" si="1">IF(H12=0,0,L12/H12)</f>
        <v>0</v>
      </c>
      <c r="O12" s="11"/>
      <c r="P12" s="5">
        <f>SUM(OSRRefP13x_0)</f>
        <v>226699.84999999998</v>
      </c>
      <c r="Q12" s="5"/>
      <c r="R12" s="13"/>
      <c r="S12" s="5"/>
      <c r="T12" s="5">
        <f>SUM(OSRRefT13x_0)</f>
        <v>21311.919999999998</v>
      </c>
      <c r="U12" s="5"/>
      <c r="V12" s="13"/>
      <c r="W12" s="5"/>
      <c r="X12" s="5">
        <f t="shared" ref="X12:X25" si="2">+P12-T12</f>
        <v>205387.93</v>
      </c>
      <c r="Y12" s="5"/>
      <c r="Z12" s="13">
        <f t="shared" ref="Z12:Z25" si="3">IF(T12=0,0,X12/T12)</f>
        <v>9.6372325909631797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--21337.1</f>
        <v>21337.1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21337.1</v>
      </c>
      <c r="M13" s="3"/>
      <c r="N13" s="20">
        <f t="shared" si="1"/>
        <v>0</v>
      </c>
      <c r="O13" s="12"/>
      <c r="P13" s="3">
        <f>--150812.9</f>
        <v>150812.9</v>
      </c>
      <c r="Q13" s="3"/>
      <c r="R13" s="20"/>
      <c r="S13" s="3"/>
      <c r="T13" s="3">
        <f>-1096.44</f>
        <v>-1096.44</v>
      </c>
      <c r="U13" s="3"/>
      <c r="V13" s="20"/>
      <c r="W13" s="3"/>
      <c r="X13" s="3">
        <f t="shared" si="2"/>
        <v>151909.34</v>
      </c>
      <c r="Y13" s="3"/>
      <c r="Z13" s="20">
        <f t="shared" si="3"/>
        <v>-138.54779103279705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--17.51</f>
        <v>17.510000000000002</v>
      </c>
      <c r="U14" s="3"/>
      <c r="V14" s="20"/>
      <c r="W14" s="3"/>
      <c r="X14" s="3">
        <f t="shared" si="2"/>
        <v>-17.510000000000002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--7990.32</f>
        <v>7990.32</v>
      </c>
      <c r="U15" s="3"/>
      <c r="V15" s="20"/>
      <c r="W15" s="3"/>
      <c r="X15" s="3">
        <f t="shared" si="2"/>
        <v>-7990.32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--12479.05</f>
        <v>12479.05</v>
      </c>
      <c r="U16" s="3"/>
      <c r="V16" s="20"/>
      <c r="W16" s="3"/>
      <c r="X16" s="3">
        <f t="shared" si="2"/>
        <v>-12479.05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--374.55</f>
        <v>374.55</v>
      </c>
      <c r="U17" s="3"/>
      <c r="V17" s="20"/>
      <c r="W17" s="3"/>
      <c r="X17" s="3">
        <f t="shared" si="2"/>
        <v>-374.55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","4081"," - ","TAXABLE SALES-ELECTRONICS")</f>
        <v xml:space="preserve">          4081 - TAXABLE SALES-ELECTRONICS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--71.95</f>
        <v>71.95</v>
      </c>
      <c r="U18" s="3"/>
      <c r="V18" s="20"/>
      <c r="W18" s="3"/>
      <c r="X18" s="3">
        <f t="shared" si="2"/>
        <v>-71.95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","4083"," - ","TAXABLE SALES-COMPUTER EQUIPME")</f>
        <v xml:space="preserve">          4083 - TAXABLE SALES-COMPUTER EQUIPME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--9.99</f>
        <v>9.99</v>
      </c>
      <c r="U19" s="3"/>
      <c r="V19" s="20"/>
      <c r="W19" s="3"/>
      <c r="X19" s="3">
        <f t="shared" si="2"/>
        <v>-9.99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--19511.33</f>
        <v>19511.330000000002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19511.330000000002</v>
      </c>
      <c r="M20" s="3"/>
      <c r="N20" s="20">
        <f t="shared" si="1"/>
        <v>0</v>
      </c>
      <c r="O20" s="12"/>
      <c r="P20" s="3">
        <f>--80245.26</f>
        <v>80245.259999999995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80245.259999999995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","4131"," - ","NON-TAXABLE SALES-FOOD")</f>
        <v xml:space="preserve">          4131 - NON-TAXABLE SALES-FOOD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--1847.16</f>
        <v>1847.16</v>
      </c>
      <c r="U21" s="3"/>
      <c r="V21" s="20"/>
      <c r="W21" s="3"/>
      <c r="X21" s="3">
        <f t="shared" si="2"/>
        <v>-1847.16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","4200"," - ","TAXABLE RETURNS")</f>
        <v xml:space="preserve">          4200 - TAXABLE RETURNS</v>
      </c>
      <c r="C22" s="12"/>
      <c r="D22" s="3">
        <f>-176.49</f>
        <v>-176.49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-176.49</v>
      </c>
      <c r="M22" s="3"/>
      <c r="N22" s="20">
        <f t="shared" si="1"/>
        <v>0</v>
      </c>
      <c r="O22" s="12"/>
      <c r="P22" s="3">
        <f>-2178.33</f>
        <v>-2178.33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-2178.33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","4227"," - ","SALES RETURN TAXABLE-SCHOOL SU")</f>
        <v xml:space="preserve">          4227 - SALES RETURN TAXABLE-SCHOOL SU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-159.97</f>
        <v>-159.97</v>
      </c>
      <c r="U23" s="3"/>
      <c r="V23" s="20"/>
      <c r="W23" s="3"/>
      <c r="X23" s="3">
        <f t="shared" si="2"/>
        <v>159.97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","4228"," - ","SALES RETURN TAXABLE-ART/TECH")</f>
        <v xml:space="preserve">          4228 - SALES RETURN TAXABLE-ART/TECH</v>
      </c>
      <c r="C24" s="12"/>
      <c r="D24" s="3">
        <f>0</f>
        <v>0</v>
      </c>
      <c r="E24" s="3"/>
      <c r="F24" s="20"/>
      <c r="G24" s="3"/>
      <c r="H24" s="3">
        <f>0</f>
        <v>0</v>
      </c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0</f>
        <v>0</v>
      </c>
      <c r="Q24" s="3"/>
      <c r="R24" s="20"/>
      <c r="S24" s="3"/>
      <c r="T24" s="3">
        <f>-222.2</f>
        <v>-222.2</v>
      </c>
      <c r="U24" s="3"/>
      <c r="V24" s="20"/>
      <c r="W24" s="3"/>
      <c r="X24" s="3">
        <f t="shared" si="2"/>
        <v>222.2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","4500"," - ","SALES DISCOUNT")</f>
        <v xml:space="preserve">          4500 - SALES DISCOUNT</v>
      </c>
      <c r="C25" s="12"/>
      <c r="D25" s="3">
        <f>-170.34</f>
        <v>-170.34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-170.34</v>
      </c>
      <c r="M25" s="3"/>
      <c r="N25" s="20">
        <f t="shared" si="1"/>
        <v>0</v>
      </c>
      <c r="O25" s="12"/>
      <c r="P25" s="3">
        <f>-2179.98</f>
        <v>-2179.98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-2179.98</v>
      </c>
      <c r="Y25" s="3"/>
      <c r="Z25" s="20">
        <f t="shared" si="3"/>
        <v>0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21695.61</v>
      </c>
      <c r="E27" s="5"/>
      <c r="F27" s="13">
        <f t="shared" ref="F27:F37" si="4">IF(D$12=0,0,D27/D$12)</f>
        <v>0.53567291168743947</v>
      </c>
      <c r="G27" s="5"/>
      <c r="H27" s="5">
        <f>SUM(OSRRefH16x_0)</f>
        <v>19.489999999999998</v>
      </c>
      <c r="I27" s="5"/>
      <c r="J27" s="13">
        <f t="shared" ref="J27:J37" si="5">IF(H$12=0,0,H27/H$12)</f>
        <v>0</v>
      </c>
      <c r="K27" s="5"/>
      <c r="L27" s="5">
        <f t="shared" ref="L27:L37" si="6">+D27-H27</f>
        <v>21676.12</v>
      </c>
      <c r="M27" s="5"/>
      <c r="N27" s="13">
        <f t="shared" ref="N27:N37" si="7">IF(H27=0,0,L27/H27)</f>
        <v>1112.1662390969727</v>
      </c>
      <c r="O27" s="11"/>
      <c r="P27" s="5">
        <f>SUM(OSRRefP16x_0)</f>
        <v>126272.61000000002</v>
      </c>
      <c r="Q27" s="5"/>
      <c r="R27" s="13">
        <f t="shared" ref="R27:R37" si="8">IF(P$12=0,0,P27/P$12)</f>
        <v>0.55700350044342783</v>
      </c>
      <c r="S27" s="5"/>
      <c r="T27" s="5">
        <f>SUM(OSRRefT16x_0)</f>
        <v>13792.989999999994</v>
      </c>
      <c r="U27" s="5"/>
      <c r="V27" s="13">
        <f t="shared" ref="V27:V37" si="9">IF(T$12=0,0,T27/T$12)</f>
        <v>0.64719602926437392</v>
      </c>
      <c r="W27" s="5"/>
      <c r="X27" s="5">
        <f t="shared" ref="X27:X37" si="10">+P27-T27</f>
        <v>112479.62000000002</v>
      </c>
      <c r="Y27" s="5"/>
      <c r="Z27" s="13">
        <f t="shared" ref="Z27:Z37" si="11">IF(T27=0,0,X27/T27)</f>
        <v>8.1548395235550863</v>
      </c>
    </row>
    <row r="28" spans="1:26" s="69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18186.14</v>
      </c>
      <c r="E28" s="3"/>
      <c r="F28" s="20">
        <f t="shared" si="4"/>
        <v>0.44902275465660607</v>
      </c>
      <c r="G28" s="3"/>
      <c r="H28" s="3"/>
      <c r="I28" s="3"/>
      <c r="J28" s="20">
        <f t="shared" si="5"/>
        <v>0</v>
      </c>
      <c r="K28" s="3"/>
      <c r="L28" s="3">
        <f t="shared" si="6"/>
        <v>18186.14</v>
      </c>
      <c r="M28" s="3"/>
      <c r="N28" s="20">
        <f t="shared" si="7"/>
        <v>0</v>
      </c>
      <c r="O28" s="12"/>
      <c r="P28" s="3">
        <v>148195.63</v>
      </c>
      <c r="Q28" s="3"/>
      <c r="R28" s="20">
        <f t="shared" si="8"/>
        <v>0.65370854899109998</v>
      </c>
      <c r="S28" s="3"/>
      <c r="T28" s="3"/>
      <c r="U28" s="3"/>
      <c r="V28" s="20">
        <f t="shared" si="9"/>
        <v>0</v>
      </c>
      <c r="W28" s="3"/>
      <c r="X28" s="3">
        <f t="shared" si="10"/>
        <v>148195.63</v>
      </c>
      <c r="Y28" s="3"/>
      <c r="Z28" s="20">
        <f t="shared" si="11"/>
        <v>0</v>
      </c>
    </row>
    <row r="29" spans="1:26" s="69" customFormat="1" ht="15" hidden="1" customHeight="1" outlineLevel="1" x14ac:dyDescent="0.3">
      <c r="A29" s="42"/>
      <c r="B29" s="12" t="str">
        <f>CONCATENATE("          ","5026"," - ","PURCHASES @ COST-WRITING INSTR")</f>
        <v xml:space="preserve">          5026 - PURCHASES @ COST-WRITING INSTR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>
        <v>364.91</v>
      </c>
      <c r="U29" s="3"/>
      <c r="V29" s="20">
        <f t="shared" si="9"/>
        <v>1.7122342801587094E-2</v>
      </c>
      <c r="W29" s="3"/>
      <c r="X29" s="3">
        <f t="shared" si="10"/>
        <v>-364.91</v>
      </c>
      <c r="Y29" s="3"/>
      <c r="Z29" s="20">
        <f t="shared" si="11"/>
        <v>-1</v>
      </c>
    </row>
    <row r="30" spans="1:26" s="69" customFormat="1" ht="15" hidden="1" customHeight="1" outlineLevel="1" x14ac:dyDescent="0.3">
      <c r="A30" s="42"/>
      <c r="B30" s="12" t="str">
        <f>CONCATENATE("          ","5027"," - ","PURCHASES @ COST-SCHOOL SUPPLI")</f>
        <v xml:space="preserve">          5027 - PURCHASES @ COST-SCHOOL SUPPLI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>
        <v>895.47</v>
      </c>
      <c r="U30" s="3"/>
      <c r="V30" s="20">
        <f t="shared" si="9"/>
        <v>4.201733114613794E-2</v>
      </c>
      <c r="W30" s="3"/>
      <c r="X30" s="3">
        <f t="shared" si="10"/>
        <v>-895.47</v>
      </c>
      <c r="Y30" s="3"/>
      <c r="Z30" s="20">
        <f t="shared" si="11"/>
        <v>-1</v>
      </c>
    </row>
    <row r="31" spans="1:26" s="69" customFormat="1" ht="15" hidden="1" customHeight="1" outlineLevel="1" x14ac:dyDescent="0.3">
      <c r="A31" s="42"/>
      <c r="B31" s="12" t="str">
        <f>CONCATENATE("          ","5028"," - ","PURCHASES @ COST-ART/TECH")</f>
        <v xml:space="preserve">          5028 - PURCHASES @ COST-ART/TECH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>
        <v>41441.85</v>
      </c>
      <c r="U31" s="3"/>
      <c r="V31" s="20">
        <f t="shared" si="9"/>
        <v>1.9445385493188789</v>
      </c>
      <c r="W31" s="3"/>
      <c r="X31" s="3">
        <f t="shared" si="10"/>
        <v>-41441.85</v>
      </c>
      <c r="Y31" s="3"/>
      <c r="Z31" s="20">
        <f t="shared" si="11"/>
        <v>-1</v>
      </c>
    </row>
    <row r="32" spans="1:26" s="69" customFormat="1" ht="15" hidden="1" customHeight="1" outlineLevel="1" x14ac:dyDescent="0.3">
      <c r="A32" s="42"/>
      <c r="B32" s="12" t="str">
        <f>CONCATENATE("          ","5031"," - ","PURCHASES @ COST-FOOD")</f>
        <v xml:space="preserve">          5031 - PURCHASES @ COST-FOOD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>
        <v>2441.5700000000002</v>
      </c>
      <c r="U32" s="3"/>
      <c r="V32" s="20">
        <f t="shared" si="9"/>
        <v>0.11456358695040149</v>
      </c>
      <c r="W32" s="3"/>
      <c r="X32" s="3">
        <f t="shared" si="10"/>
        <v>-2441.5700000000002</v>
      </c>
      <c r="Y32" s="3"/>
      <c r="Z32" s="20">
        <f t="shared" si="11"/>
        <v>-1</v>
      </c>
    </row>
    <row r="33" spans="1:26" s="69" customFormat="1" ht="15" hidden="1" customHeight="1" outlineLevel="1" x14ac:dyDescent="0.3">
      <c r="A33" s="42"/>
      <c r="B33" s="12" t="str">
        <f>CONCATENATE("          ","5042"," - ","PURCHASES @ COST-EVERYDAY GIFT")</f>
        <v xml:space="preserve">          5042 - PURCHASES @ COST-EVERYDAY GIFT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69" customFormat="1" ht="15" hidden="1" customHeight="1" outlineLevel="1" x14ac:dyDescent="0.3">
      <c r="A34" s="42"/>
      <c r="B34" s="12" t="str">
        <f>CONCATENATE("          ","5200"," - ","PURCHASES OFFSET")</f>
        <v xml:space="preserve">          5200 - PURCHASES OFFSET</v>
      </c>
      <c r="C34" s="12"/>
      <c r="D34" s="3">
        <v>-18246.14</v>
      </c>
      <c r="E34" s="3"/>
      <c r="F34" s="20">
        <f t="shared" si="4"/>
        <v>-0.4505041776127362</v>
      </c>
      <c r="G34" s="3"/>
      <c r="H34" s="3"/>
      <c r="I34" s="3"/>
      <c r="J34" s="20">
        <f t="shared" si="5"/>
        <v>0</v>
      </c>
      <c r="K34" s="3"/>
      <c r="L34" s="3">
        <f t="shared" si="6"/>
        <v>-18246.14</v>
      </c>
      <c r="M34" s="3"/>
      <c r="N34" s="20">
        <f t="shared" si="7"/>
        <v>0</v>
      </c>
      <c r="O34" s="12"/>
      <c r="P34" s="3">
        <v>-149558.35999999999</v>
      </c>
      <c r="Q34" s="3"/>
      <c r="R34" s="20">
        <f t="shared" si="8"/>
        <v>-0.6597197130920025</v>
      </c>
      <c r="S34" s="3"/>
      <c r="T34" s="3">
        <v>-45863.33</v>
      </c>
      <c r="U34" s="3"/>
      <c r="V34" s="20">
        <f t="shared" si="9"/>
        <v>-2.1520036674311842</v>
      </c>
      <c r="W34" s="3"/>
      <c r="X34" s="3">
        <f t="shared" si="10"/>
        <v>-103695.02999999998</v>
      </c>
      <c r="Y34" s="3"/>
      <c r="Z34" s="20">
        <f t="shared" si="11"/>
        <v>2.2609572833023677</v>
      </c>
    </row>
    <row r="35" spans="1:26" s="69" customFormat="1" ht="15" hidden="1" customHeight="1" outlineLevel="1" x14ac:dyDescent="0.3">
      <c r="A35" s="42"/>
      <c r="B35" s="12" t="str">
        <f>CONCATENATE("          ","5300"," - ","COG$ OFFSET")</f>
        <v xml:space="preserve">          5300 - COG$ OFFSET</v>
      </c>
      <c r="C35" s="12"/>
      <c r="D35" s="3">
        <v>21695.61</v>
      </c>
      <c r="E35" s="3"/>
      <c r="F35" s="20">
        <f t="shared" si="4"/>
        <v>0.53567291168743947</v>
      </c>
      <c r="G35" s="3"/>
      <c r="H35" s="3"/>
      <c r="I35" s="3"/>
      <c r="J35" s="20">
        <f t="shared" si="5"/>
        <v>0</v>
      </c>
      <c r="K35" s="3"/>
      <c r="L35" s="3">
        <f t="shared" si="6"/>
        <v>21695.61</v>
      </c>
      <c r="M35" s="3"/>
      <c r="N35" s="20">
        <f t="shared" si="7"/>
        <v>0</v>
      </c>
      <c r="O35" s="12"/>
      <c r="P35" s="3">
        <v>126272.61</v>
      </c>
      <c r="Q35" s="3"/>
      <c r="R35" s="20">
        <f t="shared" si="8"/>
        <v>0.55700350044342783</v>
      </c>
      <c r="S35" s="3"/>
      <c r="T35" s="3">
        <v>14145</v>
      </c>
      <c r="U35" s="3"/>
      <c r="V35" s="20">
        <f t="shared" si="9"/>
        <v>0.66371307700103988</v>
      </c>
      <c r="W35" s="3"/>
      <c r="X35" s="3">
        <f t="shared" si="10"/>
        <v>112127.61</v>
      </c>
      <c r="Y35" s="3"/>
      <c r="Z35" s="20">
        <f t="shared" si="11"/>
        <v>7.9270137857900318</v>
      </c>
    </row>
    <row r="36" spans="1:26" s="69" customFormat="1" ht="15" hidden="1" customHeight="1" outlineLevel="1" x14ac:dyDescent="0.3">
      <c r="A36" s="42"/>
      <c r="B36" s="12" t="str">
        <f>CONCATENATE("          ","5500"," - ","FREIGHT-IN")</f>
        <v xml:space="preserve">          5500 - FREIGHT-IN</v>
      </c>
      <c r="C36" s="12"/>
      <c r="D36" s="3">
        <v>60</v>
      </c>
      <c r="E36" s="3"/>
      <c r="F36" s="20">
        <f t="shared" si="4"/>
        <v>1.481422956130128E-3</v>
      </c>
      <c r="G36" s="3"/>
      <c r="H36" s="3"/>
      <c r="I36" s="3"/>
      <c r="J36" s="20">
        <f t="shared" si="5"/>
        <v>0</v>
      </c>
      <c r="K36" s="3"/>
      <c r="L36" s="3">
        <f t="shared" si="6"/>
        <v>60</v>
      </c>
      <c r="M36" s="3"/>
      <c r="N36" s="20">
        <f t="shared" si="7"/>
        <v>0</v>
      </c>
      <c r="O36" s="12"/>
      <c r="P36" s="3">
        <v>1362.73</v>
      </c>
      <c r="Q36" s="3"/>
      <c r="R36" s="20">
        <f t="shared" si="8"/>
        <v>6.0111641009025817E-3</v>
      </c>
      <c r="S36" s="3"/>
      <c r="T36" s="3"/>
      <c r="U36" s="3"/>
      <c r="V36" s="20">
        <f t="shared" si="9"/>
        <v>0</v>
      </c>
      <c r="W36" s="3"/>
      <c r="X36" s="3">
        <f t="shared" si="10"/>
        <v>1362.73</v>
      </c>
      <c r="Y36" s="3"/>
      <c r="Z36" s="20">
        <f t="shared" si="11"/>
        <v>0</v>
      </c>
    </row>
    <row r="37" spans="1:26" s="69" customFormat="1" ht="15" hidden="1" customHeight="1" outlineLevel="1" x14ac:dyDescent="0.3">
      <c r="A37" s="42"/>
      <c r="B37" s="12" t="str">
        <f>CONCATENATE("          ","5528"," - ","FREIGHT-IN-ART/TECH")</f>
        <v xml:space="preserve">          5528 - FREIGHT-IN-ART/TECH</v>
      </c>
      <c r="C37" s="12"/>
      <c r="D37" s="3"/>
      <c r="E37" s="3"/>
      <c r="F37" s="20">
        <f t="shared" si="4"/>
        <v>0</v>
      </c>
      <c r="G37" s="3"/>
      <c r="H37" s="3">
        <v>19.489999999999998</v>
      </c>
      <c r="I37" s="3"/>
      <c r="J37" s="20">
        <f t="shared" si="5"/>
        <v>0</v>
      </c>
      <c r="K37" s="3"/>
      <c r="L37" s="3">
        <f t="shared" si="6"/>
        <v>-19.489999999999998</v>
      </c>
      <c r="M37" s="3"/>
      <c r="N37" s="20">
        <f t="shared" si="7"/>
        <v>-1</v>
      </c>
      <c r="O37" s="12"/>
      <c r="P37" s="3">
        <v>0</v>
      </c>
      <c r="Q37" s="3"/>
      <c r="R37" s="20">
        <f t="shared" si="8"/>
        <v>0</v>
      </c>
      <c r="S37" s="3"/>
      <c r="T37" s="3">
        <v>367.52</v>
      </c>
      <c r="U37" s="3"/>
      <c r="V37" s="20">
        <f t="shared" si="9"/>
        <v>1.7244809477513053E-2</v>
      </c>
      <c r="W37" s="3"/>
      <c r="X37" s="3">
        <f t="shared" si="10"/>
        <v>-367.52</v>
      </c>
      <c r="Y37" s="3"/>
      <c r="Z37" s="20">
        <f t="shared" si="11"/>
        <v>-1</v>
      </c>
    </row>
    <row r="38" spans="1:26" ht="15" customHeight="1" x14ac:dyDescent="0.3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288</v>
      </c>
      <c r="C39" s="28"/>
      <c r="D39" s="21">
        <f>D12-D27</f>
        <v>18805.990000000005</v>
      </c>
      <c r="E39" s="15"/>
      <c r="F39" s="23">
        <f>IF(D$12=0,0,D39/D$12)</f>
        <v>0.46432708831256053</v>
      </c>
      <c r="G39" s="15"/>
      <c r="H39" s="21">
        <f>H12-H27</f>
        <v>-19.489999999999998</v>
      </c>
      <c r="I39" s="15"/>
      <c r="J39" s="23">
        <f>IF(H$12=0,0,H39/H$12)</f>
        <v>0</v>
      </c>
      <c r="K39" s="16"/>
      <c r="L39" s="21">
        <f>+D39-H39</f>
        <v>18825.480000000007</v>
      </c>
      <c r="M39" s="16"/>
      <c r="N39" s="23">
        <f>IF(H39=0,0,L39/H39)</f>
        <v>-965.90456644433084</v>
      </c>
      <c r="O39" s="27"/>
      <c r="P39" s="21">
        <f>P12-P27</f>
        <v>100427.23999999996</v>
      </c>
      <c r="Q39" s="15"/>
      <c r="R39" s="23">
        <f>IF(P$12=0,0,P39/P$12)</f>
        <v>0.44299649955657217</v>
      </c>
      <c r="S39" s="15"/>
      <c r="T39" s="21">
        <f>T12-T27</f>
        <v>7518.9300000000039</v>
      </c>
      <c r="U39" s="15"/>
      <c r="V39" s="23">
        <f>IF(T$12=0,0,T39/T$12)</f>
        <v>0.35280397073562608</v>
      </c>
      <c r="W39" s="16"/>
      <c r="X39" s="21">
        <f>+P39-T39</f>
        <v>92908.309999999954</v>
      </c>
      <c r="Y39" s="16"/>
      <c r="Z39" s="23">
        <f>IF(T39=0,0,X39/T39)</f>
        <v>12.356586641982291</v>
      </c>
    </row>
    <row r="40" spans="1:26" ht="15" customHeight="1" x14ac:dyDescent="0.3">
      <c r="A40" s="10"/>
      <c r="B40" s="11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3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62" customFormat="1" ht="15" customHeight="1" x14ac:dyDescent="0.3">
      <c r="A41" s="11"/>
      <c r="B41" s="27" t="s">
        <v>289</v>
      </c>
      <c r="C41" s="11"/>
      <c r="D41" s="22" cm="1">
        <f t="array" ref="D41">SUM(OSRRefD22x_0)</f>
        <v>10679.669999999998</v>
      </c>
      <c r="E41" s="22"/>
      <c r="F41" s="32">
        <f t="shared" ref="F41:F83" si="12">IF(D$12=0,0,D41/D$12)</f>
        <v>0.26368513836490404</v>
      </c>
      <c r="G41" s="22"/>
      <c r="H41" s="22" cm="1">
        <f t="array" ref="H41">SUM(OSRRefH22x_0)</f>
        <v>53</v>
      </c>
      <c r="I41" s="22"/>
      <c r="J41" s="32">
        <f t="shared" ref="J41:J83" si="13">IF(H$12=0,0,H41/H$12)</f>
        <v>0</v>
      </c>
      <c r="K41" s="5"/>
      <c r="L41" s="22">
        <f t="shared" ref="L41:L83" si="14">+D41-H41</f>
        <v>10626.669999999998</v>
      </c>
      <c r="M41" s="5"/>
      <c r="N41" s="32">
        <f t="shared" ref="N41:N83" si="15">IF(H41=0,0,L41/H41)</f>
        <v>200.50320754716978</v>
      </c>
      <c r="O41" s="11"/>
      <c r="P41" s="22" cm="1">
        <f t="array" ref="P41">SUM(OSRRefP22x_0)</f>
        <v>59848.97</v>
      </c>
      <c r="Q41" s="22"/>
      <c r="R41" s="32">
        <f t="shared" ref="R41:R83" si="16">IF(P$12=0,0,P41/P$12)</f>
        <v>0.26400092457052798</v>
      </c>
      <c r="S41" s="22"/>
      <c r="T41" s="22" cm="1">
        <f t="array" ref="T41">SUM(OSRRefT22x_0)</f>
        <v>12700.859999999997</v>
      </c>
      <c r="U41" s="22"/>
      <c r="V41" s="32">
        <f t="shared" ref="V41:V83" si="17">IF(T$12=0,0,T41/T$12)</f>
        <v>0.59595099831455811</v>
      </c>
      <c r="W41" s="5"/>
      <c r="X41" s="22">
        <f t="shared" ref="X41:X83" si="18">+P41-T41</f>
        <v>47148.11</v>
      </c>
      <c r="Y41" s="5"/>
      <c r="Z41" s="32">
        <f t="shared" ref="Z41:Z83" si="19">IF(T41=0,0,X41/T41)</f>
        <v>3.7121982290962983</v>
      </c>
    </row>
    <row r="42" spans="1:26" s="68" customFormat="1" ht="15" customHeight="1" outlineLevel="1" collapsed="1" x14ac:dyDescent="0.3">
      <c r="A42" s="25"/>
      <c r="B42" s="14" t="str">
        <f>CONCATENATE("     ","*Benefits                                         ")</f>
        <v xml:space="preserve">     *Benefits                                         </v>
      </c>
      <c r="C42" s="14"/>
      <c r="D42" s="2">
        <f>SUM(OSRRefD22_0x_0)</f>
        <v>598.40000000000009</v>
      </c>
      <c r="E42" s="2"/>
      <c r="F42" s="6">
        <f t="shared" si="12"/>
        <v>1.4774724949137811E-2</v>
      </c>
      <c r="G42" s="2"/>
      <c r="H42" s="2">
        <f>SUM(OSRRefH22_0x_0)</f>
        <v>0</v>
      </c>
      <c r="I42" s="2"/>
      <c r="J42" s="6">
        <f t="shared" si="13"/>
        <v>0</v>
      </c>
      <c r="K42" s="2"/>
      <c r="L42" s="2">
        <f t="shared" si="14"/>
        <v>598.40000000000009</v>
      </c>
      <c r="M42" s="2"/>
      <c r="N42" s="6">
        <f t="shared" si="15"/>
        <v>0</v>
      </c>
      <c r="O42" s="14"/>
      <c r="P42" s="2">
        <f>SUM(OSRRefP22_0x_0)</f>
        <v>1517.84</v>
      </c>
      <c r="Q42" s="2"/>
      <c r="R42" s="6">
        <f t="shared" si="16"/>
        <v>6.6953727582969294E-3</v>
      </c>
      <c r="S42" s="2"/>
      <c r="T42" s="2">
        <f>SUM(OSRRefT22_0x_0)</f>
        <v>778.2</v>
      </c>
      <c r="U42" s="2"/>
      <c r="V42" s="6">
        <f t="shared" si="17"/>
        <v>3.6514776707119778E-2</v>
      </c>
      <c r="W42" s="2"/>
      <c r="X42" s="2">
        <f t="shared" si="18"/>
        <v>739.63999999999987</v>
      </c>
      <c r="Y42" s="2"/>
      <c r="Z42" s="6">
        <f t="shared" si="19"/>
        <v>0.95044975584682578</v>
      </c>
    </row>
    <row r="43" spans="1:26" s="69" customFormat="1" ht="15" hidden="1" customHeight="1" outlineLevel="2" x14ac:dyDescent="0.3">
      <c r="A43" s="26"/>
      <c r="B43" s="12" t="str">
        <f>CONCATENATE("          ","6111"," - ","F.I.C.A.")</f>
        <v xml:space="preserve">          6111 - F.I.C.A.</v>
      </c>
      <c r="C43" s="12"/>
      <c r="D43" s="8">
        <v>293.87</v>
      </c>
      <c r="E43" s="3"/>
      <c r="F43" s="7">
        <f t="shared" si="12"/>
        <v>7.2557627352993455E-3</v>
      </c>
      <c r="G43" s="3"/>
      <c r="H43" s="8"/>
      <c r="I43" s="3"/>
      <c r="J43" s="7">
        <f t="shared" si="13"/>
        <v>0</v>
      </c>
      <c r="K43" s="3"/>
      <c r="L43" s="8">
        <f t="shared" si="14"/>
        <v>293.87</v>
      </c>
      <c r="M43" s="3"/>
      <c r="N43" s="7">
        <f t="shared" si="15"/>
        <v>0</v>
      </c>
      <c r="O43" s="12"/>
      <c r="P43" s="8">
        <v>636.98</v>
      </c>
      <c r="Q43" s="3"/>
      <c r="R43" s="7">
        <f t="shared" si="16"/>
        <v>2.8097945366968705E-3</v>
      </c>
      <c r="S43" s="3"/>
      <c r="T43" s="8">
        <v>484.61</v>
      </c>
      <c r="U43" s="3"/>
      <c r="V43" s="7">
        <f t="shared" si="17"/>
        <v>2.2738917938881154E-2</v>
      </c>
      <c r="W43" s="3"/>
      <c r="X43" s="8">
        <f t="shared" si="18"/>
        <v>152.37</v>
      </c>
      <c r="Y43" s="3"/>
      <c r="Z43" s="7">
        <f t="shared" si="19"/>
        <v>0.31441777924516623</v>
      </c>
    </row>
    <row r="44" spans="1:26" s="69" customFormat="1" ht="15" hidden="1" customHeight="1" outlineLevel="2" x14ac:dyDescent="0.3">
      <c r="A44" s="26"/>
      <c r="B44" s="12" t="str">
        <f>CONCATENATE("          ","6112"," - ","COMPENSATION INSURANCE")</f>
        <v xml:space="preserve">          6112 - COMPENSATION INSURANCE</v>
      </c>
      <c r="C44" s="12"/>
      <c r="D44" s="8">
        <v>94.67</v>
      </c>
      <c r="E44" s="3"/>
      <c r="F44" s="7">
        <f t="shared" si="12"/>
        <v>2.3374385209473203E-3</v>
      </c>
      <c r="G44" s="3"/>
      <c r="H44" s="8"/>
      <c r="I44" s="3"/>
      <c r="J44" s="7">
        <f t="shared" si="13"/>
        <v>0</v>
      </c>
      <c r="K44" s="3"/>
      <c r="L44" s="8">
        <f t="shared" si="14"/>
        <v>94.67</v>
      </c>
      <c r="M44" s="3"/>
      <c r="N44" s="7">
        <f t="shared" si="15"/>
        <v>0</v>
      </c>
      <c r="O44" s="12"/>
      <c r="P44" s="8">
        <v>584.89</v>
      </c>
      <c r="Q44" s="3"/>
      <c r="R44" s="7">
        <f t="shared" si="16"/>
        <v>2.5800193515787507E-3</v>
      </c>
      <c r="S44" s="3"/>
      <c r="T44" s="8">
        <v>255.57</v>
      </c>
      <c r="U44" s="3"/>
      <c r="V44" s="7">
        <f t="shared" si="17"/>
        <v>1.1991880600152403E-2</v>
      </c>
      <c r="W44" s="3"/>
      <c r="X44" s="8">
        <f t="shared" si="18"/>
        <v>329.32</v>
      </c>
      <c r="Y44" s="3"/>
      <c r="Z44" s="7">
        <f t="shared" si="19"/>
        <v>1.2885706460069648</v>
      </c>
    </row>
    <row r="45" spans="1:26" s="69" customFormat="1" ht="15" hidden="1" customHeight="1" outlineLevel="2" x14ac:dyDescent="0.3">
      <c r="A45" s="26"/>
      <c r="B45" s="12" t="str">
        <f>CONCATENATE("          ","6114"," - ","STATE UNEMPLOYMENT INSURANCE")</f>
        <v xml:space="preserve">          6114 - STATE UNEMPLOYMENT INSURANCE</v>
      </c>
      <c r="C45" s="12"/>
      <c r="D45" s="8">
        <v>16.63</v>
      </c>
      <c r="E45" s="3"/>
      <c r="F45" s="7">
        <f t="shared" si="12"/>
        <v>4.1060106267406713E-4</v>
      </c>
      <c r="G45" s="3"/>
      <c r="H45" s="8"/>
      <c r="I45" s="3"/>
      <c r="J45" s="7">
        <f t="shared" si="13"/>
        <v>0</v>
      </c>
      <c r="K45" s="3"/>
      <c r="L45" s="8">
        <f t="shared" si="14"/>
        <v>16.63</v>
      </c>
      <c r="M45" s="3"/>
      <c r="N45" s="7">
        <f t="shared" si="15"/>
        <v>0</v>
      </c>
      <c r="O45" s="12"/>
      <c r="P45" s="8">
        <v>102.74</v>
      </c>
      <c r="Q45" s="3"/>
      <c r="R45" s="7">
        <f t="shared" si="16"/>
        <v>4.5319835897553531E-4</v>
      </c>
      <c r="S45" s="3"/>
      <c r="T45" s="8">
        <v>38.020000000000003</v>
      </c>
      <c r="U45" s="3"/>
      <c r="V45" s="7">
        <f t="shared" si="17"/>
        <v>1.7839781680862169E-3</v>
      </c>
      <c r="W45" s="3"/>
      <c r="X45" s="8">
        <f t="shared" si="18"/>
        <v>64.72</v>
      </c>
      <c r="Y45" s="3"/>
      <c r="Z45" s="7">
        <f t="shared" si="19"/>
        <v>1.7022619673855863</v>
      </c>
    </row>
    <row r="46" spans="1:26" s="69" customFormat="1" ht="15" hidden="1" customHeight="1" outlineLevel="2" x14ac:dyDescent="0.3">
      <c r="A46" s="26"/>
      <c r="B46" s="12" t="str">
        <f>CONCATENATE("          ","6118"," - ","VACATION")</f>
        <v xml:space="preserve">          6118 - VACATION</v>
      </c>
      <c r="C46" s="12"/>
      <c r="D46" s="8">
        <v>73.92</v>
      </c>
      <c r="E46" s="3"/>
      <c r="F46" s="7">
        <f t="shared" si="12"/>
        <v>1.8251130819523177E-3</v>
      </c>
      <c r="G46" s="3"/>
      <c r="H46" s="8"/>
      <c r="I46" s="3"/>
      <c r="J46" s="7">
        <f t="shared" si="13"/>
        <v>0</v>
      </c>
      <c r="K46" s="3"/>
      <c r="L46" s="8">
        <f t="shared" si="14"/>
        <v>73.92</v>
      </c>
      <c r="M46" s="3"/>
      <c r="N46" s="7">
        <f t="shared" si="15"/>
        <v>0</v>
      </c>
      <c r="O46" s="12"/>
      <c r="P46" s="8">
        <v>73.92</v>
      </c>
      <c r="Q46" s="3"/>
      <c r="R46" s="7">
        <f t="shared" si="16"/>
        <v>3.2606991138282626E-4</v>
      </c>
      <c r="S46" s="3"/>
      <c r="T46" s="8"/>
      <c r="U46" s="3"/>
      <c r="V46" s="7">
        <f t="shared" si="17"/>
        <v>0</v>
      </c>
      <c r="W46" s="3"/>
      <c r="X46" s="8">
        <f t="shared" si="18"/>
        <v>73.92</v>
      </c>
      <c r="Y46" s="3"/>
      <c r="Z46" s="7">
        <f t="shared" si="19"/>
        <v>0</v>
      </c>
    </row>
    <row r="47" spans="1:26" s="69" customFormat="1" ht="15" hidden="1" customHeight="1" outlineLevel="2" x14ac:dyDescent="0.3">
      <c r="A47" s="26"/>
      <c r="B47" s="12" t="str">
        <f>CONCATENATE("          ","6119"," - ","SICK LEAVE")</f>
        <v xml:space="preserve">          6119 - SICK LEAVE</v>
      </c>
      <c r="C47" s="12"/>
      <c r="D47" s="8">
        <v>88.56</v>
      </c>
      <c r="E47" s="3"/>
      <c r="F47" s="7">
        <f t="shared" si="12"/>
        <v>2.1865802832480691E-3</v>
      </c>
      <c r="G47" s="3"/>
      <c r="H47" s="8"/>
      <c r="I47" s="3"/>
      <c r="J47" s="7">
        <f t="shared" si="13"/>
        <v>0</v>
      </c>
      <c r="K47" s="3"/>
      <c r="L47" s="8">
        <f t="shared" si="14"/>
        <v>88.56</v>
      </c>
      <c r="M47" s="3"/>
      <c r="N47" s="7">
        <f t="shared" si="15"/>
        <v>0</v>
      </c>
      <c r="O47" s="12"/>
      <c r="P47" s="8">
        <v>88.56</v>
      </c>
      <c r="Q47" s="3"/>
      <c r="R47" s="7">
        <f t="shared" si="16"/>
        <v>3.9064869253332111E-4</v>
      </c>
      <c r="S47" s="3"/>
      <c r="T47" s="8"/>
      <c r="U47" s="3"/>
      <c r="V47" s="7">
        <f t="shared" si="17"/>
        <v>0</v>
      </c>
      <c r="W47" s="3"/>
      <c r="X47" s="8">
        <f t="shared" si="18"/>
        <v>88.56</v>
      </c>
      <c r="Y47" s="3"/>
      <c r="Z47" s="7">
        <f t="shared" si="19"/>
        <v>0</v>
      </c>
    </row>
    <row r="48" spans="1:26" s="69" customFormat="1" ht="15" hidden="1" customHeight="1" outlineLevel="2" x14ac:dyDescent="0.3">
      <c r="A48" s="26"/>
      <c r="B48" s="12" t="str">
        <f>CONCATENATE("          ","6156"," - ","EMPLOYEE MEALS")</f>
        <v xml:space="preserve">          6156 - EMPLOYEE MEALS</v>
      </c>
      <c r="C48" s="12"/>
      <c r="D48" s="8">
        <v>30.75</v>
      </c>
      <c r="E48" s="3"/>
      <c r="F48" s="7">
        <f t="shared" si="12"/>
        <v>7.592292650166906E-4</v>
      </c>
      <c r="G48" s="3"/>
      <c r="H48" s="8"/>
      <c r="I48" s="3"/>
      <c r="J48" s="7">
        <f t="shared" si="13"/>
        <v>0</v>
      </c>
      <c r="K48" s="3"/>
      <c r="L48" s="8">
        <f t="shared" si="14"/>
        <v>30.75</v>
      </c>
      <c r="M48" s="3"/>
      <c r="N48" s="7">
        <f t="shared" si="15"/>
        <v>0</v>
      </c>
      <c r="O48" s="12"/>
      <c r="P48" s="8">
        <v>30.75</v>
      </c>
      <c r="Q48" s="3"/>
      <c r="R48" s="7">
        <f t="shared" si="16"/>
        <v>1.3564190712962539E-4</v>
      </c>
      <c r="S48" s="3"/>
      <c r="T48" s="8"/>
      <c r="U48" s="3"/>
      <c r="V48" s="7">
        <f t="shared" si="17"/>
        <v>0</v>
      </c>
      <c r="W48" s="3"/>
      <c r="X48" s="8">
        <f t="shared" si="18"/>
        <v>30.75</v>
      </c>
      <c r="Y48" s="3"/>
      <c r="Z48" s="7">
        <f t="shared" si="19"/>
        <v>0</v>
      </c>
    </row>
    <row r="49" spans="1:26" s="68" customFormat="1" ht="15" customHeight="1" outlineLevel="1" collapsed="1" x14ac:dyDescent="0.3">
      <c r="A49" s="25"/>
      <c r="B49" s="14" t="str">
        <f>CONCATENATE("     ","*Payroll                                          ")</f>
        <v xml:space="preserve">     *Payroll                                          </v>
      </c>
      <c r="C49" s="14"/>
      <c r="D49" s="2">
        <f>SUM(OSRRefD22_1x_0)</f>
        <v>8302.7900000000009</v>
      </c>
      <c r="E49" s="2"/>
      <c r="F49" s="6">
        <f t="shared" si="12"/>
        <v>0.20499906176546112</v>
      </c>
      <c r="G49" s="2"/>
      <c r="H49" s="2">
        <f>SUM(OSRRefH22_1x_0)</f>
        <v>0</v>
      </c>
      <c r="I49" s="2"/>
      <c r="J49" s="6">
        <f t="shared" si="13"/>
        <v>0</v>
      </c>
      <c r="K49" s="2"/>
      <c r="L49" s="2">
        <f t="shared" si="14"/>
        <v>8302.7900000000009</v>
      </c>
      <c r="M49" s="2"/>
      <c r="N49" s="6">
        <f t="shared" si="15"/>
        <v>0</v>
      </c>
      <c r="O49" s="14"/>
      <c r="P49" s="2">
        <f>SUM(OSRRefP22_1x_0)</f>
        <v>41178.61</v>
      </c>
      <c r="Q49" s="2"/>
      <c r="R49" s="6">
        <f t="shared" si="16"/>
        <v>0.18164374612510772</v>
      </c>
      <c r="S49" s="2"/>
      <c r="T49" s="2">
        <f>SUM(OSRRefT22_1x_0)</f>
        <v>8152.5399999999991</v>
      </c>
      <c r="U49" s="2"/>
      <c r="V49" s="6">
        <f t="shared" si="17"/>
        <v>0.38253428128483963</v>
      </c>
      <c r="W49" s="2"/>
      <c r="X49" s="2">
        <f t="shared" si="18"/>
        <v>33026.07</v>
      </c>
      <c r="Y49" s="2"/>
      <c r="Z49" s="6">
        <f t="shared" si="19"/>
        <v>4.0510160023747206</v>
      </c>
    </row>
    <row r="50" spans="1:26" s="69" customFormat="1" ht="15" hidden="1" customHeight="1" outlineLevel="2" x14ac:dyDescent="0.3">
      <c r="A50" s="26"/>
      <c r="B50" s="12" t="str">
        <f>CONCATENATE("          ","6004"," - ","STAFF HOURLY")</f>
        <v xml:space="preserve">          6004 - STAFF HOURLY</v>
      </c>
      <c r="C50" s="12"/>
      <c r="D50" s="8">
        <v>1733.88</v>
      </c>
      <c r="E50" s="3"/>
      <c r="F50" s="7">
        <f t="shared" si="12"/>
        <v>4.2810160586248439E-2</v>
      </c>
      <c r="G50" s="3"/>
      <c r="H50" s="8"/>
      <c r="I50" s="3"/>
      <c r="J50" s="7">
        <f t="shared" si="13"/>
        <v>0</v>
      </c>
      <c r="K50" s="3"/>
      <c r="L50" s="8">
        <f t="shared" si="14"/>
        <v>1733.88</v>
      </c>
      <c r="M50" s="3"/>
      <c r="N50" s="7">
        <f t="shared" si="15"/>
        <v>0</v>
      </c>
      <c r="O50" s="12"/>
      <c r="P50" s="8">
        <v>2517.4899999999998</v>
      </c>
      <c r="Q50" s="3"/>
      <c r="R50" s="7">
        <f t="shared" si="16"/>
        <v>1.110494779771579E-2</v>
      </c>
      <c r="S50" s="3"/>
      <c r="T50" s="8"/>
      <c r="U50" s="3"/>
      <c r="V50" s="7">
        <f t="shared" si="17"/>
        <v>0</v>
      </c>
      <c r="W50" s="3"/>
      <c r="X50" s="8">
        <f t="shared" si="18"/>
        <v>2517.4899999999998</v>
      </c>
      <c r="Y50" s="3"/>
      <c r="Z50" s="7">
        <f t="shared" si="19"/>
        <v>0</v>
      </c>
    </row>
    <row r="51" spans="1:26" s="69" customFormat="1" ht="15" hidden="1" customHeight="1" outlineLevel="2" x14ac:dyDescent="0.3">
      <c r="A51" s="26"/>
      <c r="B51" s="12" t="str">
        <f>CONCATENATE("          ","6005"," - ","TEMPORARY WAGES-HOURLY")</f>
        <v xml:space="preserve">          6005 - TEMPORARY WAGES-HOURLY</v>
      </c>
      <c r="C51" s="12"/>
      <c r="D51" s="8">
        <v>2107.63</v>
      </c>
      <c r="E51" s="3"/>
      <c r="F51" s="7">
        <f t="shared" si="12"/>
        <v>5.2038191083809027E-2</v>
      </c>
      <c r="G51" s="3"/>
      <c r="H51" s="8"/>
      <c r="I51" s="3"/>
      <c r="J51" s="7">
        <f t="shared" si="13"/>
        <v>0</v>
      </c>
      <c r="K51" s="3"/>
      <c r="L51" s="8">
        <f t="shared" si="14"/>
        <v>2107.63</v>
      </c>
      <c r="M51" s="3"/>
      <c r="N51" s="7">
        <f t="shared" si="15"/>
        <v>0</v>
      </c>
      <c r="O51" s="12"/>
      <c r="P51" s="8">
        <v>5808.94</v>
      </c>
      <c r="Q51" s="3"/>
      <c r="R51" s="7">
        <f t="shared" si="16"/>
        <v>2.562392520330296E-2</v>
      </c>
      <c r="S51" s="3"/>
      <c r="T51" s="8">
        <v>5379.19</v>
      </c>
      <c r="U51" s="3"/>
      <c r="V51" s="7">
        <f t="shared" si="17"/>
        <v>0.25240288064144384</v>
      </c>
      <c r="W51" s="3"/>
      <c r="X51" s="8">
        <f t="shared" si="18"/>
        <v>429.75</v>
      </c>
      <c r="Y51" s="3"/>
      <c r="Z51" s="7">
        <f t="shared" si="19"/>
        <v>7.9891210386693917E-2</v>
      </c>
    </row>
    <row r="52" spans="1:26" s="69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3733.01</v>
      </c>
      <c r="E52" s="3"/>
      <c r="F52" s="7">
        <f t="shared" si="12"/>
        <v>9.2169445157722157E-2</v>
      </c>
      <c r="G52" s="3"/>
      <c r="H52" s="8"/>
      <c r="I52" s="3"/>
      <c r="J52" s="7">
        <f t="shared" si="13"/>
        <v>0</v>
      </c>
      <c r="K52" s="3"/>
      <c r="L52" s="8">
        <f t="shared" si="14"/>
        <v>3733.01</v>
      </c>
      <c r="M52" s="3"/>
      <c r="N52" s="7">
        <f t="shared" si="15"/>
        <v>0</v>
      </c>
      <c r="O52" s="12"/>
      <c r="P52" s="8">
        <v>26649.279999999999</v>
      </c>
      <c r="Q52" s="3"/>
      <c r="R52" s="7">
        <f t="shared" si="16"/>
        <v>0.11755314350671163</v>
      </c>
      <c r="S52" s="3"/>
      <c r="T52" s="8">
        <v>2773.35</v>
      </c>
      <c r="U52" s="3"/>
      <c r="V52" s="7">
        <f t="shared" si="17"/>
        <v>0.13013140064339582</v>
      </c>
      <c r="W52" s="3"/>
      <c r="X52" s="8">
        <f t="shared" si="18"/>
        <v>23875.93</v>
      </c>
      <c r="Y52" s="3"/>
      <c r="Z52" s="7">
        <f t="shared" si="19"/>
        <v>8.6090576378747734</v>
      </c>
    </row>
    <row r="53" spans="1:26" s="69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>
        <v>728.27</v>
      </c>
      <c r="E53" s="3"/>
      <c r="F53" s="7">
        <f t="shared" si="12"/>
        <v>1.7981264937681471E-2</v>
      </c>
      <c r="G53" s="3"/>
      <c r="H53" s="8"/>
      <c r="I53" s="3"/>
      <c r="J53" s="7">
        <f t="shared" si="13"/>
        <v>0</v>
      </c>
      <c r="K53" s="3"/>
      <c r="L53" s="8">
        <f t="shared" si="14"/>
        <v>728.27</v>
      </c>
      <c r="M53" s="3"/>
      <c r="N53" s="7">
        <f t="shared" si="15"/>
        <v>0</v>
      </c>
      <c r="O53" s="12"/>
      <c r="P53" s="8">
        <v>6202.9</v>
      </c>
      <c r="Q53" s="3"/>
      <c r="R53" s="7">
        <f t="shared" si="16"/>
        <v>2.7361729617377338E-2</v>
      </c>
      <c r="S53" s="3"/>
      <c r="T53" s="8"/>
      <c r="U53" s="3"/>
      <c r="V53" s="7">
        <f t="shared" si="17"/>
        <v>0</v>
      </c>
      <c r="W53" s="3"/>
      <c r="X53" s="8">
        <f t="shared" si="18"/>
        <v>6202.9</v>
      </c>
      <c r="Y53" s="3"/>
      <c r="Z53" s="7">
        <f t="shared" si="19"/>
        <v>0</v>
      </c>
    </row>
    <row r="54" spans="1:26" s="68" customFormat="1" ht="15" customHeight="1" outlineLevel="1" collapsed="1" x14ac:dyDescent="0.3">
      <c r="A54" s="25"/>
      <c r="B54" s="14" t="str">
        <f>CONCATENATE("     ","Advertising/Promo                                 ")</f>
        <v xml:space="preserve">     Advertising/Promo                                 </v>
      </c>
      <c r="C54" s="14"/>
      <c r="D54" s="2">
        <f>SUM(OSRRefD22_2x_0)</f>
        <v>0</v>
      </c>
      <c r="E54" s="2"/>
      <c r="F54" s="6">
        <f t="shared" si="12"/>
        <v>0</v>
      </c>
      <c r="G54" s="2"/>
      <c r="H54" s="2">
        <f>SUM(OSRRefH22_2x_0)</f>
        <v>0</v>
      </c>
      <c r="I54" s="2"/>
      <c r="J54" s="6">
        <f t="shared" si="13"/>
        <v>0</v>
      </c>
      <c r="K54" s="2"/>
      <c r="L54" s="2">
        <f t="shared" si="14"/>
        <v>0</v>
      </c>
      <c r="M54" s="2"/>
      <c r="N54" s="6">
        <f t="shared" si="15"/>
        <v>0</v>
      </c>
      <c r="O54" s="14"/>
      <c r="P54" s="2">
        <f>SUM(OSRRefP22_2x_0)</f>
        <v>1669.12</v>
      </c>
      <c r="Q54" s="2"/>
      <c r="R54" s="6">
        <f t="shared" si="16"/>
        <v>7.3626868301853755E-3</v>
      </c>
      <c r="S54" s="2"/>
      <c r="T54" s="2">
        <f>SUM(OSRRefT22_2x_0)</f>
        <v>124.72</v>
      </c>
      <c r="U54" s="2"/>
      <c r="V54" s="6">
        <f t="shared" si="17"/>
        <v>5.8521240695347957E-3</v>
      </c>
      <c r="W54" s="2"/>
      <c r="X54" s="2">
        <f t="shared" si="18"/>
        <v>1544.3999999999999</v>
      </c>
      <c r="Y54" s="2"/>
      <c r="Z54" s="6">
        <f t="shared" si="19"/>
        <v>12.382937780628607</v>
      </c>
    </row>
    <row r="55" spans="1:26" s="69" customFormat="1" ht="15" hidden="1" customHeight="1" outlineLevel="2" x14ac:dyDescent="0.3">
      <c r="A55" s="26"/>
      <c r="B55" s="12" t="str">
        <f>CONCATENATE("          ","6362"," - ","ADVERTISING EXPENSE")</f>
        <v xml:space="preserve">          6362 - ADVERTISING EXPENSE</v>
      </c>
      <c r="C55" s="12"/>
      <c r="D55" s="8"/>
      <c r="E55" s="3"/>
      <c r="F55" s="7">
        <f t="shared" si="12"/>
        <v>0</v>
      </c>
      <c r="G55" s="3"/>
      <c r="H55" s="8"/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>
        <v>1669.12</v>
      </c>
      <c r="Q55" s="3"/>
      <c r="R55" s="7">
        <f t="shared" si="16"/>
        <v>7.3626868301853755E-3</v>
      </c>
      <c r="S55" s="3"/>
      <c r="T55" s="8">
        <v>124.72</v>
      </c>
      <c r="U55" s="3"/>
      <c r="V55" s="7">
        <f t="shared" si="17"/>
        <v>5.8521240695347957E-3</v>
      </c>
      <c r="W55" s="3"/>
      <c r="X55" s="8">
        <f t="shared" si="18"/>
        <v>1544.3999999999999</v>
      </c>
      <c r="Y55" s="3"/>
      <c r="Z55" s="7">
        <f t="shared" si="19"/>
        <v>12.382937780628607</v>
      </c>
    </row>
    <row r="56" spans="1:26" s="68" customFormat="1" ht="15" customHeight="1" outlineLevel="1" collapsed="1" x14ac:dyDescent="0.3">
      <c r="A56" s="25"/>
      <c r="B56" s="14" t="str">
        <f>CONCATENATE("     ","Bad Debts/Over/Short                              ")</f>
        <v xml:space="preserve">     Bad Debts/Over/Short                              </v>
      </c>
      <c r="C56" s="14"/>
      <c r="D56" s="2">
        <f>SUM(OSRRefD22_3x_0)</f>
        <v>1.3</v>
      </c>
      <c r="E56" s="2"/>
      <c r="F56" s="6">
        <f t="shared" si="12"/>
        <v>3.2097497382819441E-5</v>
      </c>
      <c r="G56" s="2"/>
      <c r="H56" s="2">
        <f>SUM(OSRRefH22_3x_0)</f>
        <v>0</v>
      </c>
      <c r="I56" s="2"/>
      <c r="J56" s="6">
        <f t="shared" si="13"/>
        <v>0</v>
      </c>
      <c r="K56" s="2"/>
      <c r="L56" s="2">
        <f t="shared" si="14"/>
        <v>1.3</v>
      </c>
      <c r="M56" s="2"/>
      <c r="N56" s="6">
        <f t="shared" si="15"/>
        <v>0</v>
      </c>
      <c r="O56" s="14"/>
      <c r="P56" s="2">
        <f>SUM(OSRRefP22_3x_0)</f>
        <v>-8.01</v>
      </c>
      <c r="Q56" s="2"/>
      <c r="R56" s="6">
        <f t="shared" si="16"/>
        <v>-3.5333062637668268E-5</v>
      </c>
      <c r="S56" s="2"/>
      <c r="T56" s="2">
        <f>SUM(OSRRefT22_3x_0)</f>
        <v>1.1000000000000001</v>
      </c>
      <c r="U56" s="2"/>
      <c r="V56" s="6">
        <f t="shared" si="17"/>
        <v>5.1614307861516002E-5</v>
      </c>
      <c r="W56" s="2"/>
      <c r="X56" s="2">
        <f t="shared" si="18"/>
        <v>-9.11</v>
      </c>
      <c r="Y56" s="2"/>
      <c r="Z56" s="6">
        <f t="shared" si="19"/>
        <v>-8.2818181818181813</v>
      </c>
    </row>
    <row r="57" spans="1:26" s="69" customFormat="1" ht="15" hidden="1" customHeight="1" outlineLevel="2" x14ac:dyDescent="0.3">
      <c r="A57" s="26"/>
      <c r="B57" s="12" t="str">
        <f>CONCATENATE("          ","6272"," - ","CASH (OVER/SHORT)")</f>
        <v xml:space="preserve">          6272 - CASH (OVER/SHORT)</v>
      </c>
      <c r="C57" s="12"/>
      <c r="D57" s="8">
        <v>1.3</v>
      </c>
      <c r="E57" s="3"/>
      <c r="F57" s="7">
        <f t="shared" si="12"/>
        <v>3.2097497382819441E-5</v>
      </c>
      <c r="G57" s="3"/>
      <c r="H57" s="8"/>
      <c r="I57" s="3"/>
      <c r="J57" s="7">
        <f t="shared" si="13"/>
        <v>0</v>
      </c>
      <c r="K57" s="3"/>
      <c r="L57" s="8">
        <f t="shared" si="14"/>
        <v>1.3</v>
      </c>
      <c r="M57" s="3"/>
      <c r="N57" s="7">
        <f t="shared" si="15"/>
        <v>0</v>
      </c>
      <c r="O57" s="12"/>
      <c r="P57" s="8">
        <v>-8.01</v>
      </c>
      <c r="Q57" s="3"/>
      <c r="R57" s="7">
        <f t="shared" si="16"/>
        <v>-3.5333062637668268E-5</v>
      </c>
      <c r="S57" s="3"/>
      <c r="T57" s="8">
        <v>1.1000000000000001</v>
      </c>
      <c r="U57" s="3"/>
      <c r="V57" s="7">
        <f t="shared" si="17"/>
        <v>5.1614307861516002E-5</v>
      </c>
      <c r="W57" s="3"/>
      <c r="X57" s="8">
        <f t="shared" si="18"/>
        <v>-9.11</v>
      </c>
      <c r="Y57" s="3"/>
      <c r="Z57" s="7">
        <f t="shared" si="19"/>
        <v>-8.2818181818181813</v>
      </c>
    </row>
    <row r="58" spans="1:26" s="68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SUM(OSRRefD22_4x_0)</f>
        <v>-20.86</v>
      </c>
      <c r="E58" s="2"/>
      <c r="F58" s="6">
        <f t="shared" si="12"/>
        <v>-5.1504138108124115E-4</v>
      </c>
      <c r="G58" s="2"/>
      <c r="H58" s="2">
        <f>SUM(OSRRefH22_4x_0)</f>
        <v>0</v>
      </c>
      <c r="I58" s="2"/>
      <c r="J58" s="6">
        <f t="shared" si="13"/>
        <v>0</v>
      </c>
      <c r="K58" s="2"/>
      <c r="L58" s="2">
        <f t="shared" si="14"/>
        <v>-20.86</v>
      </c>
      <c r="M58" s="2"/>
      <c r="N58" s="6">
        <f t="shared" si="15"/>
        <v>0</v>
      </c>
      <c r="O58" s="14"/>
      <c r="P58" s="2">
        <f>SUM(OSRRefP22_4x_0)</f>
        <v>-21.53</v>
      </c>
      <c r="Q58" s="2"/>
      <c r="R58" s="6">
        <f t="shared" si="16"/>
        <v>-9.497139058539299E-5</v>
      </c>
      <c r="S58" s="2"/>
      <c r="T58" s="2">
        <f>SUM(OSRRefT22_4x_0)</f>
        <v>0</v>
      </c>
      <c r="U58" s="2"/>
      <c r="V58" s="6">
        <f t="shared" si="17"/>
        <v>0</v>
      </c>
      <c r="W58" s="2"/>
      <c r="X58" s="2">
        <f t="shared" si="18"/>
        <v>-21.53</v>
      </c>
      <c r="Y58" s="2"/>
      <c r="Z58" s="6">
        <f t="shared" si="19"/>
        <v>0</v>
      </c>
    </row>
    <row r="59" spans="1:26" s="69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69" customFormat="1" ht="15" hidden="1" customHeight="1" outlineLevel="2" x14ac:dyDescent="0.3">
      <c r="A60" s="26"/>
      <c r="B60" s="12" t="str">
        <f>CONCATENATE("          ","9175"," - ","EARNED DISCOUNTS")</f>
        <v xml:space="preserve">          9175 - EARNED DISCOUNTS</v>
      </c>
      <c r="C60" s="12"/>
      <c r="D60" s="8">
        <v>-20.86</v>
      </c>
      <c r="E60" s="3"/>
      <c r="F60" s="7">
        <f t="shared" si="12"/>
        <v>-5.1504138108124115E-4</v>
      </c>
      <c r="G60" s="3"/>
      <c r="H60" s="8"/>
      <c r="I60" s="3"/>
      <c r="J60" s="7">
        <f t="shared" si="13"/>
        <v>0</v>
      </c>
      <c r="K60" s="3"/>
      <c r="L60" s="8">
        <f t="shared" si="14"/>
        <v>-20.86</v>
      </c>
      <c r="M60" s="3"/>
      <c r="N60" s="7">
        <f t="shared" si="15"/>
        <v>0</v>
      </c>
      <c r="O60" s="12"/>
      <c r="P60" s="8">
        <v>-21.53</v>
      </c>
      <c r="Q60" s="3"/>
      <c r="R60" s="7">
        <f t="shared" si="16"/>
        <v>-9.497139058539299E-5</v>
      </c>
      <c r="S60" s="3"/>
      <c r="T60" s="8">
        <v>0</v>
      </c>
      <c r="U60" s="3"/>
      <c r="V60" s="7">
        <f t="shared" si="17"/>
        <v>0</v>
      </c>
      <c r="W60" s="3"/>
      <c r="X60" s="8">
        <f t="shared" si="18"/>
        <v>-21.53</v>
      </c>
      <c r="Y60" s="3"/>
      <c r="Z60" s="7">
        <f t="shared" si="19"/>
        <v>0</v>
      </c>
    </row>
    <row r="61" spans="1:26" s="68" customFormat="1" ht="15" customHeight="1" outlineLevel="1" collapsed="1" x14ac:dyDescent="0.3">
      <c r="A61" s="25"/>
      <c r="B61" s="14" t="str">
        <f>CONCATENATE("     ","Freight out/Postage                               ")</f>
        <v xml:space="preserve">     Freight out/Postage                               </v>
      </c>
      <c r="C61" s="14"/>
      <c r="D61" s="2">
        <f>SUM(OSRRefD22_5x_0)</f>
        <v>0</v>
      </c>
      <c r="E61" s="2"/>
      <c r="F61" s="6">
        <f t="shared" si="12"/>
        <v>0</v>
      </c>
      <c r="G61" s="2"/>
      <c r="H61" s="2">
        <f>SUM(OSRRefH22_5x_0)</f>
        <v>0</v>
      </c>
      <c r="I61" s="2"/>
      <c r="J61" s="6">
        <f t="shared" si="13"/>
        <v>0</v>
      </c>
      <c r="K61" s="2"/>
      <c r="L61" s="2">
        <f t="shared" si="14"/>
        <v>0</v>
      </c>
      <c r="M61" s="2"/>
      <c r="N61" s="6">
        <f t="shared" si="15"/>
        <v>0</v>
      </c>
      <c r="O61" s="14"/>
      <c r="P61" s="2">
        <f>SUM(OSRRefP22_5x_0)</f>
        <v>54.5</v>
      </c>
      <c r="Q61" s="2"/>
      <c r="R61" s="6">
        <f t="shared" si="16"/>
        <v>2.4040598174193765E-4</v>
      </c>
      <c r="S61" s="2"/>
      <c r="T61" s="2">
        <f>SUM(OSRRefT22_5x_0)</f>
        <v>0</v>
      </c>
      <c r="U61" s="2"/>
      <c r="V61" s="6">
        <f t="shared" si="17"/>
        <v>0</v>
      </c>
      <c r="W61" s="2"/>
      <c r="X61" s="2">
        <f t="shared" si="18"/>
        <v>54.5</v>
      </c>
      <c r="Y61" s="2"/>
      <c r="Z61" s="6">
        <f t="shared" si="19"/>
        <v>0</v>
      </c>
    </row>
    <row r="62" spans="1:26" s="69" customFormat="1" ht="15" hidden="1" customHeight="1" outlineLevel="2" x14ac:dyDescent="0.3">
      <c r="A62" s="26"/>
      <c r="B62" s="12" t="str">
        <f>CONCATENATE("          ","6307"," - ","POSTAGE")</f>
        <v xml:space="preserve">          6307 - POSTAGE</v>
      </c>
      <c r="C62" s="12"/>
      <c r="D62" s="8"/>
      <c r="E62" s="3"/>
      <c r="F62" s="7">
        <f t="shared" si="12"/>
        <v>0</v>
      </c>
      <c r="G62" s="3"/>
      <c r="H62" s="8"/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>
        <v>54.5</v>
      </c>
      <c r="Q62" s="3"/>
      <c r="R62" s="7">
        <f t="shared" si="16"/>
        <v>2.4040598174193765E-4</v>
      </c>
      <c r="S62" s="3"/>
      <c r="T62" s="8"/>
      <c r="U62" s="3"/>
      <c r="V62" s="7">
        <f t="shared" si="17"/>
        <v>0</v>
      </c>
      <c r="W62" s="3"/>
      <c r="X62" s="8">
        <f t="shared" si="18"/>
        <v>54.5</v>
      </c>
      <c r="Y62" s="3"/>
      <c r="Z62" s="7">
        <f t="shared" si="19"/>
        <v>0</v>
      </c>
    </row>
    <row r="63" spans="1:26" s="68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SUM(OSRRefD22_6x_0)</f>
        <v>734.55</v>
      </c>
      <c r="E63" s="2"/>
      <c r="F63" s="6">
        <f t="shared" si="12"/>
        <v>1.8136320540423089E-2</v>
      </c>
      <c r="G63" s="2"/>
      <c r="H63" s="2">
        <f>SUM(OSRRefH22_6x_0)</f>
        <v>0</v>
      </c>
      <c r="I63" s="2"/>
      <c r="J63" s="6">
        <f t="shared" si="13"/>
        <v>0</v>
      </c>
      <c r="K63" s="2"/>
      <c r="L63" s="2">
        <f t="shared" si="14"/>
        <v>734.55</v>
      </c>
      <c r="M63" s="2"/>
      <c r="N63" s="6">
        <f t="shared" si="15"/>
        <v>0</v>
      </c>
      <c r="O63" s="14"/>
      <c r="P63" s="2">
        <f>SUM(OSRRefP22_6x_0)</f>
        <v>1122.5899999999999</v>
      </c>
      <c r="Q63" s="2"/>
      <c r="R63" s="6">
        <f t="shared" si="16"/>
        <v>4.9518780008015002E-3</v>
      </c>
      <c r="S63" s="2"/>
      <c r="T63" s="2">
        <f>SUM(OSRRefT22_6x_0)</f>
        <v>879.55</v>
      </c>
      <c r="U63" s="2"/>
      <c r="V63" s="6">
        <f t="shared" si="17"/>
        <v>4.1270331345087632E-2</v>
      </c>
      <c r="W63" s="2"/>
      <c r="X63" s="2">
        <f t="shared" si="18"/>
        <v>243.03999999999996</v>
      </c>
      <c r="Y63" s="2"/>
      <c r="Z63" s="6">
        <f t="shared" si="19"/>
        <v>0.27632311977715873</v>
      </c>
    </row>
    <row r="64" spans="1:26" s="69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8">
        <v>734.55</v>
      </c>
      <c r="E64" s="3"/>
      <c r="F64" s="7">
        <f t="shared" si="12"/>
        <v>1.8136320540423089E-2</v>
      </c>
      <c r="G64" s="3"/>
      <c r="H64" s="8"/>
      <c r="I64" s="3"/>
      <c r="J64" s="7">
        <f t="shared" si="13"/>
        <v>0</v>
      </c>
      <c r="K64" s="3"/>
      <c r="L64" s="8">
        <f t="shared" si="14"/>
        <v>734.55</v>
      </c>
      <c r="M64" s="3"/>
      <c r="N64" s="7">
        <f t="shared" si="15"/>
        <v>0</v>
      </c>
      <c r="O64" s="12"/>
      <c r="P64" s="8">
        <v>1122.5899999999999</v>
      </c>
      <c r="Q64" s="3"/>
      <c r="R64" s="7">
        <f t="shared" si="16"/>
        <v>4.9518780008015002E-3</v>
      </c>
      <c r="S64" s="3"/>
      <c r="T64" s="8">
        <v>879.55</v>
      </c>
      <c r="U64" s="3"/>
      <c r="V64" s="7">
        <f t="shared" si="17"/>
        <v>4.1270331345087632E-2</v>
      </c>
      <c r="W64" s="3"/>
      <c r="X64" s="8">
        <f t="shared" si="18"/>
        <v>243.03999999999996</v>
      </c>
      <c r="Y64" s="3"/>
      <c r="Z64" s="7">
        <f t="shared" si="19"/>
        <v>0.27632311977715873</v>
      </c>
    </row>
    <row r="65" spans="1:26" s="68" customFormat="1" ht="15" customHeight="1" outlineLevel="1" collapsed="1" x14ac:dyDescent="0.3">
      <c r="A65" s="25"/>
      <c r="B65" s="14" t="str">
        <f>CONCATENATE("     ","Inventory Adjustment                              ")</f>
        <v xml:space="preserve">     Inventory Adjustment                              </v>
      </c>
      <c r="C65" s="14"/>
      <c r="D65" s="2">
        <f>SUM(OSRRefD22_7x_0)</f>
        <v>650</v>
      </c>
      <c r="E65" s="2"/>
      <c r="F65" s="6">
        <f t="shared" si="12"/>
        <v>1.6048748691409719E-2</v>
      </c>
      <c r="G65" s="2"/>
      <c r="H65" s="2">
        <f>SUM(OSRRefH22_7x_0)</f>
        <v>0</v>
      </c>
      <c r="I65" s="2"/>
      <c r="J65" s="6">
        <f t="shared" si="13"/>
        <v>0</v>
      </c>
      <c r="K65" s="2"/>
      <c r="L65" s="2">
        <f t="shared" si="14"/>
        <v>650</v>
      </c>
      <c r="M65" s="2"/>
      <c r="N65" s="6">
        <f t="shared" si="15"/>
        <v>0</v>
      </c>
      <c r="O65" s="14"/>
      <c r="P65" s="2">
        <f>SUM(OSRRefP22_7x_0)</f>
        <v>6500</v>
      </c>
      <c r="Q65" s="2"/>
      <c r="R65" s="6">
        <f t="shared" si="16"/>
        <v>2.867227305179073E-2</v>
      </c>
      <c r="S65" s="2"/>
      <c r="T65" s="2">
        <f>SUM(OSRRefT22_7x_0)</f>
        <v>0</v>
      </c>
      <c r="U65" s="2"/>
      <c r="V65" s="6">
        <f t="shared" si="17"/>
        <v>0</v>
      </c>
      <c r="W65" s="2"/>
      <c r="X65" s="2">
        <f t="shared" si="18"/>
        <v>6500</v>
      </c>
      <c r="Y65" s="2"/>
      <c r="Z65" s="6">
        <f t="shared" si="19"/>
        <v>0</v>
      </c>
    </row>
    <row r="66" spans="1:26" s="69" customFormat="1" ht="15" hidden="1" customHeight="1" outlineLevel="2" x14ac:dyDescent="0.3">
      <c r="A66" s="26"/>
      <c r="B66" s="12" t="str">
        <f>CONCATENATE("          ","6408"," - ","INVENTORY ADJUSTMENT")</f>
        <v xml:space="preserve">          6408 - INVENTORY ADJUSTMENT</v>
      </c>
      <c r="C66" s="12"/>
      <c r="D66" s="8">
        <v>650</v>
      </c>
      <c r="E66" s="3"/>
      <c r="F66" s="7">
        <f t="shared" si="12"/>
        <v>1.6048748691409719E-2</v>
      </c>
      <c r="G66" s="3"/>
      <c r="H66" s="8"/>
      <c r="I66" s="3"/>
      <c r="J66" s="7">
        <f t="shared" si="13"/>
        <v>0</v>
      </c>
      <c r="K66" s="3"/>
      <c r="L66" s="8">
        <f t="shared" si="14"/>
        <v>650</v>
      </c>
      <c r="M66" s="3"/>
      <c r="N66" s="7">
        <f t="shared" si="15"/>
        <v>0</v>
      </c>
      <c r="O66" s="12"/>
      <c r="P66" s="8">
        <v>6500</v>
      </c>
      <c r="Q66" s="3"/>
      <c r="R66" s="7">
        <f t="shared" si="16"/>
        <v>2.867227305179073E-2</v>
      </c>
      <c r="S66" s="3"/>
      <c r="T66" s="8"/>
      <c r="U66" s="3"/>
      <c r="V66" s="7">
        <f t="shared" si="17"/>
        <v>0</v>
      </c>
      <c r="W66" s="3"/>
      <c r="X66" s="8">
        <f t="shared" si="18"/>
        <v>6500</v>
      </c>
      <c r="Y66" s="3"/>
      <c r="Z66" s="7">
        <f t="shared" si="19"/>
        <v>0</v>
      </c>
    </row>
    <row r="67" spans="1:26" s="68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SUM(OSRRefD22_8x_0)</f>
        <v>0</v>
      </c>
      <c r="E67" s="2"/>
      <c r="F67" s="6">
        <f t="shared" si="12"/>
        <v>0</v>
      </c>
      <c r="G67" s="2"/>
      <c r="H67" s="2">
        <f>SUM(OSRRefH22_8x_0)</f>
        <v>0</v>
      </c>
      <c r="I67" s="2"/>
      <c r="J67" s="6">
        <f t="shared" si="13"/>
        <v>0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SUM(OSRRefP22_8x_0)</f>
        <v>1057.25</v>
      </c>
      <c r="Q67" s="2"/>
      <c r="R67" s="6">
        <f t="shared" si="16"/>
        <v>4.663655489847038E-3</v>
      </c>
      <c r="S67" s="2"/>
      <c r="T67" s="2">
        <f>SUM(OSRRefT22_8x_0)</f>
        <v>261.93</v>
      </c>
      <c r="U67" s="2"/>
      <c r="V67" s="6">
        <f t="shared" si="17"/>
        <v>1.2290305143788078E-2</v>
      </c>
      <c r="W67" s="2"/>
      <c r="X67" s="2">
        <f t="shared" si="18"/>
        <v>795.31999999999994</v>
      </c>
      <c r="Y67" s="2"/>
      <c r="Z67" s="6">
        <f t="shared" si="19"/>
        <v>3.0363837666552129</v>
      </c>
    </row>
    <row r="68" spans="1:26" s="69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>
        <v>339.23</v>
      </c>
      <c r="Q68" s="3"/>
      <c r="R68" s="7">
        <f t="shared" si="16"/>
        <v>1.4963838749783031E-3</v>
      </c>
      <c r="S68" s="3"/>
      <c r="T68" s="8">
        <v>261.93</v>
      </c>
      <c r="U68" s="3"/>
      <c r="V68" s="7">
        <f t="shared" si="17"/>
        <v>1.2290305143788078E-2</v>
      </c>
      <c r="W68" s="3"/>
      <c r="X68" s="8">
        <f t="shared" si="18"/>
        <v>77.300000000000011</v>
      </c>
      <c r="Y68" s="3"/>
      <c r="Z68" s="7">
        <f t="shared" si="19"/>
        <v>0.29511701599664036</v>
      </c>
    </row>
    <row r="69" spans="1:26" s="69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718.02</v>
      </c>
      <c r="Q69" s="3"/>
      <c r="R69" s="7">
        <f t="shared" si="16"/>
        <v>3.1672716148687351E-3</v>
      </c>
      <c r="S69" s="3"/>
      <c r="T69" s="8"/>
      <c r="U69" s="3"/>
      <c r="V69" s="7">
        <f t="shared" si="17"/>
        <v>0</v>
      </c>
      <c r="W69" s="3"/>
      <c r="X69" s="8">
        <f t="shared" si="18"/>
        <v>718.02</v>
      </c>
      <c r="Y69" s="3"/>
      <c r="Z69" s="7">
        <f t="shared" si="19"/>
        <v>0</v>
      </c>
    </row>
    <row r="70" spans="1:26" s="68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SUM(OSRRefD22_9x_0)</f>
        <v>204.81</v>
      </c>
      <c r="E70" s="2"/>
      <c r="F70" s="6">
        <f t="shared" si="12"/>
        <v>5.0568372607501921E-3</v>
      </c>
      <c r="G70" s="2"/>
      <c r="H70" s="2">
        <f>SUM(OSRRefH22_9x_0)</f>
        <v>0</v>
      </c>
      <c r="I70" s="2"/>
      <c r="J70" s="6">
        <f t="shared" si="13"/>
        <v>0</v>
      </c>
      <c r="K70" s="2"/>
      <c r="L70" s="2">
        <f t="shared" si="14"/>
        <v>204.81</v>
      </c>
      <c r="M70" s="2"/>
      <c r="N70" s="6">
        <f t="shared" si="15"/>
        <v>0</v>
      </c>
      <c r="O70" s="14"/>
      <c r="P70" s="2">
        <f>SUM(OSRRefP22_9x_0)</f>
        <v>4384.92</v>
      </c>
      <c r="Q70" s="2"/>
      <c r="R70" s="6">
        <f t="shared" si="16"/>
        <v>1.9342403623116646E-2</v>
      </c>
      <c r="S70" s="2"/>
      <c r="T70" s="2">
        <f>SUM(OSRRefT22_9x_0)</f>
        <v>18.5</v>
      </c>
      <c r="U70" s="2"/>
      <c r="V70" s="6">
        <f t="shared" si="17"/>
        <v>8.6805881403458724E-4</v>
      </c>
      <c r="W70" s="2"/>
      <c r="X70" s="2">
        <f t="shared" si="18"/>
        <v>4366.42</v>
      </c>
      <c r="Y70" s="2"/>
      <c r="Z70" s="6">
        <f t="shared" si="19"/>
        <v>236.0227027027027</v>
      </c>
    </row>
    <row r="71" spans="1:26" s="69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8">
        <v>69</v>
      </c>
      <c r="E71" s="3"/>
      <c r="F71" s="7">
        <f t="shared" si="12"/>
        <v>1.7036363995496472E-3</v>
      </c>
      <c r="G71" s="3"/>
      <c r="H71" s="8"/>
      <c r="I71" s="3"/>
      <c r="J71" s="7">
        <f t="shared" si="13"/>
        <v>0</v>
      </c>
      <c r="K71" s="3"/>
      <c r="L71" s="8">
        <f t="shared" si="14"/>
        <v>69</v>
      </c>
      <c r="M71" s="3"/>
      <c r="N71" s="7">
        <f t="shared" si="15"/>
        <v>0</v>
      </c>
      <c r="O71" s="12"/>
      <c r="P71" s="8">
        <v>905.6</v>
      </c>
      <c r="Q71" s="3"/>
      <c r="R71" s="7">
        <f t="shared" si="16"/>
        <v>3.9947093039541057E-3</v>
      </c>
      <c r="S71" s="3"/>
      <c r="T71" s="8">
        <v>176</v>
      </c>
      <c r="U71" s="3"/>
      <c r="V71" s="7">
        <f t="shared" si="17"/>
        <v>8.2582892578425601E-3</v>
      </c>
      <c r="W71" s="3"/>
      <c r="X71" s="8">
        <f t="shared" si="18"/>
        <v>729.6</v>
      </c>
      <c r="Y71" s="3"/>
      <c r="Z71" s="7">
        <f t="shared" si="19"/>
        <v>4.1454545454545455</v>
      </c>
    </row>
    <row r="72" spans="1:26" s="69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8">
        <v>135.81</v>
      </c>
      <c r="E72" s="3"/>
      <c r="F72" s="7">
        <f t="shared" si="12"/>
        <v>3.3532008612005447E-3</v>
      </c>
      <c r="G72" s="3"/>
      <c r="H72" s="8"/>
      <c r="I72" s="3"/>
      <c r="J72" s="7">
        <f t="shared" si="13"/>
        <v>0</v>
      </c>
      <c r="K72" s="3"/>
      <c r="L72" s="8">
        <f t="shared" si="14"/>
        <v>135.81</v>
      </c>
      <c r="M72" s="3"/>
      <c r="N72" s="7">
        <f t="shared" si="15"/>
        <v>0</v>
      </c>
      <c r="O72" s="12"/>
      <c r="P72" s="8">
        <v>3479.32</v>
      </c>
      <c r="Q72" s="3"/>
      <c r="R72" s="7">
        <f t="shared" si="16"/>
        <v>1.5347694319162542E-2</v>
      </c>
      <c r="S72" s="3"/>
      <c r="T72" s="8">
        <v>-157.5</v>
      </c>
      <c r="U72" s="3"/>
      <c r="V72" s="7">
        <f t="shared" si="17"/>
        <v>-7.3902304438079732E-3</v>
      </c>
      <c r="W72" s="3"/>
      <c r="X72" s="8">
        <f t="shared" si="18"/>
        <v>3636.82</v>
      </c>
      <c r="Y72" s="3"/>
      <c r="Z72" s="7">
        <f t="shared" si="19"/>
        <v>-23.090920634920636</v>
      </c>
    </row>
    <row r="73" spans="1:26" s="68" customFormat="1" ht="15" customHeight="1" outlineLevel="1" collapsed="1" x14ac:dyDescent="0.3">
      <c r="A73" s="2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SUM(OSRRefD22_10x_0)</f>
        <v>0</v>
      </c>
      <c r="E73" s="2"/>
      <c r="F73" s="6">
        <f t="shared" si="12"/>
        <v>0</v>
      </c>
      <c r="G73" s="2"/>
      <c r="H73" s="2">
        <f>SUM(OSRRefH22_10x_0)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SUM(OSRRefP22_10x_0)</f>
        <v>45.27</v>
      </c>
      <c r="Q73" s="2"/>
      <c r="R73" s="6">
        <f t="shared" si="16"/>
        <v>1.9969135400839483E-4</v>
      </c>
      <c r="S73" s="2"/>
      <c r="T73" s="2">
        <f>SUM(OSRRefT22_10x_0)</f>
        <v>0</v>
      </c>
      <c r="U73" s="2"/>
      <c r="V73" s="6">
        <f t="shared" si="17"/>
        <v>0</v>
      </c>
      <c r="W73" s="2"/>
      <c r="X73" s="2">
        <f t="shared" si="18"/>
        <v>45.27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","6258"," - ","MEMBERSHIP DUES")</f>
        <v xml:space="preserve">          6258 - MEMBERSHIP DUES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45.27</v>
      </c>
      <c r="Q74" s="3"/>
      <c r="R74" s="7">
        <f t="shared" si="16"/>
        <v>1.9969135400839483E-4</v>
      </c>
      <c r="S74" s="3"/>
      <c r="T74" s="8"/>
      <c r="U74" s="3"/>
      <c r="V74" s="7">
        <f t="shared" si="17"/>
        <v>0</v>
      </c>
      <c r="W74" s="3"/>
      <c r="X74" s="8">
        <f t="shared" si="18"/>
        <v>45.27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SUM(OSRRefD22_11x_0)</f>
        <v>170.98</v>
      </c>
      <c r="E75" s="2"/>
      <c r="F75" s="6">
        <f t="shared" si="12"/>
        <v>4.2215616173188215E-3</v>
      </c>
      <c r="G75" s="2"/>
      <c r="H75" s="2">
        <f>SUM(OSRRefH22_11x_0)</f>
        <v>0</v>
      </c>
      <c r="I75" s="2"/>
      <c r="J75" s="6">
        <f t="shared" si="13"/>
        <v>0</v>
      </c>
      <c r="K75" s="2"/>
      <c r="L75" s="2">
        <f t="shared" si="14"/>
        <v>170.98</v>
      </c>
      <c r="M75" s="2"/>
      <c r="N75" s="6">
        <f t="shared" si="15"/>
        <v>0</v>
      </c>
      <c r="O75" s="14"/>
      <c r="P75" s="2">
        <f>SUM(OSRRefP22_11x_0)</f>
        <v>1918.4699999999998</v>
      </c>
      <c r="Q75" s="2"/>
      <c r="R75" s="6">
        <f t="shared" si="16"/>
        <v>8.462599335641377E-3</v>
      </c>
      <c r="S75" s="2"/>
      <c r="T75" s="2">
        <f>SUM(OSRRefT22_11x_0)</f>
        <v>1892.27</v>
      </c>
      <c r="U75" s="2"/>
      <c r="V75" s="6">
        <f t="shared" si="17"/>
        <v>8.8789278488282622E-2</v>
      </c>
      <c r="W75" s="2"/>
      <c r="X75" s="2">
        <f t="shared" si="18"/>
        <v>26.199999999999818</v>
      </c>
      <c r="Y75" s="2"/>
      <c r="Z75" s="6">
        <f t="shared" si="19"/>
        <v>1.3845804245694229E-2</v>
      </c>
    </row>
    <row r="76" spans="1:26" s="69" customFormat="1" ht="15" hidden="1" customHeight="1" outlineLevel="2" x14ac:dyDescent="0.3">
      <c r="A76" s="26"/>
      <c r="B76" s="12" t="str">
        <f>CONCATENATE("          ","6234"," - ","EXPENDABLE SUPPLIES &amp; EQUIPMEN")</f>
        <v xml:space="preserve">          6234 - EXPENDABLE SUPPLIES &amp; EQUIPMEN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1393.55</v>
      </c>
      <c r="Q76" s="3"/>
      <c r="R76" s="7">
        <f t="shared" si="16"/>
        <v>6.1471147863573798E-3</v>
      </c>
      <c r="S76" s="3"/>
      <c r="T76" s="8"/>
      <c r="U76" s="3"/>
      <c r="V76" s="7">
        <f t="shared" si="17"/>
        <v>0</v>
      </c>
      <c r="W76" s="3"/>
      <c r="X76" s="8">
        <f t="shared" si="18"/>
        <v>1393.55</v>
      </c>
      <c r="Y76" s="3"/>
      <c r="Z76" s="7">
        <f t="shared" si="19"/>
        <v>0</v>
      </c>
    </row>
    <row r="77" spans="1:26" s="69" customFormat="1" ht="15" hidden="1" customHeight="1" outlineLevel="2" x14ac:dyDescent="0.3">
      <c r="A77" s="26"/>
      <c r="B77" s="12" t="str">
        <f>CONCATENATE("          ","6235"," - ","COVID-19 EXPENSES")</f>
        <v xml:space="preserve">          6235 - COVID-19 EXPENSES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444.3</v>
      </c>
      <c r="U77" s="3"/>
      <c r="V77" s="7">
        <f t="shared" si="17"/>
        <v>2.0847488166246871E-2</v>
      </c>
      <c r="W77" s="3"/>
      <c r="X77" s="8">
        <f t="shared" si="18"/>
        <v>-444.3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8">
        <v>304.31</v>
      </c>
      <c r="E78" s="3"/>
      <c r="F78" s="7">
        <f t="shared" si="12"/>
        <v>7.5135303296659873E-3</v>
      </c>
      <c r="G78" s="3"/>
      <c r="H78" s="8"/>
      <c r="I78" s="3"/>
      <c r="J78" s="7">
        <f t="shared" si="13"/>
        <v>0</v>
      </c>
      <c r="K78" s="3"/>
      <c r="L78" s="8">
        <f t="shared" si="14"/>
        <v>304.31</v>
      </c>
      <c r="M78" s="3"/>
      <c r="N78" s="7">
        <f t="shared" si="15"/>
        <v>0</v>
      </c>
      <c r="O78" s="12"/>
      <c r="P78" s="8">
        <v>315.33999999999997</v>
      </c>
      <c r="Q78" s="3"/>
      <c r="R78" s="7">
        <f t="shared" si="16"/>
        <v>1.3910022437156444E-3</v>
      </c>
      <c r="S78" s="3"/>
      <c r="T78" s="8">
        <v>225.24</v>
      </c>
      <c r="U78" s="3"/>
      <c r="V78" s="7">
        <f t="shared" si="17"/>
        <v>1.056873336611624E-2</v>
      </c>
      <c r="W78" s="3"/>
      <c r="X78" s="8">
        <f t="shared" si="18"/>
        <v>90.099999999999966</v>
      </c>
      <c r="Y78" s="3"/>
      <c r="Z78" s="7">
        <f t="shared" si="19"/>
        <v>0.40001775883502028</v>
      </c>
    </row>
    <row r="79" spans="1:26" s="69" customFormat="1" ht="15" hidden="1" customHeight="1" outlineLevel="2" x14ac:dyDescent="0.3">
      <c r="A79" s="26"/>
      <c r="B79" s="12" t="str">
        <f>CONCATENATE("          ","6247"," - ","STORE SUPPLIES")</f>
        <v xml:space="preserve">          6247 - STORE SUPPLIES</v>
      </c>
      <c r="C79" s="12"/>
      <c r="D79" s="8">
        <v>-133.33000000000001</v>
      </c>
      <c r="E79" s="3"/>
      <c r="F79" s="7">
        <f t="shared" si="12"/>
        <v>-3.2919687123471662E-3</v>
      </c>
      <c r="G79" s="3"/>
      <c r="H79" s="8"/>
      <c r="I79" s="3"/>
      <c r="J79" s="7">
        <f t="shared" si="13"/>
        <v>0</v>
      </c>
      <c r="K79" s="3"/>
      <c r="L79" s="8">
        <f t="shared" si="14"/>
        <v>-133.33000000000001</v>
      </c>
      <c r="M79" s="3"/>
      <c r="N79" s="7">
        <f t="shared" si="15"/>
        <v>0</v>
      </c>
      <c r="O79" s="12"/>
      <c r="P79" s="8">
        <v>209.58</v>
      </c>
      <c r="Q79" s="3"/>
      <c r="R79" s="7">
        <f t="shared" si="16"/>
        <v>9.2448230556835406E-4</v>
      </c>
      <c r="S79" s="3"/>
      <c r="T79" s="8">
        <v>1222.73</v>
      </c>
      <c r="U79" s="3"/>
      <c r="V79" s="7">
        <f t="shared" si="17"/>
        <v>5.7373056955919509E-2</v>
      </c>
      <c r="W79" s="3"/>
      <c r="X79" s="8">
        <f t="shared" si="18"/>
        <v>-1013.15</v>
      </c>
      <c r="Y79" s="3"/>
      <c r="Z79" s="7">
        <f t="shared" si="19"/>
        <v>-0.82859666484015271</v>
      </c>
    </row>
    <row r="80" spans="1:26" s="68" customFormat="1" ht="15" customHeight="1" outlineLevel="1" collapsed="1" x14ac:dyDescent="0.3">
      <c r="A80" s="25"/>
      <c r="B80" s="14" t="str">
        <f>CONCATENATE("     ","Telephone/Data Lines                              ")</f>
        <v xml:space="preserve">     Telephone/Data Lines                              </v>
      </c>
      <c r="C80" s="14"/>
      <c r="D80" s="2">
        <f>SUM(OSRRefD22_12x_0)</f>
        <v>37.700000000000003</v>
      </c>
      <c r="E80" s="2"/>
      <c r="F80" s="6">
        <f t="shared" si="12"/>
        <v>9.3082742410176386E-4</v>
      </c>
      <c r="G80" s="2"/>
      <c r="H80" s="2">
        <f>SUM(OSRRefH22_12x_0)</f>
        <v>53</v>
      </c>
      <c r="I80" s="2"/>
      <c r="J80" s="6">
        <f t="shared" si="13"/>
        <v>0</v>
      </c>
      <c r="K80" s="2"/>
      <c r="L80" s="2">
        <f t="shared" si="14"/>
        <v>-15.299999999999997</v>
      </c>
      <c r="M80" s="2"/>
      <c r="N80" s="6">
        <f t="shared" si="15"/>
        <v>-0.2886792452830188</v>
      </c>
      <c r="O80" s="14"/>
      <c r="P80" s="2">
        <f>SUM(OSRRefP22_12x_0)</f>
        <v>429.94</v>
      </c>
      <c r="Q80" s="2"/>
      <c r="R80" s="6">
        <f t="shared" si="16"/>
        <v>1.8965164732133702E-3</v>
      </c>
      <c r="S80" s="2"/>
      <c r="T80" s="2">
        <f>SUM(OSRRefT22_12x_0)</f>
        <v>578.04999999999995</v>
      </c>
      <c r="U80" s="2"/>
      <c r="V80" s="6">
        <f t="shared" si="17"/>
        <v>2.7123318781226657E-2</v>
      </c>
      <c r="W80" s="2"/>
      <c r="X80" s="2">
        <f t="shared" si="18"/>
        <v>-148.10999999999996</v>
      </c>
      <c r="Y80" s="2"/>
      <c r="Z80" s="6">
        <f t="shared" si="19"/>
        <v>-0.25622351007698291</v>
      </c>
    </row>
    <row r="81" spans="1:26" s="69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8">
        <v>37.700000000000003</v>
      </c>
      <c r="E81" s="3"/>
      <c r="F81" s="7">
        <f t="shared" si="12"/>
        <v>9.3082742410176386E-4</v>
      </c>
      <c r="G81" s="3"/>
      <c r="H81" s="8">
        <v>53</v>
      </c>
      <c r="I81" s="3"/>
      <c r="J81" s="7">
        <f t="shared" si="13"/>
        <v>0</v>
      </c>
      <c r="K81" s="3"/>
      <c r="L81" s="8">
        <f t="shared" si="14"/>
        <v>-15.299999999999997</v>
      </c>
      <c r="M81" s="3"/>
      <c r="N81" s="7">
        <f t="shared" si="15"/>
        <v>-0.2886792452830188</v>
      </c>
      <c r="O81" s="12"/>
      <c r="P81" s="8">
        <v>429.94</v>
      </c>
      <c r="Q81" s="3"/>
      <c r="R81" s="7">
        <f t="shared" si="16"/>
        <v>1.8965164732133702E-3</v>
      </c>
      <c r="S81" s="3"/>
      <c r="T81" s="8">
        <v>578.04999999999995</v>
      </c>
      <c r="U81" s="3"/>
      <c r="V81" s="7">
        <f t="shared" si="17"/>
        <v>2.7123318781226657E-2</v>
      </c>
      <c r="W81" s="3"/>
      <c r="X81" s="8">
        <f t="shared" si="18"/>
        <v>-148.10999999999996</v>
      </c>
      <c r="Y81" s="3"/>
      <c r="Z81" s="7">
        <f t="shared" si="19"/>
        <v>-0.25622351007698291</v>
      </c>
    </row>
    <row r="82" spans="1:26" s="68" customFormat="1" ht="15" customHeight="1" outlineLevel="1" collapsed="1" x14ac:dyDescent="0.3">
      <c r="A82" s="25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SUM(OSRRefD22_13x_0)</f>
        <v>0</v>
      </c>
      <c r="E82" s="2"/>
      <c r="F82" s="6">
        <f t="shared" si="12"/>
        <v>0</v>
      </c>
      <c r="G82" s="2"/>
      <c r="H82" s="2">
        <f>SUM(OSRRefH22_13x_0)</f>
        <v>0</v>
      </c>
      <c r="I82" s="2"/>
      <c r="J82" s="6">
        <f t="shared" si="13"/>
        <v>0</v>
      </c>
      <c r="K82" s="2"/>
      <c r="L82" s="2">
        <f t="shared" si="14"/>
        <v>0</v>
      </c>
      <c r="M82" s="2"/>
      <c r="N82" s="6">
        <f t="shared" si="15"/>
        <v>0</v>
      </c>
      <c r="O82" s="14"/>
      <c r="P82" s="2">
        <f>SUM(OSRRefP22_13x_0)</f>
        <v>0</v>
      </c>
      <c r="Q82" s="2"/>
      <c r="R82" s="6">
        <f t="shared" si="16"/>
        <v>0</v>
      </c>
      <c r="S82" s="2"/>
      <c r="T82" s="2">
        <f>SUM(OSRRefT22_13x_0)</f>
        <v>14</v>
      </c>
      <c r="U82" s="2"/>
      <c r="V82" s="6">
        <f t="shared" si="17"/>
        <v>6.5690937278293094E-4</v>
      </c>
      <c r="W82" s="2"/>
      <c r="X82" s="2">
        <f t="shared" si="18"/>
        <v>-14</v>
      </c>
      <c r="Y82" s="2"/>
      <c r="Z82" s="6">
        <f t="shared" si="19"/>
        <v>-1</v>
      </c>
    </row>
    <row r="83" spans="1:26" s="69" customFormat="1" ht="15" hidden="1" customHeight="1" outlineLevel="2" x14ac:dyDescent="0.3">
      <c r="A83" s="26"/>
      <c r="B83" s="12" t="str">
        <f>CONCATENATE("          ","6376"," - ","TRAINING")</f>
        <v xml:space="preserve">          6376 - TRAINING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/>
      <c r="Q83" s="3"/>
      <c r="R83" s="7">
        <f t="shared" si="16"/>
        <v>0</v>
      </c>
      <c r="S83" s="3"/>
      <c r="T83" s="8">
        <v>14</v>
      </c>
      <c r="U83" s="3"/>
      <c r="V83" s="7">
        <f t="shared" si="17"/>
        <v>6.5690937278293094E-4</v>
      </c>
      <c r="W83" s="3"/>
      <c r="X83" s="8">
        <f t="shared" si="18"/>
        <v>-14</v>
      </c>
      <c r="Y83" s="3"/>
      <c r="Z83" s="7">
        <f t="shared" si="19"/>
        <v>-1</v>
      </c>
    </row>
    <row r="84" spans="1:26" s="64" customFormat="1" ht="15" customHeight="1" x14ac:dyDescent="0.3">
      <c r="A84" s="36"/>
      <c r="B84" s="36"/>
      <c r="C84" s="36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3">
      <c r="A85" s="11"/>
      <c r="B85" s="27" t="s">
        <v>290</v>
      </c>
      <c r="C85" s="11"/>
      <c r="D85" s="5">
        <f>SUM(0)</f>
        <v>0</v>
      </c>
      <c r="E85" s="5"/>
      <c r="F85" s="13">
        <f>IF(D$12=0,0,D85/D$12)</f>
        <v>0</v>
      </c>
      <c r="G85" s="5"/>
      <c r="H85" s="5">
        <f>SUM(0)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SUM(0)</f>
        <v>0</v>
      </c>
      <c r="Q85" s="5"/>
      <c r="R85" s="13">
        <f>IF(P$12=0,0,P85/P$12)</f>
        <v>0</v>
      </c>
      <c r="S85" s="5"/>
      <c r="T85" s="5">
        <f>SUM(0)</f>
        <v>0</v>
      </c>
      <c r="U85" s="5"/>
      <c r="V85" s="13">
        <f>IF(T$12=0,0,T85/T$12)</f>
        <v>0</v>
      </c>
      <c r="W85" s="5"/>
      <c r="X85" s="5">
        <f>+P85-T85</f>
        <v>0</v>
      </c>
      <c r="Y85" s="5"/>
      <c r="Z85" s="13">
        <f>IF(T85=0,0,X85/T85)</f>
        <v>0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8" t="s">
        <v>291</v>
      </c>
      <c r="C87" s="28"/>
      <c r="D87" s="21">
        <f>+D39-D41+D85</f>
        <v>8126.320000000007</v>
      </c>
      <c r="E87" s="15"/>
      <c r="F87" s="23">
        <f>IF(D$12=0,0,D87/D$12)</f>
        <v>0.20064194994765652</v>
      </c>
      <c r="G87" s="15"/>
      <c r="H87" s="21">
        <f>+H39-H41+H85</f>
        <v>-72.489999999999995</v>
      </c>
      <c r="I87" s="15"/>
      <c r="J87" s="23">
        <f>IF(H$12=0,0,H87/H$12)</f>
        <v>0</v>
      </c>
      <c r="K87" s="16"/>
      <c r="L87" s="21">
        <f>+D87-H87</f>
        <v>8198.8100000000068</v>
      </c>
      <c r="M87" s="16"/>
      <c r="N87" s="23">
        <f>IF(H87=0,0,L87/H87)</f>
        <v>-113.10263484618578</v>
      </c>
      <c r="O87" s="27"/>
      <c r="P87" s="21">
        <f>+P39-P41+P85</f>
        <v>40578.26999999996</v>
      </c>
      <c r="Q87" s="15"/>
      <c r="R87" s="23">
        <f>IF(P$12=0,0,P87/P$12)</f>
        <v>0.17899557498604415</v>
      </c>
      <c r="S87" s="15"/>
      <c r="T87" s="21">
        <f>+T39-T41+T85</f>
        <v>-5181.929999999993</v>
      </c>
      <c r="U87" s="15"/>
      <c r="V87" s="23">
        <f>IF(T$12=0,0,T87/T$12)</f>
        <v>-0.24314702757893206</v>
      </c>
      <c r="W87" s="16"/>
      <c r="X87" s="21">
        <f>+P87-T87</f>
        <v>45760.199999999953</v>
      </c>
      <c r="Y87" s="16"/>
      <c r="Z87" s="23">
        <f>IF(T87=0,0,X87/T87)</f>
        <v>-8.8307252317186862</v>
      </c>
    </row>
    <row r="88" spans="1:26" ht="15" customHeight="1" x14ac:dyDescent="0.3">
      <c r="A88" s="10"/>
      <c r="B88" s="11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48"/>
      <c r="B89" s="11" t="s">
        <v>292</v>
      </c>
      <c r="C89" s="11"/>
      <c r="D89" s="5">
        <v>3459.14</v>
      </c>
      <c r="E89" s="5"/>
      <c r="F89" s="13">
        <f>IF(D$12=0,0,D89/D$12)</f>
        <v>8.5407490074466172E-2</v>
      </c>
      <c r="G89" s="5"/>
      <c r="H89" s="5">
        <v>66.33</v>
      </c>
      <c r="I89" s="5"/>
      <c r="J89" s="13">
        <f>IF(H$12=0,0,H89/H$12)</f>
        <v>0</v>
      </c>
      <c r="K89" s="5"/>
      <c r="L89" s="5">
        <f>+D89-H89</f>
        <v>3392.81</v>
      </c>
      <c r="M89" s="5"/>
      <c r="N89" s="13">
        <f>IF(H89=0,0,L89/H89)</f>
        <v>51.150459822101617</v>
      </c>
      <c r="O89" s="11"/>
      <c r="P89" s="5">
        <v>25681.439999999999</v>
      </c>
      <c r="Q89" s="5"/>
      <c r="R89" s="13">
        <f>IF(P$12=0,0,P89/P$12)</f>
        <v>0.1132838861604893</v>
      </c>
      <c r="S89" s="5"/>
      <c r="T89" s="5">
        <v>4458.54</v>
      </c>
      <c r="U89" s="5"/>
      <c r="V89" s="13">
        <f>IF(T$12=0,0,T89/T$12)</f>
        <v>0.20920405106625778</v>
      </c>
      <c r="W89" s="5"/>
      <c r="X89" s="5">
        <f>+P89-T89</f>
        <v>21222.899999999998</v>
      </c>
      <c r="Y89" s="5"/>
      <c r="Z89" s="13">
        <f>IF(T89=0,0,X89/T89)</f>
        <v>4.7600559824516537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8" t="s">
        <v>293</v>
      </c>
      <c r="C91" s="28"/>
      <c r="D91" s="34">
        <f>+D87-D89</f>
        <v>4667.1800000000076</v>
      </c>
      <c r="E91" s="15"/>
      <c r="F91" s="30">
        <f>IF(D$12=0,0,D91/D$12)</f>
        <v>0.11523445987319036</v>
      </c>
      <c r="G91" s="15"/>
      <c r="H91" s="34">
        <f>+H87-H89</f>
        <v>-138.82</v>
      </c>
      <c r="I91" s="15"/>
      <c r="J91" s="30">
        <f>IF(H$12=0,0,H91/H$12)</f>
        <v>0</v>
      </c>
      <c r="K91" s="16"/>
      <c r="L91" s="34">
        <f>D91-H91</f>
        <v>4806.0000000000073</v>
      </c>
      <c r="M91" s="16"/>
      <c r="N91" s="30">
        <f>IF(H91=0,0,L91/H91)</f>
        <v>-34.620371704365418</v>
      </c>
      <c r="O91" s="27"/>
      <c r="P91" s="34">
        <f>+P87-P89</f>
        <v>14896.829999999962</v>
      </c>
      <c r="Q91" s="15"/>
      <c r="R91" s="30">
        <f>IF(P$12=0,0,P91/P$12)</f>
        <v>6.5711688825554865E-2</v>
      </c>
      <c r="S91" s="15"/>
      <c r="T91" s="34">
        <f>+T87-T89</f>
        <v>-9640.4699999999939</v>
      </c>
      <c r="U91" s="15"/>
      <c r="V91" s="30">
        <f>IF(T$12=0,0,T91/T$12)</f>
        <v>-0.45235107864518986</v>
      </c>
      <c r="W91" s="16"/>
      <c r="X91" s="34">
        <f>P91-T91</f>
        <v>24537.299999999956</v>
      </c>
      <c r="Y91" s="16"/>
      <c r="Z91" s="30">
        <f>IF(T91=0,0,X91/T91)</f>
        <v>-2.5452389769378434</v>
      </c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ht="15" customHeight="1" x14ac:dyDescent="0.3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8" t="s">
        <v>296</v>
      </c>
      <c r="C94" s="28"/>
      <c r="D94" s="29">
        <f>SUM(D91:D93)</f>
        <v>4667.1800000000076</v>
      </c>
      <c r="E94" s="15"/>
      <c r="F94" s="35">
        <f>IF(D$12=0,0,D94/D$12)</f>
        <v>0.11523445987319036</v>
      </c>
      <c r="G94" s="15"/>
      <c r="H94" s="29">
        <f>SUM(H91:H93)</f>
        <v>-138.82</v>
      </c>
      <c r="I94" s="15"/>
      <c r="J94" s="35">
        <f>IF(H$12=0,0,H94/H$12)</f>
        <v>0</v>
      </c>
      <c r="K94" s="16"/>
      <c r="L94" s="29">
        <f>+D94-H94</f>
        <v>4806.0000000000073</v>
      </c>
      <c r="M94" s="16"/>
      <c r="N94" s="35">
        <f>IF(H94=0,0,L94/H94)</f>
        <v>-34.620371704365418</v>
      </c>
      <c r="O94" s="27"/>
      <c r="P94" s="29">
        <f>SUM(P91:P93)</f>
        <v>14896.829999999962</v>
      </c>
      <c r="Q94" s="15"/>
      <c r="R94" s="35">
        <f>IF(P$12=0,0,P94/P$12)</f>
        <v>6.5711688825554865E-2</v>
      </c>
      <c r="S94" s="15"/>
      <c r="T94" s="29">
        <f>SUM(T91:T93)</f>
        <v>-9640.4699999999939</v>
      </c>
      <c r="U94" s="15"/>
      <c r="V94" s="35">
        <f>IF(T$12=0,0,T94/T$12)</f>
        <v>-0.45235107864518986</v>
      </c>
      <c r="W94" s="16"/>
      <c r="X94" s="29">
        <f>+P94-T94</f>
        <v>24537.299999999956</v>
      </c>
      <c r="Y94" s="16"/>
      <c r="Z94" s="35">
        <f>IF(T94=0,0,X94/T94)</f>
        <v>-2.5452389769378434</v>
      </c>
    </row>
    <row r="95" spans="1:26" ht="15" customHeight="1" x14ac:dyDescent="0.3">
      <c r="A95" s="10"/>
      <c r="C95" s="10"/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3">
      <c r="A96" s="10"/>
      <c r="B96" s="56">
        <v>44694.890829479169</v>
      </c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  <row r="97" spans="1:24" ht="15" customHeight="1" x14ac:dyDescent="0.3">
      <c r="A97" s="10"/>
      <c r="B97" s="52" t="s">
        <v>297</v>
      </c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  <row r="98" spans="1:24" ht="15" customHeight="1" x14ac:dyDescent="0.3">
      <c r="A98" s="10"/>
      <c r="B98" s="58"/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4" ht="15" customHeight="1" x14ac:dyDescent="0.3"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23AAD-7A4C-E425-04C3-1B334D9DC0EF}">
  <sheetPr>
    <tabColor rgb="FFFFFF00"/>
    <outlinePr summaryBelow="0" summaryRight="0"/>
  </sheetPr>
  <dimension ref="A2:Z17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306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751705.72000000009</v>
      </c>
      <c r="E12" s="5"/>
      <c r="F12" s="13"/>
      <c r="G12" s="5"/>
      <c r="H12" s="5">
        <f>SUM(OSRRefH13x_0)</f>
        <v>409112.63</v>
      </c>
      <c r="I12" s="5"/>
      <c r="J12" s="13"/>
      <c r="K12" s="5"/>
      <c r="L12" s="5">
        <f t="shared" ref="L12:L54" si="0">+D12-H12</f>
        <v>342593.09000000008</v>
      </c>
      <c r="M12" s="5"/>
      <c r="N12" s="13">
        <f t="shared" ref="N12:N54" si="1">IF(H12=0,0,L12/H12)</f>
        <v>0.83740531305523391</v>
      </c>
      <c r="O12" s="11"/>
      <c r="P12" s="5">
        <f>SUM(OSRRefP13x_0)</f>
        <v>4037741.0700000003</v>
      </c>
      <c r="Q12" s="5"/>
      <c r="R12" s="13"/>
      <c r="S12" s="5"/>
      <c r="T12" s="5">
        <f>SUM(OSRRefT13x_0)</f>
        <v>1886993.4999999995</v>
      </c>
      <c r="U12" s="5"/>
      <c r="V12" s="13"/>
      <c r="W12" s="5"/>
      <c r="X12" s="5">
        <f t="shared" ref="X12:X54" si="2">+P12-T12</f>
        <v>2150747.5700000008</v>
      </c>
      <c r="Y12" s="5"/>
      <c r="Z12" s="13">
        <f t="shared" ref="Z12:Z54" si="3">IF(T12=0,0,X12/T12)</f>
        <v>1.1397747634000865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--677452.17</f>
        <v>677452.17</v>
      </c>
      <c r="E13" s="3"/>
      <c r="F13" s="20"/>
      <c r="G13" s="3"/>
      <c r="H13" s="3">
        <f>-12952.02</f>
        <v>-12952.02</v>
      </c>
      <c r="I13" s="3"/>
      <c r="J13" s="20"/>
      <c r="K13" s="3"/>
      <c r="L13" s="3">
        <f t="shared" si="0"/>
        <v>690404.19000000006</v>
      </c>
      <c r="M13" s="3"/>
      <c r="N13" s="20">
        <f t="shared" si="1"/>
        <v>-53.304750147081307</v>
      </c>
      <c r="O13" s="12"/>
      <c r="P13" s="3">
        <f>--3754573.87</f>
        <v>3754573.87</v>
      </c>
      <c r="Q13" s="3"/>
      <c r="R13" s="20"/>
      <c r="S13" s="3"/>
      <c r="T13" s="3">
        <f>-123410.75</f>
        <v>-123410.75</v>
      </c>
      <c r="U13" s="3"/>
      <c r="V13" s="20"/>
      <c r="W13" s="3"/>
      <c r="X13" s="3">
        <f t="shared" si="2"/>
        <v>3877984.62</v>
      </c>
      <c r="Y13" s="3"/>
      <c r="Z13" s="20">
        <f t="shared" si="3"/>
        <v>-31.423393991204172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--21.42</f>
        <v>21.42</v>
      </c>
      <c r="I14" s="3"/>
      <c r="J14" s="20"/>
      <c r="K14" s="3"/>
      <c r="L14" s="3">
        <f t="shared" si="0"/>
        <v>-21.42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--468.66</f>
        <v>468.66</v>
      </c>
      <c r="U14" s="3"/>
      <c r="V14" s="20"/>
      <c r="W14" s="3"/>
      <c r="X14" s="3">
        <f t="shared" si="2"/>
        <v>-468.66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--6558.65</f>
        <v>6558.65</v>
      </c>
      <c r="I15" s="3"/>
      <c r="J15" s="20"/>
      <c r="K15" s="3"/>
      <c r="L15" s="3">
        <f t="shared" si="0"/>
        <v>-6558.65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--56080.65</f>
        <v>56080.65</v>
      </c>
      <c r="U15" s="3"/>
      <c r="V15" s="20"/>
      <c r="W15" s="3"/>
      <c r="X15" s="3">
        <f t="shared" si="2"/>
        <v>-56080.65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--2650.79</f>
        <v>2650.79</v>
      </c>
      <c r="I16" s="3"/>
      <c r="J16" s="20"/>
      <c r="K16" s="3"/>
      <c r="L16" s="3">
        <f t="shared" si="0"/>
        <v>-2650.79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--34421.12</f>
        <v>34421.120000000003</v>
      </c>
      <c r="U16" s="3"/>
      <c r="V16" s="20"/>
      <c r="W16" s="3"/>
      <c r="X16" s="3">
        <f t="shared" si="2"/>
        <v>-34421.120000000003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--595.72</f>
        <v>595.72</v>
      </c>
      <c r="I17" s="3"/>
      <c r="J17" s="20"/>
      <c r="K17" s="3"/>
      <c r="L17" s="3">
        <f t="shared" si="0"/>
        <v>-595.72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--3836.04</f>
        <v>3836.04</v>
      </c>
      <c r="U17" s="3"/>
      <c r="V17" s="20"/>
      <c r="W17" s="3"/>
      <c r="X17" s="3">
        <f t="shared" si="2"/>
        <v>-3836.04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--159179.58</f>
        <v>159179.57999999999</v>
      </c>
      <c r="I19" s="3"/>
      <c r="J19" s="20"/>
      <c r="K19" s="3"/>
      <c r="L19" s="3">
        <f t="shared" si="0"/>
        <v>-159179.57999999999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--913180.73</f>
        <v>913180.73</v>
      </c>
      <c r="U19" s="3"/>
      <c r="V19" s="20"/>
      <c r="W19" s="3"/>
      <c r="X19" s="3">
        <f t="shared" si="2"/>
        <v>-913180.73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--116178</f>
        <v>116178</v>
      </c>
      <c r="I20" s="3"/>
      <c r="J20" s="20"/>
      <c r="K20" s="3"/>
      <c r="L20" s="3">
        <f t="shared" si="0"/>
        <v>-116178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--347536.81</f>
        <v>347536.81</v>
      </c>
      <c r="U20" s="3"/>
      <c r="V20" s="20"/>
      <c r="W20" s="3"/>
      <c r="X20" s="3">
        <f t="shared" si="2"/>
        <v>-347536.81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--9350.43</f>
        <v>9350.43</v>
      </c>
      <c r="I21" s="3"/>
      <c r="J21" s="20"/>
      <c r="K21" s="3"/>
      <c r="L21" s="3">
        <f t="shared" si="0"/>
        <v>-9350.43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--83578.68</f>
        <v>83578.679999999993</v>
      </c>
      <c r="U21" s="3"/>
      <c r="V21" s="20"/>
      <c r="W21" s="3"/>
      <c r="X21" s="3">
        <f t="shared" si="2"/>
        <v>-83578.679999999993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--4423.21</f>
        <v>4423.21</v>
      </c>
      <c r="I22" s="3"/>
      <c r="J22" s="20"/>
      <c r="K22" s="3"/>
      <c r="L22" s="3">
        <f t="shared" si="0"/>
        <v>-4423.21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--136806.7</f>
        <v>136806.70000000001</v>
      </c>
      <c r="U22" s="3"/>
      <c r="V22" s="20"/>
      <c r="W22" s="3"/>
      <c r="X22" s="3">
        <f t="shared" si="2"/>
        <v>-136806.70000000001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--4745.38</f>
        <v>4745.38</v>
      </c>
      <c r="I23" s="3"/>
      <c r="J23" s="20"/>
      <c r="K23" s="3"/>
      <c r="L23" s="3">
        <f t="shared" si="0"/>
        <v>-4745.38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--36092.23</f>
        <v>36092.230000000003</v>
      </c>
      <c r="U23" s="3"/>
      <c r="V23" s="20"/>
      <c r="W23" s="3"/>
      <c r="X23" s="3">
        <f t="shared" si="2"/>
        <v>-36092.230000000003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--63044.9</f>
        <v>63044.9</v>
      </c>
      <c r="I24" s="3"/>
      <c r="J24" s="20"/>
      <c r="K24" s="3"/>
      <c r="L24" s="3">
        <f t="shared" si="0"/>
        <v>-63044.9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--207242.34</f>
        <v>207242.34</v>
      </c>
      <c r="U24" s="3"/>
      <c r="V24" s="20"/>
      <c r="W24" s="3"/>
      <c r="X24" s="3">
        <f t="shared" si="2"/>
        <v>-207242.34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--112318.29</f>
        <v>112318.29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112318.29</v>
      </c>
      <c r="M25" s="3"/>
      <c r="N25" s="20">
        <f t="shared" si="1"/>
        <v>0</v>
      </c>
      <c r="O25" s="12"/>
      <c r="P25" s="3">
        <f>--498804.15</f>
        <v>498804.15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498804.15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--493.37</f>
        <v>493.37</v>
      </c>
      <c r="I27" s="3"/>
      <c r="J27" s="20"/>
      <c r="K27" s="3"/>
      <c r="L27" s="3">
        <f t="shared" si="0"/>
        <v>-493.37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--7100.68</f>
        <v>7100.68</v>
      </c>
      <c r="U27" s="3"/>
      <c r="V27" s="20"/>
      <c r="W27" s="3"/>
      <c r="X27" s="3">
        <f t="shared" si="2"/>
        <v>-7100.68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--31.37</f>
        <v>31.37</v>
      </c>
      <c r="I28" s="3"/>
      <c r="J28" s="20"/>
      <c r="K28" s="3"/>
      <c r="L28" s="3">
        <f t="shared" si="0"/>
        <v>-31.37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--69.95</f>
        <v>69.95</v>
      </c>
      <c r="U28" s="3"/>
      <c r="V28" s="20"/>
      <c r="W28" s="3"/>
      <c r="X28" s="3">
        <f t="shared" si="2"/>
        <v>-69.95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--975.93</f>
        <v>975.93</v>
      </c>
      <c r="I29" s="3"/>
      <c r="J29" s="20"/>
      <c r="K29" s="3"/>
      <c r="L29" s="3">
        <f t="shared" si="0"/>
        <v>-975.93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--9533.2</f>
        <v>9533.2000000000007</v>
      </c>
      <c r="U29" s="3"/>
      <c r="V29" s="20"/>
      <c r="W29" s="3"/>
      <c r="X29" s="3">
        <f t="shared" si="2"/>
        <v>-9533.2000000000007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--68.25</f>
        <v>68.25</v>
      </c>
      <c r="U33" s="3"/>
      <c r="V33" s="20"/>
      <c r="W33" s="3"/>
      <c r="X33" s="3">
        <f t="shared" si="2"/>
        <v>-68.25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--23040.7</f>
        <v>23040.7</v>
      </c>
      <c r="I34" s="3"/>
      <c r="J34" s="20"/>
      <c r="K34" s="3"/>
      <c r="L34" s="3">
        <f t="shared" si="0"/>
        <v>-23040.7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--154792.39</f>
        <v>154792.39000000001</v>
      </c>
      <c r="U34" s="3"/>
      <c r="V34" s="20"/>
      <c r="W34" s="3"/>
      <c r="X34" s="3">
        <f t="shared" si="2"/>
        <v>-154792.39000000001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--27227.97</f>
        <v>27227.97</v>
      </c>
      <c r="I35" s="3"/>
      <c r="J35" s="20"/>
      <c r="K35" s="3"/>
      <c r="L35" s="3">
        <f t="shared" si="0"/>
        <v>-27227.97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--35517.57</f>
        <v>35517.57</v>
      </c>
      <c r="U35" s="3"/>
      <c r="V35" s="20"/>
      <c r="W35" s="3"/>
      <c r="X35" s="3">
        <f t="shared" si="2"/>
        <v>-35517.57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--284.63</f>
        <v>284.63</v>
      </c>
      <c r="I36" s="3"/>
      <c r="J36" s="20"/>
      <c r="K36" s="3"/>
      <c r="L36" s="3">
        <f t="shared" si="0"/>
        <v>-284.63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--1455.41</f>
        <v>1455.41</v>
      </c>
      <c r="U36" s="3"/>
      <c r="V36" s="20"/>
      <c r="W36" s="3"/>
      <c r="X36" s="3">
        <f t="shared" si="2"/>
        <v>-1455.41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--49.97</f>
        <v>49.97</v>
      </c>
      <c r="I37" s="3"/>
      <c r="J37" s="20"/>
      <c r="K37" s="3"/>
      <c r="L37" s="3">
        <f t="shared" si="0"/>
        <v>-49.97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--2431.45</f>
        <v>2431.4499999999998</v>
      </c>
      <c r="U37" s="3"/>
      <c r="V37" s="20"/>
      <c r="W37" s="3"/>
      <c r="X37" s="3">
        <f t="shared" si="2"/>
        <v>-2431.4499999999998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--29.85</f>
        <v>29.85</v>
      </c>
      <c r="I38" s="3"/>
      <c r="J38" s="20"/>
      <c r="K38" s="3"/>
      <c r="L38" s="3">
        <f t="shared" si="0"/>
        <v>-29.85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--709.1</f>
        <v>709.1</v>
      </c>
      <c r="U38" s="3"/>
      <c r="V38" s="20"/>
      <c r="W38" s="3"/>
      <c r="X38" s="3">
        <f t="shared" si="2"/>
        <v>-709.1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--20350.8</f>
        <v>20350.8</v>
      </c>
      <c r="I39" s="3"/>
      <c r="J39" s="20"/>
      <c r="K39" s="3"/>
      <c r="L39" s="3">
        <f t="shared" si="0"/>
        <v>-20350.8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--74066.89</f>
        <v>74066.89</v>
      </c>
      <c r="U39" s="3"/>
      <c r="V39" s="20"/>
      <c r="W39" s="3"/>
      <c r="X39" s="3">
        <f t="shared" si="2"/>
        <v>-74066.89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-22344.3</f>
        <v>-22344.3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-22344.3</v>
      </c>
      <c r="M40" s="3"/>
      <c r="N40" s="20">
        <f t="shared" si="1"/>
        <v>0</v>
      </c>
      <c r="O40" s="12"/>
      <c r="P40" s="3">
        <f>-115549.44</f>
        <v>-115549.44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-115549.44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-34.23</f>
        <v>-34.229999999999997</v>
      </c>
      <c r="U41" s="3"/>
      <c r="V41" s="20"/>
      <c r="W41" s="3"/>
      <c r="X41" s="3">
        <f t="shared" si="2"/>
        <v>34.229999999999997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-500.54</f>
        <v>-500.54</v>
      </c>
      <c r="I42" s="3"/>
      <c r="J42" s="20"/>
      <c r="K42" s="3"/>
      <c r="L42" s="3">
        <f t="shared" si="0"/>
        <v>500.54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-1186.69</f>
        <v>-1186.69</v>
      </c>
      <c r="U42" s="3"/>
      <c r="V42" s="20"/>
      <c r="W42" s="3"/>
      <c r="X42" s="3">
        <f t="shared" si="2"/>
        <v>1186.69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-136.11</f>
        <v>-136.11000000000001</v>
      </c>
      <c r="I43" s="3"/>
      <c r="J43" s="20"/>
      <c r="K43" s="3"/>
      <c r="L43" s="3">
        <f t="shared" si="0"/>
        <v>136.11000000000001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-12751.53</f>
        <v>-12751.53</v>
      </c>
      <c r="U43" s="3"/>
      <c r="V43" s="20"/>
      <c r="W43" s="3"/>
      <c r="X43" s="3">
        <f t="shared" si="2"/>
        <v>12751.53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-5611.92</f>
        <v>-5611.92</v>
      </c>
      <c r="I44" s="3"/>
      <c r="J44" s="20"/>
      <c r="K44" s="3"/>
      <c r="L44" s="3">
        <f t="shared" si="0"/>
        <v>5611.92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-40666.27</f>
        <v>-40666.269999999997</v>
      </c>
      <c r="U44" s="3"/>
      <c r="V44" s="20"/>
      <c r="W44" s="3"/>
      <c r="X44" s="3">
        <f t="shared" si="2"/>
        <v>40666.269999999997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-5633.91</f>
        <v>-5633.91</v>
      </c>
      <c r="I45" s="3"/>
      <c r="J45" s="20"/>
      <c r="K45" s="3"/>
      <c r="L45" s="3">
        <f t="shared" si="0"/>
        <v>5633.91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-10890.2</f>
        <v>-10890.2</v>
      </c>
      <c r="U45" s="3"/>
      <c r="V45" s="20"/>
      <c r="W45" s="3"/>
      <c r="X45" s="3">
        <f t="shared" si="2"/>
        <v>10890.2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-332.27</f>
        <v>-332.27</v>
      </c>
      <c r="I46" s="3"/>
      <c r="J46" s="20"/>
      <c r="K46" s="3"/>
      <c r="L46" s="3">
        <f t="shared" si="0"/>
        <v>332.27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-2636.09</f>
        <v>-2636.09</v>
      </c>
      <c r="U46" s="3"/>
      <c r="V46" s="20"/>
      <c r="W46" s="3"/>
      <c r="X46" s="3">
        <f t="shared" si="2"/>
        <v>2636.09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-199.86</f>
        <v>-199.86</v>
      </c>
      <c r="I47" s="3"/>
      <c r="J47" s="20"/>
      <c r="K47" s="3"/>
      <c r="L47" s="3">
        <f t="shared" si="0"/>
        <v>199.86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-6142.09</f>
        <v>-6142.09</v>
      </c>
      <c r="U47" s="3"/>
      <c r="V47" s="20"/>
      <c r="W47" s="3"/>
      <c r="X47" s="3">
        <f t="shared" si="2"/>
        <v>6142.09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-8.24</f>
        <v>-8.24</v>
      </c>
      <c r="I48" s="3"/>
      <c r="J48" s="20"/>
      <c r="K48" s="3"/>
      <c r="L48" s="3">
        <f t="shared" si="0"/>
        <v>8.24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-1243.5</f>
        <v>-1243.5</v>
      </c>
      <c r="U48" s="3"/>
      <c r="V48" s="20"/>
      <c r="W48" s="3"/>
      <c r="X48" s="3">
        <f t="shared" si="2"/>
        <v>1243.5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-4071.14</f>
        <v>-4071.14</v>
      </c>
      <c r="I49" s="3"/>
      <c r="J49" s="20"/>
      <c r="K49" s="3"/>
      <c r="L49" s="3">
        <f t="shared" si="0"/>
        <v>4071.14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-15424.73</f>
        <v>-15424.73</v>
      </c>
      <c r="U49" s="3"/>
      <c r="V49" s="20"/>
      <c r="W49" s="3"/>
      <c r="X49" s="3">
        <f t="shared" si="2"/>
        <v>15424.73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-1251.61</f>
        <v>-1251.6099999999999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-1251.6099999999999</v>
      </c>
      <c r="M50" s="3"/>
      <c r="N50" s="20">
        <f t="shared" si="1"/>
        <v>0</v>
      </c>
      <c r="O50" s="12"/>
      <c r="P50" s="3">
        <f>-3150.14</f>
        <v>-3150.14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-3150.14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-664.13</f>
        <v>-664.13</v>
      </c>
      <c r="I51" s="3"/>
      <c r="J51" s="20"/>
      <c r="K51" s="3"/>
      <c r="L51" s="3">
        <f t="shared" si="0"/>
        <v>664.13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-3307.52</f>
        <v>-3307.52</v>
      </c>
      <c r="U51" s="3"/>
      <c r="V51" s="20"/>
      <c r="W51" s="3"/>
      <c r="X51" s="3">
        <f t="shared" si="2"/>
        <v>3307.52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-9.9</f>
        <v>-9.9</v>
      </c>
      <c r="I52" s="3"/>
      <c r="J52" s="20"/>
      <c r="K52" s="3"/>
      <c r="L52" s="3">
        <f t="shared" si="0"/>
        <v>9.9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-391.24</f>
        <v>-391.24</v>
      </c>
      <c r="U52" s="3"/>
      <c r="V52" s="20"/>
      <c r="W52" s="3"/>
      <c r="X52" s="3">
        <f t="shared" si="2"/>
        <v>391.24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-14468.83</f>
        <v>-14468.83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-14468.83</v>
      </c>
      <c r="M54" s="3"/>
      <c r="N54" s="20">
        <f t="shared" si="1"/>
        <v>0</v>
      </c>
      <c r="O54" s="12"/>
      <c r="P54" s="3">
        <f>-96937.37</f>
        <v>-96937.37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-96937.37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7" t="s">
        <v>287</v>
      </c>
      <c r="C56" s="11"/>
      <c r="D56" s="5">
        <f>SUM(OSRRefD16x_0)</f>
        <v>331704.71000000002</v>
      </c>
      <c r="E56" s="5"/>
      <c r="F56" s="13">
        <f t="shared" ref="F56:F82" si="4">IF(D$12=0,0,D56/D$12)</f>
        <v>0.44126937067872779</v>
      </c>
      <c r="G56" s="5"/>
      <c r="H56" s="5">
        <f>SUM(OSRRefH16x_0)</f>
        <v>191894</v>
      </c>
      <c r="I56" s="5"/>
      <c r="J56" s="13">
        <f t="shared" ref="J56:J82" si="5">IF(H$12=0,0,H56/H$12)</f>
        <v>0.46904931778811132</v>
      </c>
      <c r="K56" s="5"/>
      <c r="L56" s="5">
        <f t="shared" ref="L56:L82" si="6">+D56-H56</f>
        <v>139810.71000000002</v>
      </c>
      <c r="M56" s="5"/>
      <c r="N56" s="13">
        <f t="shared" ref="N56:N82" si="7">IF(H56=0,0,L56/H56)</f>
        <v>0.72858301979217699</v>
      </c>
      <c r="O56" s="11"/>
      <c r="P56" s="5">
        <f>SUM(OSRRefP16x_0)</f>
        <v>1892255.77</v>
      </c>
      <c r="Q56" s="5"/>
      <c r="R56" s="13">
        <f t="shared" ref="R56:R82" si="8">IF(P$12=0,0,P56/P$12)</f>
        <v>0.46864217818702275</v>
      </c>
      <c r="S56" s="5"/>
      <c r="T56" s="5">
        <f>SUM(OSRRefT16x_0)</f>
        <v>1025845.54</v>
      </c>
      <c r="U56" s="5"/>
      <c r="V56" s="13">
        <f t="shared" ref="V56:V82" si="9">IF(T$12=0,0,T56/T$12)</f>
        <v>0.5436402086175709</v>
      </c>
      <c r="W56" s="5"/>
      <c r="X56" s="5">
        <f t="shared" ref="X56:X82" si="10">+P56-T56</f>
        <v>866410.23</v>
      </c>
      <c r="Y56" s="5"/>
      <c r="Z56" s="13">
        <f t="shared" ref="Z56:Z82" si="11">IF(T56=0,0,X56/T56)</f>
        <v>0.84458156341938173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324929.61</v>
      </c>
      <c r="E57" s="3"/>
      <c r="F57" s="20">
        <f t="shared" si="4"/>
        <v>0.43225640214630795</v>
      </c>
      <c r="G57" s="3"/>
      <c r="H57" s="3"/>
      <c r="I57" s="3"/>
      <c r="J57" s="20">
        <f t="shared" si="5"/>
        <v>0</v>
      </c>
      <c r="K57" s="3"/>
      <c r="L57" s="3">
        <f t="shared" si="6"/>
        <v>324929.61</v>
      </c>
      <c r="M57" s="3"/>
      <c r="N57" s="20">
        <f t="shared" si="7"/>
        <v>0</v>
      </c>
      <c r="O57" s="12"/>
      <c r="P57" s="3">
        <v>2111538.89</v>
      </c>
      <c r="Q57" s="3"/>
      <c r="R57" s="20">
        <f t="shared" si="8"/>
        <v>0.52295054422595755</v>
      </c>
      <c r="S57" s="3"/>
      <c r="T57" s="3"/>
      <c r="U57" s="3"/>
      <c r="V57" s="20">
        <f t="shared" si="9"/>
        <v>0</v>
      </c>
      <c r="W57" s="3"/>
      <c r="X57" s="3">
        <f t="shared" si="10"/>
        <v>2111538.89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3.1758985921255165E-4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219.64</v>
      </c>
      <c r="U59" s="3"/>
      <c r="V59" s="20">
        <f t="shared" si="9"/>
        <v>1.1639679733925953E-4</v>
      </c>
      <c r="W59" s="3"/>
      <c r="X59" s="3">
        <f t="shared" si="10"/>
        <v>-219.64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>
        <v>1838.72</v>
      </c>
      <c r="I60" s="3"/>
      <c r="J60" s="20">
        <f t="shared" si="5"/>
        <v>4.4944102556794688E-3</v>
      </c>
      <c r="K60" s="3"/>
      <c r="L60" s="3">
        <f t="shared" si="6"/>
        <v>-1838.72</v>
      </c>
      <c r="M60" s="3"/>
      <c r="N60" s="20">
        <f t="shared" si="7"/>
        <v>-1</v>
      </c>
      <c r="O60" s="12"/>
      <c r="P60" s="3">
        <v>0</v>
      </c>
      <c r="Q60" s="3"/>
      <c r="R60" s="20">
        <f t="shared" si="8"/>
        <v>0</v>
      </c>
      <c r="S60" s="3"/>
      <c r="T60" s="3">
        <v>22839.13</v>
      </c>
      <c r="U60" s="3"/>
      <c r="V60" s="20">
        <f t="shared" si="9"/>
        <v>1.210344921696869E-2</v>
      </c>
      <c r="W60" s="3"/>
      <c r="X60" s="3">
        <f t="shared" si="10"/>
        <v>-22839.13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1371.26</v>
      </c>
      <c r="I61" s="3"/>
      <c r="J61" s="20">
        <f t="shared" si="5"/>
        <v>3.3517909236876896E-3</v>
      </c>
      <c r="K61" s="3"/>
      <c r="L61" s="3">
        <f t="shared" si="6"/>
        <v>-1371.26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5564.77</v>
      </c>
      <c r="U61" s="3"/>
      <c r="V61" s="20">
        <f t="shared" si="9"/>
        <v>2.9490138678273147E-3</v>
      </c>
      <c r="W61" s="3"/>
      <c r="X61" s="3">
        <f t="shared" si="10"/>
        <v>-5564.77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2.8320977258268249E-3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39218.65</v>
      </c>
      <c r="I63" s="3"/>
      <c r="J63" s="20">
        <f t="shared" si="5"/>
        <v>9.5862721226670514E-2</v>
      </c>
      <c r="K63" s="3"/>
      <c r="L63" s="3">
        <f t="shared" si="6"/>
        <v>-39218.65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279090.25</v>
      </c>
      <c r="U63" s="3"/>
      <c r="V63" s="20">
        <f t="shared" si="9"/>
        <v>0.14790207279463341</v>
      </c>
      <c r="W63" s="3"/>
      <c r="X63" s="3">
        <f t="shared" si="10"/>
        <v>-279090.25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15798.51</v>
      </c>
      <c r="I64" s="3"/>
      <c r="J64" s="20">
        <f t="shared" si="5"/>
        <v>3.861652963390546E-2</v>
      </c>
      <c r="K64" s="3"/>
      <c r="L64" s="3">
        <f t="shared" si="6"/>
        <v>-15798.51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84261.95</v>
      </c>
      <c r="U64" s="3"/>
      <c r="V64" s="20">
        <f t="shared" si="9"/>
        <v>4.4654075384997362E-2</v>
      </c>
      <c r="W64" s="3"/>
      <c r="X64" s="3">
        <f t="shared" si="10"/>
        <v>-84261.95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/>
      <c r="I65" s="3"/>
      <c r="J65" s="20">
        <f t="shared" si="5"/>
        <v>0</v>
      </c>
      <c r="K65" s="3"/>
      <c r="L65" s="3">
        <f t="shared" si="6"/>
        <v>0</v>
      </c>
      <c r="M65" s="3"/>
      <c r="N65" s="20">
        <f t="shared" si="7"/>
        <v>0</v>
      </c>
      <c r="O65" s="12"/>
      <c r="P65" s="3">
        <v>0</v>
      </c>
      <c r="Q65" s="3"/>
      <c r="R65" s="20">
        <f t="shared" si="8"/>
        <v>0</v>
      </c>
      <c r="S65" s="3"/>
      <c r="T65" s="3">
        <v>18748.18</v>
      </c>
      <c r="U65" s="3"/>
      <c r="V65" s="20">
        <f t="shared" si="9"/>
        <v>9.9354767252775398E-3</v>
      </c>
      <c r="W65" s="3"/>
      <c r="X65" s="3">
        <f t="shared" si="10"/>
        <v>-18748.18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>
        <v>41</v>
      </c>
      <c r="I66" s="3"/>
      <c r="J66" s="20">
        <f t="shared" si="5"/>
        <v>1.002169011501796E-4</v>
      </c>
      <c r="K66" s="3"/>
      <c r="L66" s="3">
        <f t="shared" si="6"/>
        <v>-41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55405.33</v>
      </c>
      <c r="U66" s="3"/>
      <c r="V66" s="20">
        <f t="shared" si="9"/>
        <v>2.9361696264454548E-2</v>
      </c>
      <c r="W66" s="3"/>
      <c r="X66" s="3">
        <f t="shared" si="10"/>
        <v>-55405.33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>
        <v>1490.88</v>
      </c>
      <c r="I67" s="3"/>
      <c r="J67" s="20">
        <f t="shared" si="5"/>
        <v>3.6441798435799945E-3</v>
      </c>
      <c r="K67" s="3"/>
      <c r="L67" s="3">
        <f t="shared" si="6"/>
        <v>-1490.88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2555.71</v>
      </c>
      <c r="U67" s="3"/>
      <c r="V67" s="20">
        <f t="shared" si="9"/>
        <v>1.3543819838277135E-3</v>
      </c>
      <c r="W67" s="3"/>
      <c r="X67" s="3">
        <f t="shared" si="10"/>
        <v>-2555.71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5771.38</v>
      </c>
      <c r="I68" s="3"/>
      <c r="J68" s="20">
        <f t="shared" si="5"/>
        <v>1.4107068755124965E-2</v>
      </c>
      <c r="K68" s="3"/>
      <c r="L68" s="3">
        <f t="shared" si="6"/>
        <v>-5771.38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114998.07</v>
      </c>
      <c r="U68" s="3"/>
      <c r="V68" s="20">
        <f t="shared" si="9"/>
        <v>6.0942483373684138E-2</v>
      </c>
      <c r="W68" s="3"/>
      <c r="X68" s="3">
        <f t="shared" si="10"/>
        <v>-114998.07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","5086"," - ","PURCHASES @ COST-COMPUTER SUPP")</f>
        <v xml:space="preserve">          5086 - PURCHASES @ COST-COMPUTER SUPP</v>
      </c>
      <c r="C69" s="12"/>
      <c r="D69" s="3"/>
      <c r="E69" s="3"/>
      <c r="F69" s="20">
        <f t="shared" si="4"/>
        <v>0</v>
      </c>
      <c r="G69" s="3"/>
      <c r="H69" s="3"/>
      <c r="I69" s="3"/>
      <c r="J69" s="20">
        <f t="shared" si="5"/>
        <v>0</v>
      </c>
      <c r="K69" s="3"/>
      <c r="L69" s="3">
        <f t="shared" si="6"/>
        <v>0</v>
      </c>
      <c r="M69" s="3"/>
      <c r="N69" s="20">
        <f t="shared" si="7"/>
        <v>0</v>
      </c>
      <c r="O69" s="12"/>
      <c r="P69" s="3"/>
      <c r="Q69" s="3"/>
      <c r="R69" s="20">
        <f t="shared" si="8"/>
        <v>0</v>
      </c>
      <c r="S69" s="3"/>
      <c r="T69" s="3">
        <v>13.21</v>
      </c>
      <c r="U69" s="3"/>
      <c r="V69" s="20">
        <f t="shared" si="9"/>
        <v>7.0005540559625693E-6</v>
      </c>
      <c r="W69" s="3"/>
      <c r="X69" s="3">
        <f t="shared" si="10"/>
        <v>-13.21</v>
      </c>
      <c r="Y69" s="3"/>
      <c r="Z69" s="20">
        <f t="shared" si="11"/>
        <v>-1</v>
      </c>
    </row>
    <row r="70" spans="1:26" s="69" customFormat="1" ht="15" hidden="1" customHeight="1" outlineLevel="1" x14ac:dyDescent="0.3">
      <c r="A70" s="42"/>
      <c r="B70" s="12" t="str">
        <f>CONCATENATE("          ","5200"," - ","PURCHASES OFFSET")</f>
        <v xml:space="preserve">          5200 - PURCHASES OFFSET</v>
      </c>
      <c r="C70" s="12"/>
      <c r="D70" s="3">
        <v>-357462.56</v>
      </c>
      <c r="E70" s="3"/>
      <c r="F70" s="20">
        <f t="shared" si="4"/>
        <v>-0.47553524004047748</v>
      </c>
      <c r="G70" s="3"/>
      <c r="H70" s="3">
        <v>-70754.37</v>
      </c>
      <c r="I70" s="3"/>
      <c r="J70" s="20">
        <f t="shared" si="5"/>
        <v>-0.17294594400568858</v>
      </c>
      <c r="K70" s="3"/>
      <c r="L70" s="3">
        <f t="shared" si="6"/>
        <v>-286708.19</v>
      </c>
      <c r="M70" s="3"/>
      <c r="N70" s="20">
        <f t="shared" si="7"/>
        <v>4.0521622904705392</v>
      </c>
      <c r="O70" s="12"/>
      <c r="P70" s="3">
        <v>-2217383.4700000002</v>
      </c>
      <c r="Q70" s="3"/>
      <c r="R70" s="20">
        <f t="shared" si="8"/>
        <v>-0.54916435490995963</v>
      </c>
      <c r="S70" s="3"/>
      <c r="T70" s="3">
        <v>-614625.82999999996</v>
      </c>
      <c r="U70" s="3"/>
      <c r="V70" s="20">
        <f t="shared" si="9"/>
        <v>-0.32571698312686298</v>
      </c>
      <c r="W70" s="3"/>
      <c r="X70" s="3">
        <f t="shared" si="10"/>
        <v>-1602757.6400000001</v>
      </c>
      <c r="Y70" s="3"/>
      <c r="Z70" s="20">
        <f t="shared" si="11"/>
        <v>2.6076965232652203</v>
      </c>
    </row>
    <row r="71" spans="1:26" s="69" customFormat="1" ht="15" hidden="1" customHeight="1" outlineLevel="1" x14ac:dyDescent="0.3">
      <c r="A71" s="42"/>
      <c r="B71" s="12" t="str">
        <f>CONCATENATE("          ","5300"," - ","COG$ OFFSET")</f>
        <v xml:space="preserve">          5300 - COG$ OFFSET</v>
      </c>
      <c r="C71" s="12"/>
      <c r="D71" s="3">
        <v>331704.71000000002</v>
      </c>
      <c r="E71" s="3"/>
      <c r="F71" s="20">
        <f t="shared" si="4"/>
        <v>0.44126937067872779</v>
      </c>
      <c r="G71" s="3"/>
      <c r="H71" s="3">
        <v>191894</v>
      </c>
      <c r="I71" s="3"/>
      <c r="J71" s="20">
        <f t="shared" si="5"/>
        <v>0.46904931778811132</v>
      </c>
      <c r="K71" s="3"/>
      <c r="L71" s="3">
        <f t="shared" si="6"/>
        <v>139810.71000000002</v>
      </c>
      <c r="M71" s="3"/>
      <c r="N71" s="20">
        <f t="shared" si="7"/>
        <v>0.72858301979217699</v>
      </c>
      <c r="O71" s="12"/>
      <c r="P71" s="3">
        <v>1895255.77</v>
      </c>
      <c r="Q71" s="3"/>
      <c r="R71" s="20">
        <f t="shared" si="8"/>
        <v>0.46938516788051493</v>
      </c>
      <c r="S71" s="3"/>
      <c r="T71" s="3">
        <v>1024929</v>
      </c>
      <c r="U71" s="3"/>
      <c r="V71" s="20">
        <f t="shared" si="9"/>
        <v>0.54315449417287354</v>
      </c>
      <c r="W71" s="3"/>
      <c r="X71" s="3">
        <f t="shared" si="10"/>
        <v>870326.77</v>
      </c>
      <c r="Y71" s="3"/>
      <c r="Z71" s="20">
        <f t="shared" si="11"/>
        <v>0.849158107537205</v>
      </c>
    </row>
    <row r="72" spans="1:26" s="69" customFormat="1" ht="15" hidden="1" customHeight="1" outlineLevel="1" x14ac:dyDescent="0.3">
      <c r="A72" s="42"/>
      <c r="B72" s="12" t="str">
        <f>CONCATENATE("          ","5500"," - ","FREIGHT-IN")</f>
        <v xml:space="preserve">          5500 - FREIGHT-IN</v>
      </c>
      <c r="C72" s="12"/>
      <c r="D72" s="3">
        <v>32532.95</v>
      </c>
      <c r="E72" s="3"/>
      <c r="F72" s="20">
        <f t="shared" si="4"/>
        <v>4.3278837894169538E-2</v>
      </c>
      <c r="G72" s="3"/>
      <c r="H72" s="3"/>
      <c r="I72" s="3"/>
      <c r="J72" s="20">
        <f t="shared" si="5"/>
        <v>0</v>
      </c>
      <c r="K72" s="3"/>
      <c r="L72" s="3">
        <f t="shared" si="6"/>
        <v>32532.95</v>
      </c>
      <c r="M72" s="3"/>
      <c r="N72" s="20">
        <f t="shared" si="7"/>
        <v>0</v>
      </c>
      <c r="O72" s="12"/>
      <c r="P72" s="3">
        <v>102844.58</v>
      </c>
      <c r="Q72" s="3"/>
      <c r="R72" s="20">
        <f t="shared" si="8"/>
        <v>2.5470820990509922E-2</v>
      </c>
      <c r="S72" s="3"/>
      <c r="T72" s="3"/>
      <c r="U72" s="3"/>
      <c r="V72" s="20">
        <f t="shared" si="9"/>
        <v>0</v>
      </c>
      <c r="W72" s="3"/>
      <c r="X72" s="3">
        <f t="shared" si="10"/>
        <v>102844.58</v>
      </c>
      <c r="Y72" s="3"/>
      <c r="Z72" s="20">
        <f t="shared" si="11"/>
        <v>0</v>
      </c>
    </row>
    <row r="73" spans="1:26" s="69" customFormat="1" ht="15" hidden="1" customHeight="1" outlineLevel="1" x14ac:dyDescent="0.3">
      <c r="A73" s="42"/>
      <c r="B73" s="12" t="str">
        <f>CONCATENATE("          ","5525"," - ","FREIGHT-IN-TEST FORMS")</f>
        <v xml:space="preserve">          5525 - FREIGHT-IN-TEST FORMS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48.14</v>
      </c>
      <c r="U73" s="3"/>
      <c r="V73" s="20">
        <f t="shared" si="9"/>
        <v>2.5511481624075552E-5</v>
      </c>
      <c r="W73" s="3"/>
      <c r="X73" s="3">
        <f t="shared" si="10"/>
        <v>-48.14</v>
      </c>
      <c r="Y73" s="3"/>
      <c r="Z73" s="20">
        <f t="shared" si="11"/>
        <v>-1</v>
      </c>
    </row>
    <row r="74" spans="1:26" s="69" customFormat="1" ht="15" hidden="1" customHeight="1" outlineLevel="1" x14ac:dyDescent="0.3">
      <c r="A74" s="42"/>
      <c r="B74" s="12" t="str">
        <f>CONCATENATE("          ","5526"," - ","FREIGHT-IN-WRITING INSTRUMENTS")</f>
        <v xml:space="preserve">          5526 - FREIGHT-IN-WRITING INSTRUMENTS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/>
      <c r="Q74" s="3"/>
      <c r="R74" s="20">
        <f t="shared" si="8"/>
        <v>0</v>
      </c>
      <c r="S74" s="3"/>
      <c r="T74" s="3">
        <v>0</v>
      </c>
      <c r="U74" s="3"/>
      <c r="V74" s="20">
        <f t="shared" si="9"/>
        <v>0</v>
      </c>
      <c r="W74" s="3"/>
      <c r="X74" s="3">
        <f t="shared" si="10"/>
        <v>0</v>
      </c>
      <c r="Y74" s="3"/>
      <c r="Z74" s="20">
        <f t="shared" si="11"/>
        <v>0</v>
      </c>
    </row>
    <row r="75" spans="1:26" s="69" customFormat="1" ht="15" hidden="1" customHeight="1" outlineLevel="1" x14ac:dyDescent="0.3">
      <c r="A75" s="42"/>
      <c r="B75" s="12" t="str">
        <f>CONCATENATE("          ","5527"," - ","FREIGHT-IN-SCHOOL SUPPLIES")</f>
        <v xml:space="preserve">          5527 - FREIGHT-IN-SCHOOL SUPPLIES</v>
      </c>
      <c r="C75" s="12"/>
      <c r="D75" s="3"/>
      <c r="E75" s="3"/>
      <c r="F75" s="20">
        <f t="shared" si="4"/>
        <v>0</v>
      </c>
      <c r="G75" s="3"/>
      <c r="H75" s="3"/>
      <c r="I75" s="3"/>
      <c r="J75" s="20">
        <f t="shared" si="5"/>
        <v>0</v>
      </c>
      <c r="K75" s="3"/>
      <c r="L75" s="3">
        <f t="shared" si="6"/>
        <v>0</v>
      </c>
      <c r="M75" s="3"/>
      <c r="N75" s="20">
        <f t="shared" si="7"/>
        <v>0</v>
      </c>
      <c r="O75" s="12"/>
      <c r="P75" s="3">
        <v>0</v>
      </c>
      <c r="Q75" s="3"/>
      <c r="R75" s="20">
        <f t="shared" si="8"/>
        <v>0</v>
      </c>
      <c r="S75" s="3"/>
      <c r="T75" s="3">
        <v>218.62</v>
      </c>
      <c r="U75" s="3"/>
      <c r="V75" s="20">
        <f t="shared" si="9"/>
        <v>1.1585625493675524E-4</v>
      </c>
      <c r="W75" s="3"/>
      <c r="X75" s="3">
        <f t="shared" si="10"/>
        <v>-218.62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","5528"," - ","FREIGHT-IN-ART/TECH")</f>
        <v xml:space="preserve">          5528 - FREIGHT-IN-ART/TECH</v>
      </c>
      <c r="C76" s="12"/>
      <c r="D76" s="3"/>
      <c r="E76" s="3"/>
      <c r="F76" s="20">
        <f t="shared" si="4"/>
        <v>0</v>
      </c>
      <c r="G76" s="3"/>
      <c r="H76" s="3">
        <v>69.73</v>
      </c>
      <c r="I76" s="3"/>
      <c r="J76" s="20">
        <f t="shared" si="5"/>
        <v>1.7044206139517131E-4</v>
      </c>
      <c r="K76" s="3"/>
      <c r="L76" s="3">
        <f t="shared" si="6"/>
        <v>-69.73</v>
      </c>
      <c r="M76" s="3"/>
      <c r="N76" s="20">
        <f t="shared" si="7"/>
        <v>-1</v>
      </c>
      <c r="O76" s="12"/>
      <c r="P76" s="3"/>
      <c r="Q76" s="3"/>
      <c r="R76" s="20">
        <f t="shared" si="8"/>
        <v>0</v>
      </c>
      <c r="S76" s="3"/>
      <c r="T76" s="3">
        <v>176.91</v>
      </c>
      <c r="U76" s="3"/>
      <c r="V76" s="20">
        <f t="shared" si="9"/>
        <v>9.3752310222584254E-5</v>
      </c>
      <c r="W76" s="3"/>
      <c r="X76" s="3">
        <f t="shared" si="10"/>
        <v>-176.91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","5540"," - ","FREIGHT-IN-LOGO CLOTHING")</f>
        <v xml:space="preserve">          5540 - FREIGHT-IN-LOGO CLOTHING</v>
      </c>
      <c r="C77" s="12"/>
      <c r="D77" s="3"/>
      <c r="E77" s="3"/>
      <c r="F77" s="20">
        <f t="shared" si="4"/>
        <v>0</v>
      </c>
      <c r="G77" s="3"/>
      <c r="H77" s="3">
        <v>2107.65</v>
      </c>
      <c r="I77" s="3"/>
      <c r="J77" s="20">
        <f t="shared" si="5"/>
        <v>5.1517597977847815E-3</v>
      </c>
      <c r="K77" s="3"/>
      <c r="L77" s="3">
        <f t="shared" si="6"/>
        <v>-2107.65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9216.02</v>
      </c>
      <c r="U77" s="3"/>
      <c r="V77" s="20">
        <f t="shared" si="9"/>
        <v>4.8839701885565598E-3</v>
      </c>
      <c r="W77" s="3"/>
      <c r="X77" s="3">
        <f t="shared" si="10"/>
        <v>-9216.02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","5541"," - ","FREIGHT-IN-LOGO GIFTS")</f>
        <v xml:space="preserve">          5541 - FREIGHT-IN-LOGO GIFTS</v>
      </c>
      <c r="C78" s="12"/>
      <c r="D78" s="3"/>
      <c r="E78" s="3"/>
      <c r="F78" s="20">
        <f t="shared" si="4"/>
        <v>0</v>
      </c>
      <c r="G78" s="3"/>
      <c r="H78" s="3">
        <v>2877.99</v>
      </c>
      <c r="I78" s="3"/>
      <c r="J78" s="20">
        <f t="shared" si="5"/>
        <v>7.0347131546635456E-3</v>
      </c>
      <c r="K78" s="3"/>
      <c r="L78" s="3">
        <f t="shared" si="6"/>
        <v>-2877.99</v>
      </c>
      <c r="M78" s="3"/>
      <c r="N78" s="20">
        <f t="shared" si="7"/>
        <v>-1</v>
      </c>
      <c r="O78" s="12"/>
      <c r="P78" s="3">
        <v>0</v>
      </c>
      <c r="Q78" s="3"/>
      <c r="R78" s="20">
        <f t="shared" si="8"/>
        <v>0</v>
      </c>
      <c r="S78" s="3"/>
      <c r="T78" s="3">
        <v>5015.99</v>
      </c>
      <c r="U78" s="3"/>
      <c r="V78" s="20">
        <f t="shared" si="9"/>
        <v>2.6581914564093628E-3</v>
      </c>
      <c r="W78" s="3"/>
      <c r="X78" s="3">
        <f t="shared" si="10"/>
        <v>-5015.99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","5542"," - ","FREIGHT-IN-EVERYDAY GIFTS")</f>
        <v xml:space="preserve">          5542 - FREIGHT-IN-EVERYDAY GIFTS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>
        <v>0</v>
      </c>
      <c r="Q79" s="3"/>
      <c r="R79" s="20">
        <f t="shared" si="8"/>
        <v>0</v>
      </c>
      <c r="S79" s="3"/>
      <c r="T79" s="3">
        <v>681.72</v>
      </c>
      <c r="U79" s="3"/>
      <c r="V79" s="20">
        <f t="shared" si="9"/>
        <v>3.6127310454434536E-4</v>
      </c>
      <c r="W79" s="3"/>
      <c r="X79" s="3">
        <f t="shared" si="10"/>
        <v>-681.72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","5543"," - ","FREIGHT-IN-CARDS")</f>
        <v xml:space="preserve">          5543 - FREIGHT-IN-CARDS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/>
      <c r="Q80" s="3"/>
      <c r="R80" s="20">
        <f t="shared" si="8"/>
        <v>0</v>
      </c>
      <c r="S80" s="3"/>
      <c r="T80" s="3">
        <v>9110.5300000000007</v>
      </c>
      <c r="U80" s="3"/>
      <c r="V80" s="20">
        <f t="shared" si="9"/>
        <v>4.8280664453799142E-3</v>
      </c>
      <c r="W80" s="3"/>
      <c r="X80" s="3">
        <f t="shared" si="10"/>
        <v>-9110.5300000000007</v>
      </c>
      <c r="Y80" s="3"/>
      <c r="Z80" s="20">
        <f t="shared" si="11"/>
        <v>-1</v>
      </c>
    </row>
    <row r="81" spans="1:26" s="69" customFormat="1" ht="15" hidden="1" customHeight="1" outlineLevel="1" x14ac:dyDescent="0.3">
      <c r="A81" s="42"/>
      <c r="B81" s="12" t="str">
        <f>CONCATENATE("          ","5544"," - ","FREIGHT-IN-ACCESSORIES")</f>
        <v xml:space="preserve">          5544 - FREIGHT-IN-ACCESSORIES</v>
      </c>
      <c r="C81" s="12"/>
      <c r="D81" s="3"/>
      <c r="E81" s="3"/>
      <c r="F81" s="20">
        <f t="shared" si="4"/>
        <v>0</v>
      </c>
      <c r="G81" s="3"/>
      <c r="H81" s="3"/>
      <c r="I81" s="3"/>
      <c r="J81" s="20">
        <f t="shared" si="5"/>
        <v>0</v>
      </c>
      <c r="K81" s="3"/>
      <c r="L81" s="3">
        <f t="shared" si="6"/>
        <v>0</v>
      </c>
      <c r="M81" s="3"/>
      <c r="N81" s="20">
        <f t="shared" si="7"/>
        <v>0</v>
      </c>
      <c r="O81" s="12"/>
      <c r="P81" s="3">
        <v>0</v>
      </c>
      <c r="Q81" s="3"/>
      <c r="R81" s="20">
        <f t="shared" si="8"/>
        <v>0</v>
      </c>
      <c r="S81" s="3"/>
      <c r="T81" s="3"/>
      <c r="U81" s="3"/>
      <c r="V81" s="20">
        <f t="shared" si="9"/>
        <v>0</v>
      </c>
      <c r="W81" s="3"/>
      <c r="X81" s="3">
        <f t="shared" si="10"/>
        <v>0</v>
      </c>
      <c r="Y81" s="3"/>
      <c r="Z81" s="20">
        <f t="shared" si="11"/>
        <v>0</v>
      </c>
    </row>
    <row r="82" spans="1:26" s="69" customFormat="1" ht="15" hidden="1" customHeight="1" outlineLevel="1" x14ac:dyDescent="0.3">
      <c r="A82" s="42"/>
      <c r="B82" s="12" t="str">
        <f>CONCATENATE("          ","5545"," - ","FREIGHT-IN-SPECIAL ORDERS")</f>
        <v xml:space="preserve">          5545 - FREIGHT-IN-SPECIAL ORDERS</v>
      </c>
      <c r="C82" s="12"/>
      <c r="D82" s="3"/>
      <c r="E82" s="3"/>
      <c r="F82" s="20">
        <f t="shared" si="4"/>
        <v>0</v>
      </c>
      <c r="G82" s="3"/>
      <c r="H82" s="3">
        <v>168.6</v>
      </c>
      <c r="I82" s="3"/>
      <c r="J82" s="20">
        <f t="shared" si="5"/>
        <v>4.1211145204683611E-4</v>
      </c>
      <c r="K82" s="3"/>
      <c r="L82" s="3">
        <f t="shared" si="6"/>
        <v>-168.6</v>
      </c>
      <c r="M82" s="3"/>
      <c r="N82" s="20">
        <f t="shared" si="7"/>
        <v>-1</v>
      </c>
      <c r="O82" s="12"/>
      <c r="P82" s="3">
        <v>0</v>
      </c>
      <c r="Q82" s="3"/>
      <c r="R82" s="20">
        <f t="shared" si="8"/>
        <v>0</v>
      </c>
      <c r="S82" s="3"/>
      <c r="T82" s="3">
        <v>1434.76</v>
      </c>
      <c r="U82" s="3"/>
      <c r="V82" s="20">
        <f t="shared" si="9"/>
        <v>7.6034178178144242E-4</v>
      </c>
      <c r="W82" s="3"/>
      <c r="X82" s="3">
        <f t="shared" si="10"/>
        <v>-1434.76</v>
      </c>
      <c r="Y82" s="3"/>
      <c r="Z82" s="20">
        <f t="shared" si="11"/>
        <v>-1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288</v>
      </c>
      <c r="C84" s="28"/>
      <c r="D84" s="21">
        <f>D12-D56</f>
        <v>420001.01000000007</v>
      </c>
      <c r="E84" s="15"/>
      <c r="F84" s="23">
        <f>IF(D$12=0,0,D84/D$12)</f>
        <v>0.55873062932127215</v>
      </c>
      <c r="G84" s="15"/>
      <c r="H84" s="21">
        <f>H12-H56</f>
        <v>217218.63</v>
      </c>
      <c r="I84" s="15"/>
      <c r="J84" s="23">
        <f>IF(H$12=0,0,H84/H$12)</f>
        <v>0.53095068221188868</v>
      </c>
      <c r="K84" s="16"/>
      <c r="L84" s="21">
        <f>+D84-H84</f>
        <v>202782.38000000006</v>
      </c>
      <c r="M84" s="16"/>
      <c r="N84" s="23">
        <f>IF(H84=0,0,L84/H84)</f>
        <v>0.93354046105529742</v>
      </c>
      <c r="O84" s="27"/>
      <c r="P84" s="21">
        <f>P12-P56</f>
        <v>2145485.3000000003</v>
      </c>
      <c r="Q84" s="15"/>
      <c r="R84" s="23">
        <f>IF(P$12=0,0,P84/P$12)</f>
        <v>0.5313578218129773</v>
      </c>
      <c r="S84" s="15"/>
      <c r="T84" s="21">
        <f>T12-T56</f>
        <v>861147.9599999995</v>
      </c>
      <c r="U84" s="15"/>
      <c r="V84" s="23">
        <f>IF(T$12=0,0,T84/T$12)</f>
        <v>0.4563597913824291</v>
      </c>
      <c r="W84" s="16"/>
      <c r="X84" s="21">
        <f>+P84-T84</f>
        <v>1284337.3400000008</v>
      </c>
      <c r="Y84" s="16"/>
      <c r="Z84" s="23">
        <f>IF(T84=0,0,X84/T84)</f>
        <v>1.491424702440219</v>
      </c>
    </row>
    <row r="85" spans="1:26" ht="15" customHeight="1" x14ac:dyDescent="0.3">
      <c r="A85" s="10"/>
      <c r="B85" s="11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2" customFormat="1" ht="15" customHeight="1" x14ac:dyDescent="0.3">
      <c r="A86" s="11"/>
      <c r="B86" s="27" t="s">
        <v>289</v>
      </c>
      <c r="C86" s="11"/>
      <c r="D86" s="22" cm="1">
        <f t="array" ref="D86">SUM(OSRRefD22x_0)</f>
        <v>142778.09000000003</v>
      </c>
      <c r="E86" s="22"/>
      <c r="F86" s="32">
        <f t="shared" ref="F86:F117" si="12">IF(D$12=0,0,D86/D$12)</f>
        <v>0.18993881009712152</v>
      </c>
      <c r="G86" s="22"/>
      <c r="H86" s="22" cm="1">
        <f t="array" ref="H86">SUM(OSRRefH22x_0)</f>
        <v>81431.67</v>
      </c>
      <c r="I86" s="22"/>
      <c r="J86" s="32">
        <f t="shared" ref="J86:J117" si="13">IF(H$12=0,0,H86/H$12)</f>
        <v>0.19904462494839134</v>
      </c>
      <c r="K86" s="5"/>
      <c r="L86" s="22">
        <f t="shared" ref="L86:L117" si="14">+D86-H86</f>
        <v>61346.420000000027</v>
      </c>
      <c r="M86" s="5"/>
      <c r="N86" s="32">
        <f t="shared" ref="N86:N117" si="15">IF(H86=0,0,L86/H86)</f>
        <v>0.75334842082939024</v>
      </c>
      <c r="O86" s="11"/>
      <c r="P86" s="22" cm="1">
        <f t="array" ref="P86">SUM(OSRRefP22x_0)</f>
        <v>1039998.2500000001</v>
      </c>
      <c r="Q86" s="22"/>
      <c r="R86" s="32">
        <f t="shared" ref="R86:R117" si="16">IF(P$12=0,0,P86/P$12)</f>
        <v>0.25756932699996044</v>
      </c>
      <c r="S86" s="22"/>
      <c r="T86" s="22" cm="1">
        <f t="array" ref="T86">SUM(OSRRefT22x_0)</f>
        <v>689587.46</v>
      </c>
      <c r="U86" s="22"/>
      <c r="V86" s="32">
        <f t="shared" ref="V86:V117" si="17">IF(T$12=0,0,T86/T$12)</f>
        <v>0.36544241408356737</v>
      </c>
      <c r="W86" s="5"/>
      <c r="X86" s="22">
        <f t="shared" ref="X86:X117" si="18">+P86-T86</f>
        <v>350410.79000000015</v>
      </c>
      <c r="Y86" s="5"/>
      <c r="Z86" s="32">
        <f t="shared" ref="Z86:Z117" si="19">IF(T86=0,0,X86/T86)</f>
        <v>0.50814553675323526</v>
      </c>
    </row>
    <row r="87" spans="1:26" s="68" customFormat="1" ht="15" customHeight="1" outlineLevel="1" collapsed="1" x14ac:dyDescent="0.3">
      <c r="A87" s="25"/>
      <c r="B87" s="14" t="str">
        <f>CONCATENATE("     ","*Benefits                                         ")</f>
        <v xml:space="preserve">     *Benefits                                         </v>
      </c>
      <c r="C87" s="14"/>
      <c r="D87" s="2">
        <f>SUM(OSRRefD22_0x_0)</f>
        <v>13901.47</v>
      </c>
      <c r="E87" s="2"/>
      <c r="F87" s="6">
        <f t="shared" si="12"/>
        <v>1.8493234293867018E-2</v>
      </c>
      <c r="G87" s="2"/>
      <c r="H87" s="2">
        <f>SUM(OSRRefH22_0x_0)</f>
        <v>15713.970000000001</v>
      </c>
      <c r="I87" s="2"/>
      <c r="J87" s="6">
        <f t="shared" si="13"/>
        <v>3.8409887272363115E-2</v>
      </c>
      <c r="K87" s="2"/>
      <c r="L87" s="2">
        <f t="shared" si="14"/>
        <v>-1812.5000000000018</v>
      </c>
      <c r="M87" s="2"/>
      <c r="N87" s="6">
        <f t="shared" si="15"/>
        <v>-0.11534322644118589</v>
      </c>
      <c r="O87" s="14"/>
      <c r="P87" s="2">
        <f>SUM(OSRRefP22_0x_0)</f>
        <v>146122.14000000001</v>
      </c>
      <c r="Q87" s="2"/>
      <c r="R87" s="6">
        <f t="shared" si="16"/>
        <v>3.6189081337006088E-2</v>
      </c>
      <c r="S87" s="2"/>
      <c r="T87" s="2">
        <f>SUM(OSRRefT22_0x_0)</f>
        <v>149688.74000000002</v>
      </c>
      <c r="U87" s="2"/>
      <c r="V87" s="6">
        <f t="shared" si="17"/>
        <v>7.9326579556315405E-2</v>
      </c>
      <c r="W87" s="2"/>
      <c r="X87" s="2">
        <f t="shared" si="18"/>
        <v>-3566.6000000000058</v>
      </c>
      <c r="Y87" s="2"/>
      <c r="Z87" s="6">
        <f t="shared" si="19"/>
        <v>-2.382677548090795E-2</v>
      </c>
    </row>
    <row r="88" spans="1:26" s="69" customFormat="1" ht="15" hidden="1" customHeight="1" outlineLevel="2" x14ac:dyDescent="0.3">
      <c r="A88" s="26"/>
      <c r="B88" s="12" t="str">
        <f>CONCATENATE("          ","6111"," - ","F.I.C.A.")</f>
        <v xml:space="preserve">          6111 - F.I.C.A.</v>
      </c>
      <c r="C88" s="12"/>
      <c r="D88" s="8">
        <v>2972.79</v>
      </c>
      <c r="E88" s="3"/>
      <c r="F88" s="7">
        <f t="shared" si="12"/>
        <v>3.9547257934926978E-3</v>
      </c>
      <c r="G88" s="3"/>
      <c r="H88" s="8">
        <v>3546.36</v>
      </c>
      <c r="I88" s="3"/>
      <c r="J88" s="7">
        <f t="shared" si="13"/>
        <v>8.6684197454378279E-3</v>
      </c>
      <c r="K88" s="3"/>
      <c r="L88" s="8">
        <f t="shared" si="14"/>
        <v>-573.57000000000016</v>
      </c>
      <c r="M88" s="3"/>
      <c r="N88" s="7">
        <f t="shared" si="15"/>
        <v>-0.1617348492538829</v>
      </c>
      <c r="O88" s="12"/>
      <c r="P88" s="8">
        <v>26833.3</v>
      </c>
      <c r="Q88" s="3"/>
      <c r="R88" s="7">
        <f t="shared" si="16"/>
        <v>6.6456217807943779E-3</v>
      </c>
      <c r="S88" s="3"/>
      <c r="T88" s="8">
        <v>29868.65</v>
      </c>
      <c r="U88" s="3"/>
      <c r="V88" s="7">
        <f t="shared" si="17"/>
        <v>1.5828697873098138E-2</v>
      </c>
      <c r="W88" s="3"/>
      <c r="X88" s="8">
        <f t="shared" si="18"/>
        <v>-3035.3500000000022</v>
      </c>
      <c r="Y88" s="3"/>
      <c r="Z88" s="7">
        <f t="shared" si="19"/>
        <v>-0.10162327390089616</v>
      </c>
    </row>
    <row r="89" spans="1:26" s="69" customFormat="1" ht="15" hidden="1" customHeight="1" outlineLevel="2" x14ac:dyDescent="0.3">
      <c r="A89" s="26"/>
      <c r="B89" s="12" t="str">
        <f>CONCATENATE("          ","6112"," - ","COMPENSATION INSURANCE")</f>
        <v xml:space="preserve">          6112 - COMPENSATION INSURANCE</v>
      </c>
      <c r="C89" s="12"/>
      <c r="D89" s="8">
        <v>1013.95</v>
      </c>
      <c r="E89" s="3"/>
      <c r="F89" s="7">
        <f t="shared" si="12"/>
        <v>1.3488656172524534E-3</v>
      </c>
      <c r="G89" s="3"/>
      <c r="H89" s="8">
        <v>695.25</v>
      </c>
      <c r="I89" s="3"/>
      <c r="J89" s="7">
        <f t="shared" si="13"/>
        <v>1.699409768894204E-3</v>
      </c>
      <c r="K89" s="3"/>
      <c r="L89" s="8">
        <f t="shared" si="14"/>
        <v>318.70000000000005</v>
      </c>
      <c r="M89" s="3"/>
      <c r="N89" s="7">
        <f t="shared" si="15"/>
        <v>0.45839626033800795</v>
      </c>
      <c r="O89" s="12"/>
      <c r="P89" s="8">
        <v>9616.48</v>
      </c>
      <c r="Q89" s="3"/>
      <c r="R89" s="7">
        <f t="shared" si="16"/>
        <v>2.3816485092244904E-3</v>
      </c>
      <c r="S89" s="3"/>
      <c r="T89" s="8">
        <v>9926.1200000000008</v>
      </c>
      <c r="U89" s="3"/>
      <c r="V89" s="7">
        <f t="shared" si="17"/>
        <v>5.2602830905352895E-3</v>
      </c>
      <c r="W89" s="3"/>
      <c r="X89" s="8">
        <f t="shared" si="18"/>
        <v>-309.64000000000124</v>
      </c>
      <c r="Y89" s="3"/>
      <c r="Z89" s="7">
        <f t="shared" si="19"/>
        <v>-3.1194464705242453E-2</v>
      </c>
    </row>
    <row r="90" spans="1:26" s="69" customFormat="1" ht="15" hidden="1" customHeight="1" outlineLevel="2" x14ac:dyDescent="0.3">
      <c r="A90" s="26"/>
      <c r="B90" s="12" t="str">
        <f>CONCATENATE("          ","6113"," - ","GROUP INSURANCE")</f>
        <v xml:space="preserve">          6113 - GROUP INSURANCE</v>
      </c>
      <c r="C90" s="12"/>
      <c r="D90" s="8">
        <v>3834.79</v>
      </c>
      <c r="E90" s="3"/>
      <c r="F90" s="7">
        <f t="shared" si="12"/>
        <v>5.1014511370220776E-3</v>
      </c>
      <c r="G90" s="3"/>
      <c r="H90" s="8">
        <v>4822.38</v>
      </c>
      <c r="I90" s="3"/>
      <c r="J90" s="7">
        <f t="shared" si="13"/>
        <v>1.1787414140697637E-2</v>
      </c>
      <c r="K90" s="3"/>
      <c r="L90" s="8">
        <f t="shared" si="14"/>
        <v>-987.59000000000015</v>
      </c>
      <c r="M90" s="3"/>
      <c r="N90" s="7">
        <f t="shared" si="15"/>
        <v>-0.20479306898253563</v>
      </c>
      <c r="O90" s="12"/>
      <c r="P90" s="8">
        <v>45991.61</v>
      </c>
      <c r="Q90" s="3"/>
      <c r="R90" s="7">
        <f t="shared" si="16"/>
        <v>1.1390430739036964E-2</v>
      </c>
      <c r="S90" s="3"/>
      <c r="T90" s="8">
        <v>53412.18</v>
      </c>
      <c r="U90" s="3"/>
      <c r="V90" s="7">
        <f t="shared" si="17"/>
        <v>2.8305439313913914E-2</v>
      </c>
      <c r="W90" s="3"/>
      <c r="X90" s="8">
        <f t="shared" si="18"/>
        <v>-7420.57</v>
      </c>
      <c r="Y90" s="3"/>
      <c r="Z90" s="7">
        <f t="shared" si="19"/>
        <v>-0.1389302964230256</v>
      </c>
    </row>
    <row r="91" spans="1:26" s="69" customFormat="1" ht="15" hidden="1" customHeight="1" outlineLevel="2" x14ac:dyDescent="0.3">
      <c r="A91" s="26"/>
      <c r="B91" s="12" t="str">
        <f>CONCATENATE("          ","6114"," - ","STATE UNEMPLOYMENT INSURANCE")</f>
        <v xml:space="preserve">          6114 - STATE UNEMPLOYMENT INSURANCE</v>
      </c>
      <c r="C91" s="12"/>
      <c r="D91" s="8">
        <v>178.13</v>
      </c>
      <c r="E91" s="3"/>
      <c r="F91" s="7">
        <f t="shared" si="12"/>
        <v>2.3696773253235317E-4</v>
      </c>
      <c r="G91" s="3"/>
      <c r="H91" s="8">
        <v>97.71</v>
      </c>
      <c r="I91" s="3"/>
      <c r="J91" s="7">
        <f t="shared" si="13"/>
        <v>2.3883398564351335E-4</v>
      </c>
      <c r="K91" s="3"/>
      <c r="L91" s="8">
        <f t="shared" si="14"/>
        <v>80.42</v>
      </c>
      <c r="M91" s="3"/>
      <c r="N91" s="7">
        <f t="shared" si="15"/>
        <v>0.82304779449391063</v>
      </c>
      <c r="O91" s="12"/>
      <c r="P91" s="8">
        <v>1690.54</v>
      </c>
      <c r="Q91" s="3"/>
      <c r="R91" s="7">
        <f t="shared" si="16"/>
        <v>4.1868459881207784E-4</v>
      </c>
      <c r="S91" s="3"/>
      <c r="T91" s="8">
        <v>1194.9100000000001</v>
      </c>
      <c r="U91" s="3"/>
      <c r="V91" s="7">
        <f t="shared" si="17"/>
        <v>6.3323482566315166E-4</v>
      </c>
      <c r="W91" s="3"/>
      <c r="X91" s="8">
        <f t="shared" si="18"/>
        <v>495.62999999999988</v>
      </c>
      <c r="Y91" s="3"/>
      <c r="Z91" s="7">
        <f t="shared" si="19"/>
        <v>0.41478437706605503</v>
      </c>
    </row>
    <row r="92" spans="1:26" s="69" customFormat="1" ht="15" hidden="1" customHeight="1" outlineLevel="2" x14ac:dyDescent="0.3">
      <c r="A92" s="26"/>
      <c r="B92" s="12" t="str">
        <f>CONCATENATE("          ","6115"," - ","P.E.R.S.")</f>
        <v xml:space="preserve">          6115 - P.E.R.S.</v>
      </c>
      <c r="C92" s="12"/>
      <c r="D92" s="8">
        <v>1549.91</v>
      </c>
      <c r="E92" s="3"/>
      <c r="F92" s="7">
        <f t="shared" si="12"/>
        <v>2.0618573981318112E-3</v>
      </c>
      <c r="G92" s="3"/>
      <c r="H92" s="8">
        <v>1841.51</v>
      </c>
      <c r="I92" s="3"/>
      <c r="J92" s="7">
        <f t="shared" si="13"/>
        <v>4.5012298935870054E-3</v>
      </c>
      <c r="K92" s="3"/>
      <c r="L92" s="8">
        <f t="shared" si="14"/>
        <v>-291.59999999999991</v>
      </c>
      <c r="M92" s="3"/>
      <c r="N92" s="7">
        <f t="shared" si="15"/>
        <v>-0.15834831198310079</v>
      </c>
      <c r="O92" s="12"/>
      <c r="P92" s="8">
        <v>16134.89</v>
      </c>
      <c r="Q92" s="3"/>
      <c r="R92" s="7">
        <f t="shared" si="16"/>
        <v>3.996018991876564E-3</v>
      </c>
      <c r="S92" s="3"/>
      <c r="T92" s="8">
        <v>20006.36</v>
      </c>
      <c r="U92" s="3"/>
      <c r="V92" s="7">
        <f t="shared" si="17"/>
        <v>1.0602241078201916E-2</v>
      </c>
      <c r="W92" s="3"/>
      <c r="X92" s="8">
        <f t="shared" si="18"/>
        <v>-3871.4700000000012</v>
      </c>
      <c r="Y92" s="3"/>
      <c r="Z92" s="7">
        <f t="shared" si="19"/>
        <v>-0.19351196319570382</v>
      </c>
    </row>
    <row r="93" spans="1:26" s="69" customFormat="1" ht="15" hidden="1" customHeight="1" outlineLevel="2" x14ac:dyDescent="0.3">
      <c r="A93" s="26"/>
      <c r="B93" s="12" t="str">
        <f>CONCATENATE("          ","6118"," - ","VACATION")</f>
        <v xml:space="preserve">          6118 - VACATION</v>
      </c>
      <c r="C93" s="12"/>
      <c r="D93" s="8">
        <v>1868.55</v>
      </c>
      <c r="E93" s="3"/>
      <c r="F93" s="7">
        <f t="shared" si="12"/>
        <v>2.4857466828907457E-3</v>
      </c>
      <c r="G93" s="3"/>
      <c r="H93" s="8">
        <v>2449.77</v>
      </c>
      <c r="I93" s="3"/>
      <c r="J93" s="7">
        <f t="shared" si="13"/>
        <v>5.9880087300164747E-3</v>
      </c>
      <c r="K93" s="3"/>
      <c r="L93" s="8">
        <f t="shared" si="14"/>
        <v>-581.22</v>
      </c>
      <c r="M93" s="3"/>
      <c r="N93" s="7">
        <f t="shared" si="15"/>
        <v>-0.23725492597264233</v>
      </c>
      <c r="O93" s="12"/>
      <c r="P93" s="8">
        <v>20115.580000000002</v>
      </c>
      <c r="Q93" s="3"/>
      <c r="R93" s="7">
        <f t="shared" si="16"/>
        <v>4.9818895395389974E-3</v>
      </c>
      <c r="S93" s="3"/>
      <c r="T93" s="8">
        <v>17712.36</v>
      </c>
      <c r="U93" s="3"/>
      <c r="V93" s="7">
        <f t="shared" si="17"/>
        <v>9.3865506160991045E-3</v>
      </c>
      <c r="W93" s="3"/>
      <c r="X93" s="8">
        <f t="shared" si="18"/>
        <v>2403.2200000000012</v>
      </c>
      <c r="Y93" s="3"/>
      <c r="Z93" s="7">
        <f t="shared" si="19"/>
        <v>0.1356803949332557</v>
      </c>
    </row>
    <row r="94" spans="1:26" s="69" customFormat="1" ht="15" hidden="1" customHeight="1" outlineLevel="2" x14ac:dyDescent="0.3">
      <c r="A94" s="26"/>
      <c r="B94" s="12" t="str">
        <f>CONCATENATE("          ","6119"," - ","SICK LEAVE")</f>
        <v xml:space="preserve">          6119 - SICK LEAVE</v>
      </c>
      <c r="C94" s="12"/>
      <c r="D94" s="8">
        <v>1718.13</v>
      </c>
      <c r="E94" s="3"/>
      <c r="F94" s="7">
        <f t="shared" si="12"/>
        <v>2.2856417801370463E-3</v>
      </c>
      <c r="G94" s="3"/>
      <c r="H94" s="8">
        <v>1658.43</v>
      </c>
      <c r="I94" s="3"/>
      <c r="J94" s="7">
        <f t="shared" si="13"/>
        <v>4.0537247652315212E-3</v>
      </c>
      <c r="K94" s="3"/>
      <c r="L94" s="8">
        <f t="shared" si="14"/>
        <v>59.700000000000045</v>
      </c>
      <c r="M94" s="3"/>
      <c r="N94" s="7">
        <f t="shared" si="15"/>
        <v>3.5997901629854771E-2</v>
      </c>
      <c r="O94" s="12"/>
      <c r="P94" s="8">
        <v>17556.009999999998</v>
      </c>
      <c r="Q94" s="3"/>
      <c r="R94" s="7">
        <f t="shared" si="16"/>
        <v>4.3479781629484227E-3</v>
      </c>
      <c r="S94" s="3"/>
      <c r="T94" s="8">
        <v>12895.07</v>
      </c>
      <c r="U94" s="3"/>
      <c r="V94" s="7">
        <f t="shared" si="17"/>
        <v>6.8336589394717064E-3</v>
      </c>
      <c r="W94" s="3"/>
      <c r="X94" s="8">
        <f t="shared" si="18"/>
        <v>4660.9399999999987</v>
      </c>
      <c r="Y94" s="3"/>
      <c r="Z94" s="7">
        <f t="shared" si="19"/>
        <v>0.36145131433951105</v>
      </c>
    </row>
    <row r="95" spans="1:26" s="69" customFormat="1" ht="15" hidden="1" customHeight="1" outlineLevel="2" x14ac:dyDescent="0.3">
      <c r="A95" s="26"/>
      <c r="B95" s="12" t="str">
        <f>CONCATENATE("          ","6156"," - ","EMPLOYEE MEALS")</f>
        <v xml:space="preserve">          6156 - EMPLOYEE MEALS</v>
      </c>
      <c r="C95" s="12"/>
      <c r="D95" s="8">
        <v>765.22</v>
      </c>
      <c r="E95" s="3"/>
      <c r="F95" s="7">
        <f t="shared" si="12"/>
        <v>1.0179781524078332E-3</v>
      </c>
      <c r="G95" s="3"/>
      <c r="H95" s="8">
        <v>602.55999999999995</v>
      </c>
      <c r="I95" s="3"/>
      <c r="J95" s="7">
        <f t="shared" si="13"/>
        <v>1.472846242854932E-3</v>
      </c>
      <c r="K95" s="3"/>
      <c r="L95" s="8">
        <f t="shared" si="14"/>
        <v>162.66000000000008</v>
      </c>
      <c r="M95" s="3"/>
      <c r="N95" s="7">
        <f t="shared" si="15"/>
        <v>0.26994822092405751</v>
      </c>
      <c r="O95" s="12"/>
      <c r="P95" s="8">
        <v>8183.73</v>
      </c>
      <c r="Q95" s="3"/>
      <c r="R95" s="7">
        <f t="shared" si="16"/>
        <v>2.0268090147741937E-3</v>
      </c>
      <c r="S95" s="3"/>
      <c r="T95" s="8">
        <v>4673.09</v>
      </c>
      <c r="U95" s="3"/>
      <c r="V95" s="7">
        <f t="shared" si="17"/>
        <v>2.4764738193321818E-3</v>
      </c>
      <c r="W95" s="3"/>
      <c r="X95" s="8">
        <f t="shared" si="18"/>
        <v>3510.6399999999994</v>
      </c>
      <c r="Y95" s="3"/>
      <c r="Z95" s="7">
        <f t="shared" si="19"/>
        <v>0.75124596359154205</v>
      </c>
    </row>
    <row r="96" spans="1:26" s="68" customFormat="1" ht="15" customHeight="1" outlineLevel="1" collapsed="1" x14ac:dyDescent="0.3">
      <c r="A96" s="25"/>
      <c r="B96" s="14" t="str">
        <f>CONCATENATE("     ","*Payroll                                          ")</f>
        <v xml:space="preserve">     *Payroll                                          </v>
      </c>
      <c r="C96" s="14"/>
      <c r="D96" s="2">
        <f>SUM(OSRRefD22_1x_0)</f>
        <v>84761.9</v>
      </c>
      <c r="E96" s="2"/>
      <c r="F96" s="6">
        <f t="shared" si="12"/>
        <v>0.11275941867250922</v>
      </c>
      <c r="G96" s="2"/>
      <c r="H96" s="2">
        <f>SUM(OSRRefH22_1x_0)</f>
        <v>43955.270000000004</v>
      </c>
      <c r="I96" s="2"/>
      <c r="J96" s="6">
        <f t="shared" si="13"/>
        <v>0.10744051094193793</v>
      </c>
      <c r="K96" s="2"/>
      <c r="L96" s="2">
        <f t="shared" si="14"/>
        <v>40806.62999999999</v>
      </c>
      <c r="M96" s="2"/>
      <c r="N96" s="6">
        <f t="shared" si="15"/>
        <v>0.92836717872509911</v>
      </c>
      <c r="O96" s="14"/>
      <c r="P96" s="2">
        <f>SUM(OSRRefP22_1x_0)</f>
        <v>673589.45</v>
      </c>
      <c r="Q96" s="2"/>
      <c r="R96" s="6">
        <f t="shared" si="16"/>
        <v>0.16682333966501717</v>
      </c>
      <c r="S96" s="2"/>
      <c r="T96" s="2">
        <f>SUM(OSRRefT22_1x_0)</f>
        <v>388939.59</v>
      </c>
      <c r="U96" s="2"/>
      <c r="V96" s="6">
        <f t="shared" si="17"/>
        <v>0.20611602000748816</v>
      </c>
      <c r="W96" s="2"/>
      <c r="X96" s="2">
        <f t="shared" si="18"/>
        <v>284649.85999999993</v>
      </c>
      <c r="Y96" s="2"/>
      <c r="Z96" s="6">
        <f t="shared" si="19"/>
        <v>0.73186136695418413</v>
      </c>
    </row>
    <row r="97" spans="1:26" s="69" customFormat="1" ht="15" hidden="1" customHeight="1" outlineLevel="2" x14ac:dyDescent="0.3">
      <c r="A97" s="26"/>
      <c r="B97" s="12" t="str">
        <f>CONCATENATE("          ","6002"," - ","STAFF SALARIES")</f>
        <v xml:space="preserve">          6002 - STAFF SALARIES</v>
      </c>
      <c r="C97" s="12"/>
      <c r="D97" s="8">
        <v>14236.38</v>
      </c>
      <c r="E97" s="3"/>
      <c r="F97" s="7">
        <f t="shared" si="12"/>
        <v>1.8938767686908112E-2</v>
      </c>
      <c r="G97" s="3"/>
      <c r="H97" s="8">
        <v>22106.6</v>
      </c>
      <c r="I97" s="3"/>
      <c r="J97" s="7">
        <f t="shared" si="13"/>
        <v>5.4035486511379516E-2</v>
      </c>
      <c r="K97" s="3"/>
      <c r="L97" s="8">
        <f t="shared" si="14"/>
        <v>-7870.2199999999993</v>
      </c>
      <c r="M97" s="3"/>
      <c r="N97" s="7">
        <f t="shared" si="15"/>
        <v>-0.3560122316412293</v>
      </c>
      <c r="O97" s="12"/>
      <c r="P97" s="8">
        <v>157889.51999999999</v>
      </c>
      <c r="Q97" s="3"/>
      <c r="R97" s="7">
        <f t="shared" si="16"/>
        <v>3.9103428690141336E-2</v>
      </c>
      <c r="S97" s="3"/>
      <c r="T97" s="8">
        <v>187130.61</v>
      </c>
      <c r="U97" s="3"/>
      <c r="V97" s="7">
        <f t="shared" si="17"/>
        <v>9.916865638381904E-2</v>
      </c>
      <c r="W97" s="3"/>
      <c r="X97" s="8">
        <f t="shared" si="18"/>
        <v>-29241.089999999997</v>
      </c>
      <c r="Y97" s="3"/>
      <c r="Z97" s="7">
        <f t="shared" si="19"/>
        <v>-0.15626032534174927</v>
      </c>
    </row>
    <row r="98" spans="1:26" s="69" customFormat="1" ht="15" hidden="1" customHeight="1" outlineLevel="2" x14ac:dyDescent="0.3">
      <c r="A98" s="26"/>
      <c r="B98" s="12" t="str">
        <f>CONCATENATE("          ","6004"," - ","STAFF HOURLY")</f>
        <v xml:space="preserve">          6004 - STAFF HOURLY</v>
      </c>
      <c r="C98" s="12"/>
      <c r="D98" s="8">
        <v>19083.689999999999</v>
      </c>
      <c r="E98" s="3"/>
      <c r="F98" s="7">
        <f t="shared" si="12"/>
        <v>2.5387182100995581E-2</v>
      </c>
      <c r="G98" s="3"/>
      <c r="H98" s="8">
        <v>5641.76</v>
      </c>
      <c r="I98" s="3"/>
      <c r="J98" s="7">
        <f t="shared" si="13"/>
        <v>1.3790236688610664E-2</v>
      </c>
      <c r="K98" s="3"/>
      <c r="L98" s="8">
        <f t="shared" si="14"/>
        <v>13441.929999999998</v>
      </c>
      <c r="M98" s="3"/>
      <c r="N98" s="7">
        <f t="shared" si="15"/>
        <v>2.3825774226482515</v>
      </c>
      <c r="O98" s="12"/>
      <c r="P98" s="8">
        <v>102648.89</v>
      </c>
      <c r="Q98" s="3"/>
      <c r="R98" s="7">
        <f t="shared" si="16"/>
        <v>2.542235577280343E-2</v>
      </c>
      <c r="S98" s="3"/>
      <c r="T98" s="8">
        <v>58047.75</v>
      </c>
      <c r="U98" s="3"/>
      <c r="V98" s="7">
        <f t="shared" si="17"/>
        <v>3.0762029651930447E-2</v>
      </c>
      <c r="W98" s="3"/>
      <c r="X98" s="8">
        <f t="shared" si="18"/>
        <v>44601.14</v>
      </c>
      <c r="Y98" s="3"/>
      <c r="Z98" s="7">
        <f t="shared" si="19"/>
        <v>0.76835260625950186</v>
      </c>
    </row>
    <row r="99" spans="1:26" s="69" customFormat="1" ht="15" hidden="1" customHeight="1" outlineLevel="2" x14ac:dyDescent="0.3">
      <c r="A99" s="26"/>
      <c r="B99" s="12" t="str">
        <f>CONCATENATE("          ","6005"," - ","TEMPORARY WAGES-HOURLY")</f>
        <v xml:space="preserve">          6005 - TEMPORARY WAGES-HOURLY</v>
      </c>
      <c r="C99" s="12"/>
      <c r="D99" s="8">
        <v>1371.01</v>
      </c>
      <c r="E99" s="3"/>
      <c r="F99" s="7">
        <f t="shared" si="12"/>
        <v>1.8238653285756557E-3</v>
      </c>
      <c r="G99" s="3"/>
      <c r="H99" s="8">
        <v>7541.21</v>
      </c>
      <c r="I99" s="3"/>
      <c r="J99" s="7">
        <f t="shared" si="13"/>
        <v>1.8433090173725509E-2</v>
      </c>
      <c r="K99" s="3"/>
      <c r="L99" s="8">
        <f t="shared" si="14"/>
        <v>-6170.2</v>
      </c>
      <c r="M99" s="3"/>
      <c r="N99" s="7">
        <f t="shared" si="15"/>
        <v>-0.81819761019783299</v>
      </c>
      <c r="O99" s="12"/>
      <c r="P99" s="8">
        <v>30321.59</v>
      </c>
      <c r="Q99" s="3"/>
      <c r="R99" s="7">
        <f t="shared" si="16"/>
        <v>7.5095429534316324E-3</v>
      </c>
      <c r="S99" s="3"/>
      <c r="T99" s="8">
        <v>59382.07</v>
      </c>
      <c r="U99" s="3"/>
      <c r="V99" s="7">
        <f t="shared" si="17"/>
        <v>3.1469143905371172E-2</v>
      </c>
      <c r="W99" s="3"/>
      <c r="X99" s="8">
        <f t="shared" si="18"/>
        <v>-29060.48</v>
      </c>
      <c r="Y99" s="3"/>
      <c r="Z99" s="7">
        <f t="shared" si="19"/>
        <v>-0.48938139071271852</v>
      </c>
    </row>
    <row r="100" spans="1:26" s="69" customFormat="1" ht="15" hidden="1" customHeight="1" outlineLevel="2" x14ac:dyDescent="0.3">
      <c r="A100" s="26"/>
      <c r="B100" s="12" t="str">
        <f>CONCATENATE("          ","6006"," - ","TEMPORARY PART TIME")</f>
        <v xml:space="preserve">          6006 - TEMPORARY PART TIME</v>
      </c>
      <c r="C100" s="12"/>
      <c r="D100" s="8"/>
      <c r="E100" s="3"/>
      <c r="F100" s="7">
        <f t="shared" si="12"/>
        <v>0</v>
      </c>
      <c r="G100" s="3"/>
      <c r="H100" s="8">
        <v>2207.4699999999998</v>
      </c>
      <c r="I100" s="3"/>
      <c r="J100" s="7">
        <f t="shared" si="13"/>
        <v>5.3957512873655349E-3</v>
      </c>
      <c r="K100" s="3"/>
      <c r="L100" s="8">
        <f t="shared" si="14"/>
        <v>-2207.4699999999998</v>
      </c>
      <c r="M100" s="3"/>
      <c r="N100" s="7">
        <f t="shared" si="15"/>
        <v>-1</v>
      </c>
      <c r="O100" s="12"/>
      <c r="P100" s="8"/>
      <c r="Q100" s="3"/>
      <c r="R100" s="7">
        <f t="shared" si="16"/>
        <v>0</v>
      </c>
      <c r="S100" s="3"/>
      <c r="T100" s="8">
        <v>4978.08</v>
      </c>
      <c r="U100" s="3"/>
      <c r="V100" s="7">
        <f t="shared" si="17"/>
        <v>2.6381012971162863E-3</v>
      </c>
      <c r="W100" s="3"/>
      <c r="X100" s="8">
        <f t="shared" si="18"/>
        <v>-4978.08</v>
      </c>
      <c r="Y100" s="3"/>
      <c r="Z100" s="7">
        <f t="shared" si="19"/>
        <v>-1</v>
      </c>
    </row>
    <row r="101" spans="1:26" s="69" customFormat="1" ht="15" hidden="1" customHeight="1" outlineLevel="2" x14ac:dyDescent="0.3">
      <c r="A101" s="26"/>
      <c r="B101" s="12" t="str">
        <f>CONCATENATE("          ","6007"," - ","STUDENT HOURLY")</f>
        <v xml:space="preserve">          6007 - STUDENT HOURLY</v>
      </c>
      <c r="C101" s="12"/>
      <c r="D101" s="8">
        <v>34780.1</v>
      </c>
      <c r="E101" s="3"/>
      <c r="F101" s="7">
        <f t="shared" si="12"/>
        <v>4.6268239118893488E-2</v>
      </c>
      <c r="G101" s="3"/>
      <c r="H101" s="8">
        <v>4867.8999999999996</v>
      </c>
      <c r="I101" s="3"/>
      <c r="J101" s="7">
        <f t="shared" si="13"/>
        <v>1.1898679344120956E-2</v>
      </c>
      <c r="K101" s="3"/>
      <c r="L101" s="8">
        <f t="shared" si="14"/>
        <v>29912.199999999997</v>
      </c>
      <c r="M101" s="3"/>
      <c r="N101" s="7">
        <f t="shared" si="15"/>
        <v>6.1447852256619893</v>
      </c>
      <c r="O101" s="12"/>
      <c r="P101" s="8">
        <v>303075.09999999998</v>
      </c>
      <c r="Q101" s="3"/>
      <c r="R101" s="7">
        <f t="shared" si="16"/>
        <v>7.5060558551368409E-2</v>
      </c>
      <c r="S101" s="3"/>
      <c r="T101" s="8">
        <v>70366.39</v>
      </c>
      <c r="U101" s="3"/>
      <c r="V101" s="7">
        <f t="shared" si="17"/>
        <v>3.7290213241328078E-2</v>
      </c>
      <c r="W101" s="3"/>
      <c r="X101" s="8">
        <f t="shared" si="18"/>
        <v>232708.70999999996</v>
      </c>
      <c r="Y101" s="3"/>
      <c r="Z101" s="7">
        <f t="shared" si="19"/>
        <v>3.3071003074052823</v>
      </c>
    </row>
    <row r="102" spans="1:26" s="69" customFormat="1" ht="15" hidden="1" customHeight="1" outlineLevel="2" x14ac:dyDescent="0.3">
      <c r="A102" s="26"/>
      <c r="B102" s="12" t="str">
        <f>CONCATENATE("          ","6008"," - ","STUDENT HOURLY-FICA EXEMPT")</f>
        <v xml:space="preserve">          6008 - STUDENT HOURLY-FICA EXEMPT</v>
      </c>
      <c r="C102" s="12"/>
      <c r="D102" s="8">
        <v>15290.72</v>
      </c>
      <c r="E102" s="3"/>
      <c r="F102" s="7">
        <f t="shared" si="12"/>
        <v>2.034136443713638E-2</v>
      </c>
      <c r="G102" s="3"/>
      <c r="H102" s="8">
        <v>1590.33</v>
      </c>
      <c r="I102" s="3"/>
      <c r="J102" s="7">
        <f t="shared" si="13"/>
        <v>3.8872669367357345E-3</v>
      </c>
      <c r="K102" s="3"/>
      <c r="L102" s="8">
        <f t="shared" si="14"/>
        <v>13700.39</v>
      </c>
      <c r="M102" s="3"/>
      <c r="N102" s="7">
        <f t="shared" si="15"/>
        <v>8.614809504945514</v>
      </c>
      <c r="O102" s="12"/>
      <c r="P102" s="8">
        <v>79654.350000000006</v>
      </c>
      <c r="Q102" s="3"/>
      <c r="R102" s="7">
        <f t="shared" si="16"/>
        <v>1.9727453697272371E-2</v>
      </c>
      <c r="S102" s="3"/>
      <c r="T102" s="8">
        <v>9034.69</v>
      </c>
      <c r="U102" s="3"/>
      <c r="V102" s="7">
        <f t="shared" si="17"/>
        <v>4.7878755279231232E-3</v>
      </c>
      <c r="W102" s="3"/>
      <c r="X102" s="8">
        <f t="shared" si="18"/>
        <v>70619.66</v>
      </c>
      <c r="Y102" s="3"/>
      <c r="Z102" s="7">
        <f t="shared" si="19"/>
        <v>7.8165006214933772</v>
      </c>
    </row>
    <row r="103" spans="1:26" s="68" customFormat="1" ht="15" customHeight="1" outlineLevel="1" collapsed="1" x14ac:dyDescent="0.3">
      <c r="A103" s="25"/>
      <c r="B103" s="14" t="str">
        <f>CONCATENATE("     ","Advertising/Promo                                 ")</f>
        <v xml:space="preserve">     Advertising/Promo                                 </v>
      </c>
      <c r="C103" s="14"/>
      <c r="D103" s="2">
        <f>SUM(OSRRefD22_2x_0)</f>
        <v>2512.85</v>
      </c>
      <c r="E103" s="2"/>
      <c r="F103" s="6">
        <f t="shared" si="12"/>
        <v>3.3428640133269169E-3</v>
      </c>
      <c r="G103" s="2"/>
      <c r="H103" s="2">
        <f>SUM(OSRRefH22_2x_0)</f>
        <v>1011.62</v>
      </c>
      <c r="I103" s="2"/>
      <c r="J103" s="6">
        <f t="shared" si="13"/>
        <v>2.4727175985742606E-3</v>
      </c>
      <c r="K103" s="2"/>
      <c r="L103" s="2">
        <f t="shared" si="14"/>
        <v>1501.23</v>
      </c>
      <c r="M103" s="2"/>
      <c r="N103" s="6">
        <f t="shared" si="15"/>
        <v>1.4839860817302939</v>
      </c>
      <c r="O103" s="14"/>
      <c r="P103" s="2">
        <f>SUM(OSRRefP22_2x_0)</f>
        <v>9220.09</v>
      </c>
      <c r="Q103" s="2"/>
      <c r="R103" s="6">
        <f t="shared" si="16"/>
        <v>2.2834772810233716E-3</v>
      </c>
      <c r="S103" s="2"/>
      <c r="T103" s="2">
        <f>SUM(OSRRefT22_2x_0)</f>
        <v>14853.74</v>
      </c>
      <c r="U103" s="2"/>
      <c r="V103" s="6">
        <f t="shared" si="17"/>
        <v>7.8716434370335684E-3</v>
      </c>
      <c r="W103" s="2"/>
      <c r="X103" s="2">
        <f t="shared" si="18"/>
        <v>-5633.65</v>
      </c>
      <c r="Y103" s="2"/>
      <c r="Z103" s="6">
        <f t="shared" si="19"/>
        <v>-0.379274849297214</v>
      </c>
    </row>
    <row r="104" spans="1:26" s="69" customFormat="1" ht="15" hidden="1" customHeight="1" outlineLevel="2" x14ac:dyDescent="0.3">
      <c r="A104" s="26"/>
      <c r="B104" s="12" t="str">
        <f>CONCATENATE("          ","6362"," - ","ADVERTISING EXPENSE")</f>
        <v xml:space="preserve">          6362 - ADVERTISING EXPENSE</v>
      </c>
      <c r="C104" s="12"/>
      <c r="D104" s="8">
        <v>2512.85</v>
      </c>
      <c r="E104" s="3"/>
      <c r="F104" s="7">
        <f t="shared" si="12"/>
        <v>3.3428640133269169E-3</v>
      </c>
      <c r="G104" s="3"/>
      <c r="H104" s="8">
        <v>1011.62</v>
      </c>
      <c r="I104" s="3"/>
      <c r="J104" s="7">
        <f t="shared" si="13"/>
        <v>2.4727175985742606E-3</v>
      </c>
      <c r="K104" s="3"/>
      <c r="L104" s="8">
        <f t="shared" si="14"/>
        <v>1501.23</v>
      </c>
      <c r="M104" s="3"/>
      <c r="N104" s="7">
        <f t="shared" si="15"/>
        <v>1.4839860817302939</v>
      </c>
      <c r="O104" s="12"/>
      <c r="P104" s="8">
        <v>9220.09</v>
      </c>
      <c r="Q104" s="3"/>
      <c r="R104" s="7">
        <f t="shared" si="16"/>
        <v>2.2834772810233716E-3</v>
      </c>
      <c r="S104" s="3"/>
      <c r="T104" s="8">
        <v>14853.74</v>
      </c>
      <c r="U104" s="3"/>
      <c r="V104" s="7">
        <f t="shared" si="17"/>
        <v>7.8716434370335684E-3</v>
      </c>
      <c r="W104" s="3"/>
      <c r="X104" s="8">
        <f t="shared" si="18"/>
        <v>-5633.65</v>
      </c>
      <c r="Y104" s="3"/>
      <c r="Z104" s="7">
        <f t="shared" si="19"/>
        <v>-0.379274849297214</v>
      </c>
    </row>
    <row r="105" spans="1:26" s="68" customFormat="1" ht="15" customHeight="1" outlineLevel="1" collapsed="1" x14ac:dyDescent="0.3">
      <c r="A105" s="25"/>
      <c r="B105" s="14" t="str">
        <f>CONCATENATE("     ","Bad Debts/Over/Short                              ")</f>
        <v xml:space="preserve">     Bad Debts/Over/Short                              </v>
      </c>
      <c r="C105" s="14"/>
      <c r="D105" s="2">
        <f>SUM(OSRRefD22_3x_0)</f>
        <v>-0.43</v>
      </c>
      <c r="E105" s="2"/>
      <c r="F105" s="6">
        <f t="shared" si="12"/>
        <v>-5.7203236394157005E-7</v>
      </c>
      <c r="G105" s="2"/>
      <c r="H105" s="2">
        <f>SUM(OSRRefH22_3x_0)</f>
        <v>0.26</v>
      </c>
      <c r="I105" s="2"/>
      <c r="J105" s="6">
        <f t="shared" si="13"/>
        <v>6.3552181217187063E-7</v>
      </c>
      <c r="K105" s="2"/>
      <c r="L105" s="2">
        <f t="shared" si="14"/>
        <v>-0.69</v>
      </c>
      <c r="M105" s="2"/>
      <c r="N105" s="6">
        <f t="shared" si="15"/>
        <v>-2.6538461538461537</v>
      </c>
      <c r="O105" s="14"/>
      <c r="P105" s="2">
        <f>SUM(OSRRefP22_3x_0)</f>
        <v>-48.91</v>
      </c>
      <c r="Q105" s="2"/>
      <c r="R105" s="6">
        <f t="shared" si="16"/>
        <v>-1.2113208636233822E-5</v>
      </c>
      <c r="S105" s="2"/>
      <c r="T105" s="2">
        <f>SUM(OSRRefT22_3x_0)</f>
        <v>-23.1</v>
      </c>
      <c r="U105" s="2"/>
      <c r="V105" s="6">
        <f t="shared" si="17"/>
        <v>-1.2241695586126824E-5</v>
      </c>
      <c r="W105" s="2"/>
      <c r="X105" s="2">
        <f t="shared" si="18"/>
        <v>-25.809999999999995</v>
      </c>
      <c r="Y105" s="2"/>
      <c r="Z105" s="6">
        <f t="shared" si="19"/>
        <v>1.117316017316017</v>
      </c>
    </row>
    <row r="106" spans="1:26" s="69" customFormat="1" ht="15" hidden="1" customHeight="1" outlineLevel="2" x14ac:dyDescent="0.3">
      <c r="A106" s="26"/>
      <c r="B106" s="12" t="str">
        <f>CONCATENATE("          ","6272"," - ","CASH (OVER/SHORT)")</f>
        <v xml:space="preserve">          6272 - CASH (OVER/SHORT)</v>
      </c>
      <c r="C106" s="12"/>
      <c r="D106" s="8">
        <v>-0.43</v>
      </c>
      <c r="E106" s="3"/>
      <c r="F106" s="7">
        <f t="shared" si="12"/>
        <v>-5.7203236394157005E-7</v>
      </c>
      <c r="G106" s="3"/>
      <c r="H106" s="8">
        <v>0.26</v>
      </c>
      <c r="I106" s="3"/>
      <c r="J106" s="7">
        <f t="shared" si="13"/>
        <v>6.3552181217187063E-7</v>
      </c>
      <c r="K106" s="3"/>
      <c r="L106" s="8">
        <f t="shared" si="14"/>
        <v>-0.69</v>
      </c>
      <c r="M106" s="3"/>
      <c r="N106" s="7">
        <f t="shared" si="15"/>
        <v>-2.6538461538461537</v>
      </c>
      <c r="O106" s="12"/>
      <c r="P106" s="8">
        <v>-48.91</v>
      </c>
      <c r="Q106" s="3"/>
      <c r="R106" s="7">
        <f t="shared" si="16"/>
        <v>-1.2113208636233822E-5</v>
      </c>
      <c r="S106" s="3"/>
      <c r="T106" s="8">
        <v>-23.1</v>
      </c>
      <c r="U106" s="3"/>
      <c r="V106" s="7">
        <f t="shared" si="17"/>
        <v>-1.2241695586126824E-5</v>
      </c>
      <c r="W106" s="3"/>
      <c r="X106" s="8">
        <f t="shared" si="18"/>
        <v>-25.809999999999995</v>
      </c>
      <c r="Y106" s="3"/>
      <c r="Z106" s="7">
        <f t="shared" si="19"/>
        <v>1.117316017316017</v>
      </c>
    </row>
    <row r="107" spans="1:26" s="68" customFormat="1" ht="15" customHeight="1" outlineLevel="1" collapsed="1" x14ac:dyDescent="0.3">
      <c r="A107" s="25"/>
      <c r="B107" s="14" t="str">
        <f>CONCATENATE("     ","Bank/card Fees                                    ")</f>
        <v xml:space="preserve">     Bank/card Fees                                    </v>
      </c>
      <c r="C107" s="14"/>
      <c r="D107" s="2">
        <f>SUM(OSRRefD22_4x_0)</f>
        <v>570.77</v>
      </c>
      <c r="E107" s="2"/>
      <c r="F107" s="6">
        <f t="shared" si="12"/>
        <v>7.5929979620216264E-4</v>
      </c>
      <c r="G107" s="2"/>
      <c r="H107" s="2">
        <f>SUM(OSRRefH22_4x_0)</f>
        <v>494.45</v>
      </c>
      <c r="I107" s="2"/>
      <c r="J107" s="6">
        <f t="shared" si="13"/>
        <v>1.2085913847245439E-3</v>
      </c>
      <c r="K107" s="2"/>
      <c r="L107" s="2">
        <f t="shared" si="14"/>
        <v>76.319999999999993</v>
      </c>
      <c r="M107" s="2"/>
      <c r="N107" s="6">
        <f t="shared" si="15"/>
        <v>0.15435332187278794</v>
      </c>
      <c r="O107" s="14"/>
      <c r="P107" s="2">
        <f>SUM(OSRRefP22_4x_0)</f>
        <v>5345.72</v>
      </c>
      <c r="Q107" s="2"/>
      <c r="R107" s="6">
        <f t="shared" si="16"/>
        <v>1.3239382880983004E-3</v>
      </c>
      <c r="S107" s="2"/>
      <c r="T107" s="2">
        <f>SUM(OSRRefT22_4x_0)</f>
        <v>3832.35</v>
      </c>
      <c r="U107" s="2"/>
      <c r="V107" s="6">
        <f t="shared" si="17"/>
        <v>2.0309290943503521E-3</v>
      </c>
      <c r="W107" s="2"/>
      <c r="X107" s="2">
        <f t="shared" si="18"/>
        <v>1513.3700000000003</v>
      </c>
      <c r="Y107" s="2"/>
      <c r="Z107" s="6">
        <f t="shared" si="19"/>
        <v>0.39489347267342501</v>
      </c>
    </row>
    <row r="108" spans="1:26" s="69" customFormat="1" ht="15" hidden="1" customHeight="1" outlineLevel="2" x14ac:dyDescent="0.3">
      <c r="A108" s="26"/>
      <c r="B108" s="12" t="str">
        <f>CONCATENATE("          ","6381"," - ","BANK/CREDIT CARD FEES")</f>
        <v xml:space="preserve">          6381 - BANK/CREDIT CARD FEES</v>
      </c>
      <c r="C108" s="12"/>
      <c r="D108" s="8">
        <v>570.77</v>
      </c>
      <c r="E108" s="3"/>
      <c r="F108" s="7">
        <f t="shared" si="12"/>
        <v>7.5929979620216264E-4</v>
      </c>
      <c r="G108" s="3"/>
      <c r="H108" s="8">
        <v>494.45</v>
      </c>
      <c r="I108" s="3"/>
      <c r="J108" s="7">
        <f t="shared" si="13"/>
        <v>1.2085913847245439E-3</v>
      </c>
      <c r="K108" s="3"/>
      <c r="L108" s="8">
        <f t="shared" si="14"/>
        <v>76.319999999999993</v>
      </c>
      <c r="M108" s="3"/>
      <c r="N108" s="7">
        <f t="shared" si="15"/>
        <v>0.15435332187278794</v>
      </c>
      <c r="O108" s="12"/>
      <c r="P108" s="8">
        <v>5345.72</v>
      </c>
      <c r="Q108" s="3"/>
      <c r="R108" s="7">
        <f t="shared" si="16"/>
        <v>1.3239382880983004E-3</v>
      </c>
      <c r="S108" s="3"/>
      <c r="T108" s="8">
        <v>3832.35</v>
      </c>
      <c r="U108" s="3"/>
      <c r="V108" s="7">
        <f t="shared" si="17"/>
        <v>2.0309290943503521E-3</v>
      </c>
      <c r="W108" s="3"/>
      <c r="X108" s="8">
        <f t="shared" si="18"/>
        <v>1513.3700000000003</v>
      </c>
      <c r="Y108" s="3"/>
      <c r="Z108" s="7">
        <f t="shared" si="19"/>
        <v>0.39489347267342501</v>
      </c>
    </row>
    <row r="109" spans="1:26" s="68" customFormat="1" ht="15" customHeight="1" outlineLevel="1" collapsed="1" x14ac:dyDescent="0.3">
      <c r="A109" s="25"/>
      <c r="B109" s="14" t="str">
        <f>CONCATENATE("     ","Discounts and Markdowns                           ")</f>
        <v xml:space="preserve">     Discounts and Markdowns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0</v>
      </c>
      <c r="Q109" s="2"/>
      <c r="R109" s="6">
        <f t="shared" si="16"/>
        <v>0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0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6"/>
      <c r="B110" s="12" t="str">
        <f>CONCATENATE("          ","6382"," - ","DISCOUNTS/MARK DOWNS")</f>
        <v xml:space="preserve">          6382 - DISCOUNTS/MARK DOWNS</v>
      </c>
      <c r="C110" s="12"/>
      <c r="D110" s="8"/>
      <c r="E110" s="3"/>
      <c r="F110" s="7">
        <f t="shared" si="12"/>
        <v>0</v>
      </c>
      <c r="G110" s="3"/>
      <c r="H110" s="8">
        <v>0</v>
      </c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/>
      <c r="Q110" s="3"/>
      <c r="R110" s="7">
        <f t="shared" si="16"/>
        <v>0</v>
      </c>
      <c r="S110" s="3"/>
      <c r="T110" s="8">
        <v>0</v>
      </c>
      <c r="U110" s="3"/>
      <c r="V110" s="7">
        <f t="shared" si="17"/>
        <v>0</v>
      </c>
      <c r="W110" s="3"/>
      <c r="X110" s="8">
        <f t="shared" si="18"/>
        <v>0</v>
      </c>
      <c r="Y110" s="3"/>
      <c r="Z110" s="7">
        <f t="shared" si="19"/>
        <v>0</v>
      </c>
    </row>
    <row r="111" spans="1:26" s="69" customFormat="1" ht="15" hidden="1" customHeight="1" outlineLevel="2" x14ac:dyDescent="0.3">
      <c r="A111" s="26"/>
      <c r="B111" s="12" t="str">
        <f>CONCATENATE("          ","9175"," - ","EARNED DISCOUNTS")</f>
        <v xml:space="preserve">          9175 - EARNED DISCOUNTS</v>
      </c>
      <c r="C111" s="12"/>
      <c r="D111" s="8"/>
      <c r="E111" s="3"/>
      <c r="F111" s="7">
        <f t="shared" si="12"/>
        <v>0</v>
      </c>
      <c r="G111" s="3"/>
      <c r="H111" s="8">
        <v>0</v>
      </c>
      <c r="I111" s="3"/>
      <c r="J111" s="7">
        <f t="shared" si="13"/>
        <v>0</v>
      </c>
      <c r="K111" s="3"/>
      <c r="L111" s="8">
        <f t="shared" si="14"/>
        <v>0</v>
      </c>
      <c r="M111" s="3"/>
      <c r="N111" s="7">
        <f t="shared" si="15"/>
        <v>0</v>
      </c>
      <c r="O111" s="12"/>
      <c r="P111" s="8">
        <v>0</v>
      </c>
      <c r="Q111" s="3"/>
      <c r="R111" s="7">
        <f t="shared" si="16"/>
        <v>0</v>
      </c>
      <c r="S111" s="3"/>
      <c r="T111" s="8">
        <v>0</v>
      </c>
      <c r="U111" s="3"/>
      <c r="V111" s="7">
        <f t="shared" si="17"/>
        <v>0</v>
      </c>
      <c r="W111" s="3"/>
      <c r="X111" s="8">
        <f t="shared" si="18"/>
        <v>0</v>
      </c>
      <c r="Y111" s="3"/>
      <c r="Z111" s="7">
        <f t="shared" si="19"/>
        <v>0</v>
      </c>
    </row>
    <row r="112" spans="1:26" s="68" customFormat="1" ht="15" customHeight="1" outlineLevel="1" collapsed="1" x14ac:dyDescent="0.3">
      <c r="A112" s="25"/>
      <c r="B112" s="14" t="str">
        <f>CONCATENATE("     ","Employees' Appreciation                           ")</f>
        <v xml:space="preserve">     Employees' Appreciation                           </v>
      </c>
      <c r="C112" s="14"/>
      <c r="D112" s="2">
        <f>SUM(OSRRefD22_6x_0)</f>
        <v>0</v>
      </c>
      <c r="E112" s="2"/>
      <c r="F112" s="6">
        <f t="shared" si="12"/>
        <v>0</v>
      </c>
      <c r="G112" s="2"/>
      <c r="H112" s="2">
        <f>SUM(OSRRefH22_6x_0)</f>
        <v>0</v>
      </c>
      <c r="I112" s="2"/>
      <c r="J112" s="6">
        <f t="shared" si="13"/>
        <v>0</v>
      </c>
      <c r="K112" s="2"/>
      <c r="L112" s="2">
        <f t="shared" si="14"/>
        <v>0</v>
      </c>
      <c r="M112" s="2"/>
      <c r="N112" s="6">
        <f t="shared" si="15"/>
        <v>0</v>
      </c>
      <c r="O112" s="14"/>
      <c r="P112" s="2">
        <f>SUM(OSRRefP22_6x_0)</f>
        <v>291.13</v>
      </c>
      <c r="Q112" s="2"/>
      <c r="R112" s="6">
        <f t="shared" si="16"/>
        <v>7.2102196488790687E-5</v>
      </c>
      <c r="S112" s="2"/>
      <c r="T112" s="2">
        <f>SUM(OSRRefT22_6x_0)</f>
        <v>0</v>
      </c>
      <c r="U112" s="2"/>
      <c r="V112" s="6">
        <f t="shared" si="17"/>
        <v>0</v>
      </c>
      <c r="W112" s="2"/>
      <c r="X112" s="2">
        <f t="shared" si="18"/>
        <v>291.13</v>
      </c>
      <c r="Y112" s="2"/>
      <c r="Z112" s="6">
        <f t="shared" si="19"/>
        <v>0</v>
      </c>
    </row>
    <row r="113" spans="1:26" s="69" customFormat="1" ht="15" hidden="1" customHeight="1" outlineLevel="2" x14ac:dyDescent="0.3">
      <c r="A113" s="26"/>
      <c r="B113" s="12" t="str">
        <f>CONCATENATE("          ","6277"," - ","EMPLOYEE APPRECIATION")</f>
        <v xml:space="preserve">          6277 - EMPLOYEE APPRECIATION</v>
      </c>
      <c r="C113" s="12"/>
      <c r="D113" s="8"/>
      <c r="E113" s="3"/>
      <c r="F113" s="7">
        <f t="shared" si="12"/>
        <v>0</v>
      </c>
      <c r="G113" s="3"/>
      <c r="H113" s="8"/>
      <c r="I113" s="3"/>
      <c r="J113" s="7">
        <f t="shared" si="13"/>
        <v>0</v>
      </c>
      <c r="K113" s="3"/>
      <c r="L113" s="8">
        <f t="shared" si="14"/>
        <v>0</v>
      </c>
      <c r="M113" s="3"/>
      <c r="N113" s="7">
        <f t="shared" si="15"/>
        <v>0</v>
      </c>
      <c r="O113" s="12"/>
      <c r="P113" s="8">
        <v>291.13</v>
      </c>
      <c r="Q113" s="3"/>
      <c r="R113" s="7">
        <f t="shared" si="16"/>
        <v>7.2102196488790687E-5</v>
      </c>
      <c r="S113" s="3"/>
      <c r="T113" s="8"/>
      <c r="U113" s="3"/>
      <c r="V113" s="7">
        <f t="shared" si="17"/>
        <v>0</v>
      </c>
      <c r="W113" s="3"/>
      <c r="X113" s="8">
        <f t="shared" si="18"/>
        <v>291.13</v>
      </c>
      <c r="Y113" s="3"/>
      <c r="Z113" s="7">
        <f t="shared" si="19"/>
        <v>0</v>
      </c>
    </row>
    <row r="114" spans="1:26" s="68" customFormat="1" ht="15" customHeight="1" outlineLevel="1" collapsed="1" x14ac:dyDescent="0.3">
      <c r="A114" s="25"/>
      <c r="B114" s="14" t="str">
        <f>CONCATENATE("     ","Equipment Rental                                  ")</f>
        <v xml:space="preserve">     Equipment Rental                                  </v>
      </c>
      <c r="C114" s="14"/>
      <c r="D114" s="2">
        <f>SUM(OSRRefD22_7x_0)</f>
        <v>0</v>
      </c>
      <c r="E114" s="2"/>
      <c r="F114" s="6">
        <f t="shared" si="12"/>
        <v>0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0</v>
      </c>
      <c r="M114" s="2"/>
      <c r="N114" s="6">
        <f t="shared" si="15"/>
        <v>0</v>
      </c>
      <c r="O114" s="14"/>
      <c r="P114" s="2">
        <f>SUM(OSRRefP22_7x_0)</f>
        <v>118.91</v>
      </c>
      <c r="Q114" s="2"/>
      <c r="R114" s="6">
        <f t="shared" si="16"/>
        <v>2.944963481771752E-5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118.91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","6351"," - ","EQUIPMENT RENTAL")</f>
        <v xml:space="preserve">          6351 - EQUIPMENT RENTAL</v>
      </c>
      <c r="C115" s="12"/>
      <c r="D115" s="8"/>
      <c r="E115" s="3"/>
      <c r="F115" s="7">
        <f t="shared" si="12"/>
        <v>0</v>
      </c>
      <c r="G115" s="3"/>
      <c r="H115" s="8"/>
      <c r="I115" s="3"/>
      <c r="J115" s="7">
        <f t="shared" si="13"/>
        <v>0</v>
      </c>
      <c r="K115" s="3"/>
      <c r="L115" s="8">
        <f t="shared" si="14"/>
        <v>0</v>
      </c>
      <c r="M115" s="3"/>
      <c r="N115" s="7">
        <f t="shared" si="15"/>
        <v>0</v>
      </c>
      <c r="O115" s="12"/>
      <c r="P115" s="8">
        <v>118.91</v>
      </c>
      <c r="Q115" s="3"/>
      <c r="R115" s="7">
        <f t="shared" si="16"/>
        <v>2.944963481771752E-5</v>
      </c>
      <c r="S115" s="3"/>
      <c r="T115" s="8"/>
      <c r="U115" s="3"/>
      <c r="V115" s="7">
        <f t="shared" si="17"/>
        <v>0</v>
      </c>
      <c r="W115" s="3"/>
      <c r="X115" s="8">
        <f t="shared" si="18"/>
        <v>118.91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","Freight out/Postage                               ")</f>
        <v xml:space="preserve">     Freight out/Postage                               </v>
      </c>
      <c r="C116" s="14"/>
      <c r="D116" s="2">
        <f>SUM(OSRRefD22_8x_0)</f>
        <v>0</v>
      </c>
      <c r="E116" s="2"/>
      <c r="F116" s="6">
        <f t="shared" si="12"/>
        <v>0</v>
      </c>
      <c r="G116" s="2"/>
      <c r="H116" s="2">
        <f>SUM(OSRRefH22_8x_0)</f>
        <v>40.200000000000003</v>
      </c>
      <c r="I116" s="2"/>
      <c r="J116" s="6">
        <f t="shared" si="13"/>
        <v>9.8261449420420001E-5</v>
      </c>
      <c r="K116" s="2"/>
      <c r="L116" s="2">
        <f t="shared" si="14"/>
        <v>-40.200000000000003</v>
      </c>
      <c r="M116" s="2"/>
      <c r="N116" s="6">
        <f t="shared" si="15"/>
        <v>-1</v>
      </c>
      <c r="O116" s="14"/>
      <c r="P116" s="2">
        <f>SUM(OSRRefP22_8x_0)</f>
        <v>929.29</v>
      </c>
      <c r="Q116" s="2"/>
      <c r="R116" s="6">
        <f t="shared" si="16"/>
        <v>2.3015096408844263E-4</v>
      </c>
      <c r="S116" s="2"/>
      <c r="T116" s="2">
        <f>SUM(OSRRefT22_8x_0)</f>
        <v>-175.89999999999998</v>
      </c>
      <c r="U116" s="2"/>
      <c r="V116" s="6">
        <f t="shared" si="17"/>
        <v>-9.321706725539861E-5</v>
      </c>
      <c r="W116" s="2"/>
      <c r="X116" s="2">
        <f t="shared" si="18"/>
        <v>1105.19</v>
      </c>
      <c r="Y116" s="2"/>
      <c r="Z116" s="6">
        <f t="shared" si="19"/>
        <v>-6.2830585559977274</v>
      </c>
    </row>
    <row r="117" spans="1:26" s="69" customFormat="1" ht="15" hidden="1" customHeight="1" outlineLevel="2" x14ac:dyDescent="0.3">
      <c r="A117" s="26"/>
      <c r="B117" s="12" t="str">
        <f>CONCATENATE("          ","6305"," - ","FREIGHT OUT")</f>
        <v xml:space="preserve">          6305 - FREIGHT OUT</v>
      </c>
      <c r="C117" s="12"/>
      <c r="D117" s="8"/>
      <c r="E117" s="3"/>
      <c r="F117" s="7">
        <f t="shared" si="12"/>
        <v>0</v>
      </c>
      <c r="G117" s="3"/>
      <c r="H117" s="8">
        <v>40.200000000000003</v>
      </c>
      <c r="I117" s="3"/>
      <c r="J117" s="7">
        <f t="shared" si="13"/>
        <v>9.8261449420420001E-5</v>
      </c>
      <c r="K117" s="3"/>
      <c r="L117" s="8">
        <f t="shared" si="14"/>
        <v>-40.200000000000003</v>
      </c>
      <c r="M117" s="3"/>
      <c r="N117" s="7">
        <f t="shared" si="15"/>
        <v>-1</v>
      </c>
      <c r="O117" s="12"/>
      <c r="P117" s="8">
        <v>893.87</v>
      </c>
      <c r="Q117" s="3"/>
      <c r="R117" s="7">
        <f t="shared" si="16"/>
        <v>2.2137873244061187E-4</v>
      </c>
      <c r="S117" s="3"/>
      <c r="T117" s="8">
        <v>113.44</v>
      </c>
      <c r="U117" s="3"/>
      <c r="V117" s="7">
        <f t="shared" si="17"/>
        <v>6.0116794254988173E-5</v>
      </c>
      <c r="W117" s="3"/>
      <c r="X117" s="8">
        <f t="shared" si="18"/>
        <v>780.43000000000006</v>
      </c>
      <c r="Y117" s="3"/>
      <c r="Z117" s="7">
        <f t="shared" si="19"/>
        <v>6.8796720733427366</v>
      </c>
    </row>
    <row r="118" spans="1:26" s="69" customFormat="1" ht="15" hidden="1" customHeight="1" outlineLevel="2" x14ac:dyDescent="0.3">
      <c r="A118" s="26"/>
      <c r="B118" s="12" t="str">
        <f>CONCATENATE("          ","6307"," - ","POSTAGE")</f>
        <v xml:space="preserve">          6307 - POSTAGE</v>
      </c>
      <c r="C118" s="12"/>
      <c r="D118" s="8"/>
      <c r="E118" s="3"/>
      <c r="F118" s="7">
        <f t="shared" ref="F118:F149" si="20">IF(D$12=0,0,D118/D$12)</f>
        <v>0</v>
      </c>
      <c r="G118" s="3"/>
      <c r="H118" s="8"/>
      <c r="I118" s="3"/>
      <c r="J118" s="7">
        <f t="shared" ref="J118:J149" si="21">IF(H$12=0,0,H118/H$12)</f>
        <v>0</v>
      </c>
      <c r="K118" s="3"/>
      <c r="L118" s="8">
        <f t="shared" ref="L118:L149" si="22">+D118-H118</f>
        <v>0</v>
      </c>
      <c r="M118" s="3"/>
      <c r="N118" s="7">
        <f t="shared" ref="N118:N149" si="23">IF(H118=0,0,L118/H118)</f>
        <v>0</v>
      </c>
      <c r="O118" s="12"/>
      <c r="P118" s="8">
        <v>35.42</v>
      </c>
      <c r="Q118" s="3"/>
      <c r="R118" s="7">
        <f t="shared" ref="R118:R149" si="24">IF(P$12=0,0,P118/P$12)</f>
        <v>8.772231647830751E-6</v>
      </c>
      <c r="S118" s="3"/>
      <c r="T118" s="8">
        <v>-289.33999999999997</v>
      </c>
      <c r="U118" s="3"/>
      <c r="V118" s="7">
        <f t="shared" ref="V118:V149" si="25">IF(T$12=0,0,T118/T$12)</f>
        <v>-1.5333386151038678E-4</v>
      </c>
      <c r="W118" s="3"/>
      <c r="X118" s="8">
        <f t="shared" ref="X118:X149" si="26">+P118-T118</f>
        <v>324.76</v>
      </c>
      <c r="Y118" s="3"/>
      <c r="Z118" s="7">
        <f t="shared" ref="Z118:Z149" si="27">IF(T118=0,0,X118/T118)</f>
        <v>-1.1224165341812402</v>
      </c>
    </row>
    <row r="119" spans="1:26" s="68" customFormat="1" ht="15" customHeight="1" outlineLevel="1" collapsed="1" x14ac:dyDescent="0.3">
      <c r="A119" s="25"/>
      <c r="B119" s="14" t="str">
        <f>CONCATENATE("     ","General                                           ")</f>
        <v xml:space="preserve">     General                                           </v>
      </c>
      <c r="C119" s="14"/>
      <c r="D119" s="2">
        <f>SUM(OSRRefD22_9x_0)</f>
        <v>-168.94</v>
      </c>
      <c r="E119" s="2"/>
      <c r="F119" s="6">
        <f t="shared" si="20"/>
        <v>-2.2474220363788102E-4</v>
      </c>
      <c r="G119" s="2"/>
      <c r="H119" s="2">
        <f>SUM(OSRRefH22_9x_0)</f>
        <v>94.83</v>
      </c>
      <c r="I119" s="2"/>
      <c r="J119" s="6">
        <f t="shared" si="21"/>
        <v>2.317943594163788E-4</v>
      </c>
      <c r="K119" s="2"/>
      <c r="L119" s="2">
        <f t="shared" si="22"/>
        <v>-263.77</v>
      </c>
      <c r="M119" s="2"/>
      <c r="N119" s="6">
        <f t="shared" si="23"/>
        <v>-2.7815037435410734</v>
      </c>
      <c r="O119" s="14"/>
      <c r="P119" s="2">
        <f>SUM(OSRRefP22_9x_0)</f>
        <v>2402.36</v>
      </c>
      <c r="Q119" s="2"/>
      <c r="R119" s="6">
        <f t="shared" si="24"/>
        <v>5.9497624001927398E-4</v>
      </c>
      <c r="S119" s="2"/>
      <c r="T119" s="2">
        <f>SUM(OSRRefT22_9x_0)</f>
        <v>1380.29</v>
      </c>
      <c r="U119" s="2"/>
      <c r="V119" s="6">
        <f t="shared" si="25"/>
        <v>7.3147575760064898E-4</v>
      </c>
      <c r="W119" s="2"/>
      <c r="X119" s="2">
        <f t="shared" si="26"/>
        <v>1022.0700000000002</v>
      </c>
      <c r="Y119" s="2"/>
      <c r="Z119" s="6">
        <f t="shared" si="27"/>
        <v>0.74047482775358819</v>
      </c>
    </row>
    <row r="120" spans="1:26" s="69" customFormat="1" ht="15" hidden="1" customHeight="1" outlineLevel="2" x14ac:dyDescent="0.3">
      <c r="A120" s="26"/>
      <c r="B120" s="12" t="str">
        <f>CONCATENATE("          ","6279"," - ","GENERAL EXPENSE")</f>
        <v xml:space="preserve">          6279 - GENERAL EXPENSE</v>
      </c>
      <c r="C120" s="12"/>
      <c r="D120" s="8">
        <v>-168.94</v>
      </c>
      <c r="E120" s="3"/>
      <c r="F120" s="7">
        <f t="shared" si="20"/>
        <v>-2.2474220363788102E-4</v>
      </c>
      <c r="G120" s="3"/>
      <c r="H120" s="8">
        <v>94.83</v>
      </c>
      <c r="I120" s="3"/>
      <c r="J120" s="7">
        <f t="shared" si="21"/>
        <v>2.317943594163788E-4</v>
      </c>
      <c r="K120" s="3"/>
      <c r="L120" s="8">
        <f t="shared" si="22"/>
        <v>-263.77</v>
      </c>
      <c r="M120" s="3"/>
      <c r="N120" s="7">
        <f t="shared" si="23"/>
        <v>-2.7815037435410734</v>
      </c>
      <c r="O120" s="12"/>
      <c r="P120" s="8">
        <v>2402.36</v>
      </c>
      <c r="Q120" s="3"/>
      <c r="R120" s="7">
        <f t="shared" si="24"/>
        <v>5.9497624001927398E-4</v>
      </c>
      <c r="S120" s="3"/>
      <c r="T120" s="8">
        <v>1380.29</v>
      </c>
      <c r="U120" s="3"/>
      <c r="V120" s="7">
        <f t="shared" si="25"/>
        <v>7.3147575760064898E-4</v>
      </c>
      <c r="W120" s="3"/>
      <c r="X120" s="8">
        <f t="shared" si="26"/>
        <v>1022.0700000000002</v>
      </c>
      <c r="Y120" s="3"/>
      <c r="Z120" s="7">
        <f t="shared" si="27"/>
        <v>0.74047482775358819</v>
      </c>
    </row>
    <row r="121" spans="1:26" s="68" customFormat="1" ht="15" customHeight="1" outlineLevel="1" collapsed="1" x14ac:dyDescent="0.3">
      <c r="A121" s="25"/>
      <c r="B121" s="14" t="str">
        <f>CONCATENATE("     ","Insurance                                         ")</f>
        <v xml:space="preserve">     Insurance                                         </v>
      </c>
      <c r="C121" s="14"/>
      <c r="D121" s="2">
        <f>SUM(OSRRefD22_10x_0)</f>
        <v>219.08</v>
      </c>
      <c r="E121" s="2"/>
      <c r="F121" s="6">
        <f t="shared" si="20"/>
        <v>2.9144383788911438E-4</v>
      </c>
      <c r="G121" s="2"/>
      <c r="H121" s="2">
        <f>SUM(OSRRefH22_10x_0)</f>
        <v>161.18</v>
      </c>
      <c r="I121" s="2"/>
      <c r="J121" s="6">
        <f t="shared" si="21"/>
        <v>3.9397463725331582E-4</v>
      </c>
      <c r="K121" s="2"/>
      <c r="L121" s="2">
        <f t="shared" si="22"/>
        <v>57.900000000000006</v>
      </c>
      <c r="M121" s="2"/>
      <c r="N121" s="6">
        <f t="shared" si="23"/>
        <v>0.35922571038590395</v>
      </c>
      <c r="O121" s="14"/>
      <c r="P121" s="2">
        <f>SUM(OSRRefP22_10x_0)</f>
        <v>2190.8000000000002</v>
      </c>
      <c r="Q121" s="2"/>
      <c r="R121" s="6">
        <f t="shared" si="24"/>
        <v>5.4258060683420699E-4</v>
      </c>
      <c r="S121" s="2"/>
      <c r="T121" s="2">
        <f>SUM(OSRRefT22_10x_0)</f>
        <v>1611.8</v>
      </c>
      <c r="U121" s="2"/>
      <c r="V121" s="6">
        <f t="shared" si="25"/>
        <v>8.5416298466316936E-4</v>
      </c>
      <c r="W121" s="2"/>
      <c r="X121" s="2">
        <f t="shared" si="26"/>
        <v>579.00000000000023</v>
      </c>
      <c r="Y121" s="2"/>
      <c r="Z121" s="6">
        <f t="shared" si="27"/>
        <v>0.35922571038590412</v>
      </c>
    </row>
    <row r="122" spans="1:26" s="69" customFormat="1" ht="15" hidden="1" customHeight="1" outlineLevel="2" x14ac:dyDescent="0.3">
      <c r="A122" s="26"/>
      <c r="B122" s="12" t="str">
        <f>CONCATENATE("          ","6314"," - ","LIABILITY INSURANCE")</f>
        <v xml:space="preserve">          6314 - LIABILITY INSURANCE</v>
      </c>
      <c r="C122" s="12"/>
      <c r="D122" s="8">
        <v>219.08</v>
      </c>
      <c r="E122" s="3"/>
      <c r="F122" s="7">
        <f t="shared" si="20"/>
        <v>2.9144383788911438E-4</v>
      </c>
      <c r="G122" s="3"/>
      <c r="H122" s="8">
        <v>161.18</v>
      </c>
      <c r="I122" s="3"/>
      <c r="J122" s="7">
        <f t="shared" si="21"/>
        <v>3.9397463725331582E-4</v>
      </c>
      <c r="K122" s="3"/>
      <c r="L122" s="8">
        <f t="shared" si="22"/>
        <v>57.900000000000006</v>
      </c>
      <c r="M122" s="3"/>
      <c r="N122" s="7">
        <f t="shared" si="23"/>
        <v>0.35922571038590395</v>
      </c>
      <c r="O122" s="12"/>
      <c r="P122" s="8">
        <v>2190.8000000000002</v>
      </c>
      <c r="Q122" s="3"/>
      <c r="R122" s="7">
        <f t="shared" si="24"/>
        <v>5.4258060683420699E-4</v>
      </c>
      <c r="S122" s="3"/>
      <c r="T122" s="8">
        <v>1611.8</v>
      </c>
      <c r="U122" s="3"/>
      <c r="V122" s="7">
        <f t="shared" si="25"/>
        <v>8.5416298466316936E-4</v>
      </c>
      <c r="W122" s="3"/>
      <c r="X122" s="8">
        <f t="shared" si="26"/>
        <v>579.00000000000023</v>
      </c>
      <c r="Y122" s="3"/>
      <c r="Z122" s="7">
        <f t="shared" si="27"/>
        <v>0.35922571038590412</v>
      </c>
    </row>
    <row r="123" spans="1:26" s="68" customFormat="1" ht="15" customHeight="1" outlineLevel="1" collapsed="1" x14ac:dyDescent="0.3">
      <c r="A123" s="25"/>
      <c r="B123" s="14" t="str">
        <f>CONCATENATE("     ","Inventory Adjustment                              ")</f>
        <v xml:space="preserve">     Inventory Adjustment                              </v>
      </c>
      <c r="C123" s="14"/>
      <c r="D123" s="2">
        <f>SUM(OSRRefD22_11x_0)</f>
        <v>3450</v>
      </c>
      <c r="E123" s="2"/>
      <c r="F123" s="6">
        <f t="shared" si="20"/>
        <v>4.5895619897637595E-3</v>
      </c>
      <c r="G123" s="2"/>
      <c r="H123" s="2">
        <f>SUM(OSRRefH22_11x_0)</f>
        <v>1100</v>
      </c>
      <c r="I123" s="2"/>
      <c r="J123" s="6">
        <f t="shared" si="21"/>
        <v>2.6887461284194527E-3</v>
      </c>
      <c r="K123" s="2"/>
      <c r="L123" s="2">
        <f t="shared" si="22"/>
        <v>2350</v>
      </c>
      <c r="M123" s="2"/>
      <c r="N123" s="6">
        <f t="shared" si="23"/>
        <v>2.1363636363636362</v>
      </c>
      <c r="O123" s="14"/>
      <c r="P123" s="2">
        <f>SUM(OSRRefP22_11x_0)</f>
        <v>34500</v>
      </c>
      <c r="Q123" s="2"/>
      <c r="R123" s="6">
        <f t="shared" si="24"/>
        <v>8.5443814751598214E-3</v>
      </c>
      <c r="S123" s="2"/>
      <c r="T123" s="2">
        <f>SUM(OSRRefT22_11x_0)</f>
        <v>11000</v>
      </c>
      <c r="U123" s="2"/>
      <c r="V123" s="6">
        <f t="shared" si="25"/>
        <v>5.8293788505365826E-3</v>
      </c>
      <c r="W123" s="2"/>
      <c r="X123" s="2">
        <f t="shared" si="26"/>
        <v>23500</v>
      </c>
      <c r="Y123" s="2"/>
      <c r="Z123" s="6">
        <f t="shared" si="27"/>
        <v>2.1363636363636362</v>
      </c>
    </row>
    <row r="124" spans="1:26" s="69" customFormat="1" ht="15" hidden="1" customHeight="1" outlineLevel="2" x14ac:dyDescent="0.3">
      <c r="A124" s="26"/>
      <c r="B124" s="12" t="str">
        <f>CONCATENATE("          ","6408"," - ","INVENTORY ADJUSTMENT")</f>
        <v xml:space="preserve">          6408 - INVENTORY ADJUSTMENT</v>
      </c>
      <c r="C124" s="12"/>
      <c r="D124" s="8">
        <v>3450</v>
      </c>
      <c r="E124" s="3"/>
      <c r="F124" s="7">
        <f t="shared" si="20"/>
        <v>4.5895619897637595E-3</v>
      </c>
      <c r="G124" s="3"/>
      <c r="H124" s="8">
        <v>1100</v>
      </c>
      <c r="I124" s="3"/>
      <c r="J124" s="7">
        <f t="shared" si="21"/>
        <v>2.6887461284194527E-3</v>
      </c>
      <c r="K124" s="3"/>
      <c r="L124" s="8">
        <f t="shared" si="22"/>
        <v>2350</v>
      </c>
      <c r="M124" s="3"/>
      <c r="N124" s="7">
        <f t="shared" si="23"/>
        <v>2.1363636363636362</v>
      </c>
      <c r="O124" s="12"/>
      <c r="P124" s="8">
        <v>34500</v>
      </c>
      <c r="Q124" s="3"/>
      <c r="R124" s="7">
        <f t="shared" si="24"/>
        <v>8.5443814751598214E-3</v>
      </c>
      <c r="S124" s="3"/>
      <c r="T124" s="8">
        <v>11000</v>
      </c>
      <c r="U124" s="3"/>
      <c r="V124" s="7">
        <f t="shared" si="25"/>
        <v>5.8293788505365826E-3</v>
      </c>
      <c r="W124" s="3"/>
      <c r="X124" s="8">
        <f t="shared" si="26"/>
        <v>23500</v>
      </c>
      <c r="Y124" s="3"/>
      <c r="Z124" s="7">
        <f t="shared" si="27"/>
        <v>2.1363636363636362</v>
      </c>
    </row>
    <row r="125" spans="1:26" s="69" customFormat="1" ht="15" hidden="1" customHeight="1" outlineLevel="2" x14ac:dyDescent="0.3">
      <c r="A125" s="26"/>
      <c r="B125" s="12" t="str">
        <f>CONCATENATE("          ","7741"," - ","INV. SHRINKAGE-LOGO GIFTS")</f>
        <v xml:space="preserve">          7741 - INV. SHRINKAGE-LOGO GIFTS</v>
      </c>
      <c r="C125" s="12"/>
      <c r="D125" s="8"/>
      <c r="E125" s="3"/>
      <c r="F125" s="7">
        <f t="shared" si="20"/>
        <v>0</v>
      </c>
      <c r="G125" s="3"/>
      <c r="H125" s="8"/>
      <c r="I125" s="3"/>
      <c r="J125" s="7">
        <f t="shared" si="21"/>
        <v>0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/>
      <c r="Q125" s="3"/>
      <c r="R125" s="7">
        <f t="shared" si="24"/>
        <v>0</v>
      </c>
      <c r="S125" s="3"/>
      <c r="T125" s="8">
        <v>0</v>
      </c>
      <c r="U125" s="3"/>
      <c r="V125" s="7">
        <f t="shared" si="25"/>
        <v>0</v>
      </c>
      <c r="W125" s="3"/>
      <c r="X125" s="8">
        <f t="shared" si="26"/>
        <v>0</v>
      </c>
      <c r="Y125" s="3"/>
      <c r="Z125" s="7">
        <f t="shared" si="27"/>
        <v>0</v>
      </c>
    </row>
    <row r="126" spans="1:26" s="68" customFormat="1" ht="15" customHeight="1" outlineLevel="1" collapsed="1" x14ac:dyDescent="0.3">
      <c r="A126" s="25"/>
      <c r="B126" s="14" t="str">
        <f>CONCATENATE("     ","Professional Services                             ")</f>
        <v xml:space="preserve">     Professional Services                             </v>
      </c>
      <c r="C126" s="14"/>
      <c r="D126" s="2">
        <f>SUM(OSRRefD22_12x_0)</f>
        <v>0</v>
      </c>
      <c r="E126" s="2"/>
      <c r="F126" s="6">
        <f t="shared" si="20"/>
        <v>0</v>
      </c>
      <c r="G126" s="2"/>
      <c r="H126" s="2">
        <f>SUM(OSRRefH22_12x_0)</f>
        <v>0</v>
      </c>
      <c r="I126" s="2"/>
      <c r="J126" s="6">
        <f t="shared" si="21"/>
        <v>0</v>
      </c>
      <c r="K126" s="2"/>
      <c r="L126" s="2">
        <f t="shared" si="22"/>
        <v>0</v>
      </c>
      <c r="M126" s="2"/>
      <c r="N126" s="6">
        <f t="shared" si="23"/>
        <v>0</v>
      </c>
      <c r="O126" s="14"/>
      <c r="P126" s="2">
        <f>SUM(OSRRefP22_12x_0)</f>
        <v>2109.1</v>
      </c>
      <c r="Q126" s="2"/>
      <c r="R126" s="6">
        <f t="shared" si="24"/>
        <v>5.2234652084810372E-4</v>
      </c>
      <c r="S126" s="2"/>
      <c r="T126" s="2">
        <f>SUM(OSRRefT22_12x_0)</f>
        <v>0</v>
      </c>
      <c r="U126" s="2"/>
      <c r="V126" s="6">
        <f t="shared" si="25"/>
        <v>0</v>
      </c>
      <c r="W126" s="2"/>
      <c r="X126" s="2">
        <f t="shared" si="26"/>
        <v>2109.1</v>
      </c>
      <c r="Y126" s="2"/>
      <c r="Z126" s="6">
        <f t="shared" si="27"/>
        <v>0</v>
      </c>
    </row>
    <row r="127" spans="1:26" s="69" customFormat="1" ht="15" hidden="1" customHeight="1" outlineLevel="2" x14ac:dyDescent="0.3">
      <c r="A127" s="26"/>
      <c r="B127" s="12" t="str">
        <f>CONCATENATE("          ","6336"," - ","PROFESSIONAL SERVICES")</f>
        <v xml:space="preserve">          6336 - PROFESSIONAL SERVICES</v>
      </c>
      <c r="C127" s="12"/>
      <c r="D127" s="8"/>
      <c r="E127" s="3"/>
      <c r="F127" s="7">
        <f t="shared" si="20"/>
        <v>0</v>
      </c>
      <c r="G127" s="3"/>
      <c r="H127" s="8"/>
      <c r="I127" s="3"/>
      <c r="J127" s="7">
        <f t="shared" si="21"/>
        <v>0</v>
      </c>
      <c r="K127" s="3"/>
      <c r="L127" s="8">
        <f t="shared" si="22"/>
        <v>0</v>
      </c>
      <c r="M127" s="3"/>
      <c r="N127" s="7">
        <f t="shared" si="23"/>
        <v>0</v>
      </c>
      <c r="O127" s="12"/>
      <c r="P127" s="8">
        <v>2109.1</v>
      </c>
      <c r="Q127" s="3"/>
      <c r="R127" s="7">
        <f t="shared" si="24"/>
        <v>5.2234652084810372E-4</v>
      </c>
      <c r="S127" s="3"/>
      <c r="T127" s="8"/>
      <c r="U127" s="3"/>
      <c r="V127" s="7">
        <f t="shared" si="25"/>
        <v>0</v>
      </c>
      <c r="W127" s="3"/>
      <c r="X127" s="8">
        <f t="shared" si="26"/>
        <v>2109.1</v>
      </c>
      <c r="Y127" s="3"/>
      <c r="Z127" s="7">
        <f t="shared" si="27"/>
        <v>0</v>
      </c>
    </row>
    <row r="128" spans="1:26" s="68" customFormat="1" ht="15" customHeight="1" outlineLevel="1" collapsed="1" x14ac:dyDescent="0.3">
      <c r="A128" s="25"/>
      <c r="B128" s="14" t="str">
        <f>CONCATENATE("     ","Rent                                              ")</f>
        <v xml:space="preserve">     Rent                                              </v>
      </c>
      <c r="C128" s="14"/>
      <c r="D128" s="2">
        <f>SUM(OSRRefD22_13x_0)</f>
        <v>6900</v>
      </c>
      <c r="E128" s="2"/>
      <c r="F128" s="6">
        <f t="shared" si="20"/>
        <v>9.179123979527519E-3</v>
      </c>
      <c r="G128" s="2"/>
      <c r="H128" s="2">
        <f>SUM(OSRRefH22_13x_0)</f>
        <v>6900</v>
      </c>
      <c r="I128" s="2"/>
      <c r="J128" s="6">
        <f t="shared" si="21"/>
        <v>1.6865771169176567E-2</v>
      </c>
      <c r="K128" s="2"/>
      <c r="L128" s="2">
        <f t="shared" si="22"/>
        <v>0</v>
      </c>
      <c r="M128" s="2"/>
      <c r="N128" s="6">
        <f t="shared" si="23"/>
        <v>0</v>
      </c>
      <c r="O128" s="14"/>
      <c r="P128" s="2">
        <f>SUM(OSRRefP22_13x_0)</f>
        <v>69000</v>
      </c>
      <c r="Q128" s="2"/>
      <c r="R128" s="6">
        <f t="shared" si="24"/>
        <v>1.7088762950319643E-2</v>
      </c>
      <c r="S128" s="2"/>
      <c r="T128" s="2">
        <f>SUM(OSRRefT22_13x_0)</f>
        <v>69000</v>
      </c>
      <c r="U128" s="2"/>
      <c r="V128" s="6">
        <f t="shared" si="25"/>
        <v>3.6566103698820379E-2</v>
      </c>
      <c r="W128" s="2"/>
      <c r="X128" s="2">
        <f t="shared" si="26"/>
        <v>0</v>
      </c>
      <c r="Y128" s="2"/>
      <c r="Z128" s="6">
        <f t="shared" si="27"/>
        <v>0</v>
      </c>
    </row>
    <row r="129" spans="1:26" s="69" customFormat="1" ht="15" hidden="1" customHeight="1" outlineLevel="2" x14ac:dyDescent="0.3">
      <c r="A129" s="26"/>
      <c r="B129" s="12" t="str">
        <f>CONCATENATE("          ","6273"," - ","RENT")</f>
        <v xml:space="preserve">          6273 - RENT</v>
      </c>
      <c r="C129" s="12"/>
      <c r="D129" s="8">
        <v>6900</v>
      </c>
      <c r="E129" s="3"/>
      <c r="F129" s="7">
        <f t="shared" si="20"/>
        <v>9.179123979527519E-3</v>
      </c>
      <c r="G129" s="3"/>
      <c r="H129" s="8">
        <v>6900</v>
      </c>
      <c r="I129" s="3"/>
      <c r="J129" s="7">
        <f t="shared" si="21"/>
        <v>1.6865771169176567E-2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>
        <v>69000</v>
      </c>
      <c r="Q129" s="3"/>
      <c r="R129" s="7">
        <f t="shared" si="24"/>
        <v>1.7088762950319643E-2</v>
      </c>
      <c r="S129" s="3"/>
      <c r="T129" s="8">
        <v>69000</v>
      </c>
      <c r="U129" s="3"/>
      <c r="V129" s="7">
        <f t="shared" si="25"/>
        <v>3.6566103698820379E-2</v>
      </c>
      <c r="W129" s="3"/>
      <c r="X129" s="8">
        <f t="shared" si="26"/>
        <v>0</v>
      </c>
      <c r="Y129" s="3"/>
      <c r="Z129" s="7">
        <f t="shared" si="27"/>
        <v>0</v>
      </c>
    </row>
    <row r="130" spans="1:26" s="68" customFormat="1" ht="15" customHeight="1" outlineLevel="1" collapsed="1" x14ac:dyDescent="0.3">
      <c r="A130" s="25"/>
      <c r="B130" s="14" t="str">
        <f>CONCATENATE("     ","Repair and Maintenance                            ")</f>
        <v xml:space="preserve">     Repair and Maintenance                            </v>
      </c>
      <c r="C130" s="14"/>
      <c r="D130" s="2">
        <f>SUM(OSRRefD22_14x_0)</f>
        <v>2154.4699999999998</v>
      </c>
      <c r="E130" s="2"/>
      <c r="F130" s="6">
        <f t="shared" si="20"/>
        <v>2.8661082956771959E-3</v>
      </c>
      <c r="G130" s="2"/>
      <c r="H130" s="2">
        <f>SUM(OSRRefH22_14x_0)</f>
        <v>0</v>
      </c>
      <c r="I130" s="2"/>
      <c r="J130" s="6">
        <f t="shared" si="21"/>
        <v>0</v>
      </c>
      <c r="K130" s="2"/>
      <c r="L130" s="2">
        <f t="shared" si="22"/>
        <v>2154.4699999999998</v>
      </c>
      <c r="M130" s="2"/>
      <c r="N130" s="6">
        <f t="shared" si="23"/>
        <v>0</v>
      </c>
      <c r="O130" s="14"/>
      <c r="P130" s="2">
        <f>SUM(OSRRefP22_14x_0)</f>
        <v>5378.62</v>
      </c>
      <c r="Q130" s="2"/>
      <c r="R130" s="6">
        <f t="shared" si="24"/>
        <v>1.3320864084035977E-3</v>
      </c>
      <c r="S130" s="2"/>
      <c r="T130" s="2">
        <f>SUM(OSRRefT22_14x_0)</f>
        <v>309.70999999999998</v>
      </c>
      <c r="U130" s="2"/>
      <c r="V130" s="6">
        <f t="shared" si="25"/>
        <v>1.6412881125451681E-4</v>
      </c>
      <c r="W130" s="2"/>
      <c r="X130" s="2">
        <f t="shared" si="26"/>
        <v>5068.91</v>
      </c>
      <c r="Y130" s="2"/>
      <c r="Z130" s="6">
        <f t="shared" si="27"/>
        <v>16.36663330212134</v>
      </c>
    </row>
    <row r="131" spans="1:26" s="69" customFormat="1" ht="15" hidden="1" customHeight="1" outlineLevel="2" x14ac:dyDescent="0.3">
      <c r="A131" s="26"/>
      <c r="B131" s="12" t="str">
        <f>CONCATENATE("          ","6372"," - ","COMPUTER HARDWARE MAINTENANCE")</f>
        <v xml:space="preserve">          6372 - COMPUTER HARDWARE MAINTENANCE</v>
      </c>
      <c r="C131" s="12"/>
      <c r="D131" s="8"/>
      <c r="E131" s="3"/>
      <c r="F131" s="7">
        <f t="shared" si="20"/>
        <v>0</v>
      </c>
      <c r="G131" s="3"/>
      <c r="H131" s="8"/>
      <c r="I131" s="3"/>
      <c r="J131" s="7">
        <f t="shared" si="21"/>
        <v>0</v>
      </c>
      <c r="K131" s="3"/>
      <c r="L131" s="8">
        <f t="shared" si="22"/>
        <v>0</v>
      </c>
      <c r="M131" s="3"/>
      <c r="N131" s="7">
        <f t="shared" si="23"/>
        <v>0</v>
      </c>
      <c r="O131" s="12"/>
      <c r="P131" s="8"/>
      <c r="Q131" s="3"/>
      <c r="R131" s="7">
        <f t="shared" si="24"/>
        <v>0</v>
      </c>
      <c r="S131" s="3"/>
      <c r="T131" s="8">
        <v>-0.52</v>
      </c>
      <c r="U131" s="3"/>
      <c r="V131" s="7">
        <f t="shared" si="25"/>
        <v>-2.7557063657082027E-7</v>
      </c>
      <c r="W131" s="3"/>
      <c r="X131" s="8">
        <f t="shared" si="26"/>
        <v>0.52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6"/>
      <c r="B132" s="12" t="str">
        <f>CONCATENATE("          ","6373"," - ","MAINTENANCE CONTRACTS")</f>
        <v xml:space="preserve">          6373 - MAINTENANCE CONTRACTS</v>
      </c>
      <c r="C132" s="12"/>
      <c r="D132" s="8"/>
      <c r="E132" s="3"/>
      <c r="F132" s="7">
        <f t="shared" si="20"/>
        <v>0</v>
      </c>
      <c r="G132" s="3"/>
      <c r="H132" s="8"/>
      <c r="I132" s="3"/>
      <c r="J132" s="7">
        <f t="shared" si="21"/>
        <v>0</v>
      </c>
      <c r="K132" s="3"/>
      <c r="L132" s="8">
        <f t="shared" si="22"/>
        <v>0</v>
      </c>
      <c r="M132" s="3"/>
      <c r="N132" s="7">
        <f t="shared" si="23"/>
        <v>0</v>
      </c>
      <c r="O132" s="12"/>
      <c r="P132" s="8">
        <v>714.5</v>
      </c>
      <c r="Q132" s="3"/>
      <c r="R132" s="7">
        <f t="shared" si="24"/>
        <v>1.7695537866671573E-4</v>
      </c>
      <c r="S132" s="3"/>
      <c r="T132" s="8">
        <v>144.66999999999999</v>
      </c>
      <c r="U132" s="3"/>
      <c r="V132" s="7">
        <f t="shared" si="25"/>
        <v>7.6666930755193391E-5</v>
      </c>
      <c r="W132" s="3"/>
      <c r="X132" s="8">
        <f t="shared" si="26"/>
        <v>569.83000000000004</v>
      </c>
      <c r="Y132" s="3"/>
      <c r="Z132" s="7">
        <f t="shared" si="27"/>
        <v>3.9388262943250161</v>
      </c>
    </row>
    <row r="133" spans="1:26" s="69" customFormat="1" ht="15" hidden="1" customHeight="1" outlineLevel="2" x14ac:dyDescent="0.3">
      <c r="A133" s="26"/>
      <c r="B133" s="12" t="str">
        <f>CONCATENATE("          ","6375"," - ","OUTSIDE REPAIRS &amp; MAINTENANCE")</f>
        <v xml:space="preserve">          6375 - OUTSIDE REPAIRS &amp; MAINTENANCE</v>
      </c>
      <c r="C133" s="12"/>
      <c r="D133" s="8">
        <v>2154.4699999999998</v>
      </c>
      <c r="E133" s="3"/>
      <c r="F133" s="7">
        <f t="shared" si="20"/>
        <v>2.8661082956771959E-3</v>
      </c>
      <c r="G133" s="3"/>
      <c r="H133" s="8"/>
      <c r="I133" s="3"/>
      <c r="J133" s="7">
        <f t="shared" si="21"/>
        <v>0</v>
      </c>
      <c r="K133" s="3"/>
      <c r="L133" s="8">
        <f t="shared" si="22"/>
        <v>2154.4699999999998</v>
      </c>
      <c r="M133" s="3"/>
      <c r="N133" s="7">
        <f t="shared" si="23"/>
        <v>0</v>
      </c>
      <c r="O133" s="12"/>
      <c r="P133" s="8">
        <v>4664.12</v>
      </c>
      <c r="Q133" s="3"/>
      <c r="R133" s="7">
        <f t="shared" si="24"/>
        <v>1.155131029736882E-3</v>
      </c>
      <c r="S133" s="3"/>
      <c r="T133" s="8">
        <v>165.56</v>
      </c>
      <c r="U133" s="3"/>
      <c r="V133" s="7">
        <f t="shared" si="25"/>
        <v>8.7737451135894243E-5</v>
      </c>
      <c r="W133" s="3"/>
      <c r="X133" s="8">
        <f t="shared" si="26"/>
        <v>4498.5599999999995</v>
      </c>
      <c r="Y133" s="3"/>
      <c r="Z133" s="7">
        <f t="shared" si="27"/>
        <v>27.171780623338968</v>
      </c>
    </row>
    <row r="134" spans="1:26" s="68" customFormat="1" ht="15" customHeight="1" outlineLevel="1" collapsed="1" x14ac:dyDescent="0.3">
      <c r="A134" s="25"/>
      <c r="B134" s="14" t="str">
        <f>CONCATENATE("     ","Royalty &amp; Commissions                             ")</f>
        <v xml:space="preserve">     Royalty &amp; Commissions                             </v>
      </c>
      <c r="C134" s="14"/>
      <c r="D134" s="2">
        <f>SUM(OSRRefD22_15x_0)</f>
        <v>26841.57</v>
      </c>
      <c r="E134" s="2"/>
      <c r="F134" s="6">
        <f t="shared" si="20"/>
        <v>3.5707550555821227E-2</v>
      </c>
      <c r="G134" s="2"/>
      <c r="H134" s="2">
        <f>SUM(OSRRefH22_15x_0)</f>
        <v>8961.48</v>
      </c>
      <c r="I134" s="2"/>
      <c r="J134" s="6">
        <f t="shared" si="21"/>
        <v>2.1904676959007593E-2</v>
      </c>
      <c r="K134" s="2"/>
      <c r="L134" s="2">
        <f t="shared" si="22"/>
        <v>17880.09</v>
      </c>
      <c r="M134" s="2"/>
      <c r="N134" s="6">
        <f t="shared" si="23"/>
        <v>1.9952161919682911</v>
      </c>
      <c r="O134" s="14"/>
      <c r="P134" s="2">
        <f>SUM(OSRRefP22_15x_0)</f>
        <v>69571.88</v>
      </c>
      <c r="Q134" s="2"/>
      <c r="R134" s="6">
        <f t="shared" si="24"/>
        <v>1.7230396598957743E-2</v>
      </c>
      <c r="S134" s="2"/>
      <c r="T134" s="2">
        <f>SUM(OSRRefT22_15x_0)</f>
        <v>35159.06</v>
      </c>
      <c r="U134" s="2"/>
      <c r="V134" s="6">
        <f t="shared" si="25"/>
        <v>1.8632316433522429E-2</v>
      </c>
      <c r="W134" s="2"/>
      <c r="X134" s="2">
        <f t="shared" si="26"/>
        <v>34412.820000000007</v>
      </c>
      <c r="Y134" s="2"/>
      <c r="Z134" s="6">
        <f t="shared" si="27"/>
        <v>0.97877531424332764</v>
      </c>
    </row>
    <row r="135" spans="1:26" s="69" customFormat="1" ht="15" hidden="1" customHeight="1" outlineLevel="2" x14ac:dyDescent="0.3">
      <c r="A135" s="26"/>
      <c r="B135" s="12" t="str">
        <f>CONCATENATE("          ","6253"," - ","ROYALTY DUE ATHLETICS-LRG")</f>
        <v xml:space="preserve">          6253 - ROYALTY DUE ATHLETICS-LRG</v>
      </c>
      <c r="C135" s="12"/>
      <c r="D135" s="8">
        <v>15944.33</v>
      </c>
      <c r="E135" s="3"/>
      <c r="F135" s="7">
        <f t="shared" si="20"/>
        <v>2.1210866933405799E-2</v>
      </c>
      <c r="G135" s="3"/>
      <c r="H135" s="8">
        <v>8961.48</v>
      </c>
      <c r="I135" s="3"/>
      <c r="J135" s="7">
        <f t="shared" si="21"/>
        <v>2.1904676959007593E-2</v>
      </c>
      <c r="K135" s="3"/>
      <c r="L135" s="8">
        <f t="shared" si="22"/>
        <v>6982.85</v>
      </c>
      <c r="M135" s="3"/>
      <c r="N135" s="7">
        <f t="shared" si="23"/>
        <v>0.77920722916304008</v>
      </c>
      <c r="O135" s="12"/>
      <c r="P135" s="8">
        <v>55165.49</v>
      </c>
      <c r="Q135" s="3"/>
      <c r="R135" s="7">
        <f t="shared" si="24"/>
        <v>1.3662463502148243E-2</v>
      </c>
      <c r="S135" s="3"/>
      <c r="T135" s="8">
        <v>35159.06</v>
      </c>
      <c r="U135" s="3"/>
      <c r="V135" s="7">
        <f t="shared" si="25"/>
        <v>1.8632316433522429E-2</v>
      </c>
      <c r="W135" s="3"/>
      <c r="X135" s="8">
        <f t="shared" si="26"/>
        <v>20006.43</v>
      </c>
      <c r="Y135" s="3"/>
      <c r="Z135" s="7">
        <f t="shared" si="27"/>
        <v>0.56902630502635743</v>
      </c>
    </row>
    <row r="136" spans="1:26" s="69" customFormat="1" ht="15" hidden="1" customHeight="1" outlineLevel="2" x14ac:dyDescent="0.3">
      <c r="A136" s="26"/>
      <c r="B136" s="12" t="str">
        <f>CONCATENATE("          ","6254"," - ","ROYALTY &amp; COMMISSIONS")</f>
        <v xml:space="preserve">          6254 - ROYALTY &amp; COMMISSIONS</v>
      </c>
      <c r="C136" s="12"/>
      <c r="D136" s="8">
        <v>10897.24</v>
      </c>
      <c r="E136" s="3"/>
      <c r="F136" s="7">
        <f t="shared" si="20"/>
        <v>1.449668362241543E-2</v>
      </c>
      <c r="G136" s="3"/>
      <c r="H136" s="8"/>
      <c r="I136" s="3"/>
      <c r="J136" s="7">
        <f t="shared" si="21"/>
        <v>0</v>
      </c>
      <c r="K136" s="3"/>
      <c r="L136" s="8">
        <f t="shared" si="22"/>
        <v>10897.24</v>
      </c>
      <c r="M136" s="3"/>
      <c r="N136" s="7">
        <f t="shared" si="23"/>
        <v>0</v>
      </c>
      <c r="O136" s="12"/>
      <c r="P136" s="8">
        <v>14406.39</v>
      </c>
      <c r="Q136" s="3"/>
      <c r="R136" s="7">
        <f t="shared" si="24"/>
        <v>3.5679330968094985E-3</v>
      </c>
      <c r="S136" s="3"/>
      <c r="T136" s="8"/>
      <c r="U136" s="3"/>
      <c r="V136" s="7">
        <f t="shared" si="25"/>
        <v>0</v>
      </c>
      <c r="W136" s="3"/>
      <c r="X136" s="8">
        <f t="shared" si="26"/>
        <v>14406.39</v>
      </c>
      <c r="Y136" s="3"/>
      <c r="Z136" s="7">
        <f t="shared" si="27"/>
        <v>0</v>
      </c>
    </row>
    <row r="137" spans="1:26" s="68" customFormat="1" ht="15" customHeight="1" outlineLevel="1" collapsed="1" x14ac:dyDescent="0.3">
      <c r="A137" s="25"/>
      <c r="B137" s="14" t="str">
        <f>CONCATENATE("     ","Services                                          ")</f>
        <v xml:space="preserve">     Services                                          </v>
      </c>
      <c r="C137" s="14"/>
      <c r="D137" s="2">
        <f>SUM(OSRRefD22_16x_0)</f>
        <v>73.75</v>
      </c>
      <c r="E137" s="2"/>
      <c r="F137" s="6">
        <f t="shared" si="20"/>
        <v>9.8110201955094867E-5</v>
      </c>
      <c r="G137" s="2"/>
      <c r="H137" s="2">
        <f>SUM(OSRRefH22_16x_0)</f>
        <v>155.59</v>
      </c>
      <c r="I137" s="2"/>
      <c r="J137" s="6">
        <f t="shared" si="21"/>
        <v>3.8031091829162056E-4</v>
      </c>
      <c r="K137" s="2"/>
      <c r="L137" s="2">
        <f t="shared" si="22"/>
        <v>-81.84</v>
      </c>
      <c r="M137" s="2"/>
      <c r="N137" s="6">
        <f t="shared" si="23"/>
        <v>-0.52599781476958674</v>
      </c>
      <c r="O137" s="14"/>
      <c r="P137" s="2">
        <f>SUM(OSRRefP22_16x_0)</f>
        <v>1652.56</v>
      </c>
      <c r="Q137" s="2"/>
      <c r="R137" s="6">
        <f t="shared" si="24"/>
        <v>4.0927834929246708E-4</v>
      </c>
      <c r="S137" s="2"/>
      <c r="T137" s="2">
        <f>SUM(OSRRefT22_16x_0)</f>
        <v>762.93</v>
      </c>
      <c r="U137" s="2"/>
      <c r="V137" s="6">
        <f t="shared" si="25"/>
        <v>4.0430981876726134E-4</v>
      </c>
      <c r="W137" s="2"/>
      <c r="X137" s="2">
        <f t="shared" si="26"/>
        <v>889.63</v>
      </c>
      <c r="Y137" s="2"/>
      <c r="Z137" s="6">
        <f t="shared" si="27"/>
        <v>1.1660702816772182</v>
      </c>
    </row>
    <row r="138" spans="1:26" s="69" customFormat="1" ht="15" hidden="1" customHeight="1" outlineLevel="2" x14ac:dyDescent="0.3">
      <c r="A138" s="26"/>
      <c r="B138" s="12" t="str">
        <f>CONCATENATE("          ","6283"," - ","PLANT SERVICE")</f>
        <v xml:space="preserve">          6283 - PLANT SERVICE</v>
      </c>
      <c r="C138" s="12"/>
      <c r="D138" s="8"/>
      <c r="E138" s="3"/>
      <c r="F138" s="7">
        <f t="shared" si="20"/>
        <v>0</v>
      </c>
      <c r="G138" s="3"/>
      <c r="H138" s="8"/>
      <c r="I138" s="3"/>
      <c r="J138" s="7">
        <f t="shared" si="21"/>
        <v>0</v>
      </c>
      <c r="K138" s="3"/>
      <c r="L138" s="8">
        <f t="shared" si="22"/>
        <v>0</v>
      </c>
      <c r="M138" s="3"/>
      <c r="N138" s="7">
        <f t="shared" si="23"/>
        <v>0</v>
      </c>
      <c r="O138" s="12"/>
      <c r="P138" s="8"/>
      <c r="Q138" s="3"/>
      <c r="R138" s="7">
        <f t="shared" si="24"/>
        <v>0</v>
      </c>
      <c r="S138" s="3"/>
      <c r="T138" s="8">
        <v>41.31</v>
      </c>
      <c r="U138" s="3"/>
      <c r="V138" s="7">
        <f t="shared" si="25"/>
        <v>2.1891967301424202E-5</v>
      </c>
      <c r="W138" s="3"/>
      <c r="X138" s="8">
        <f t="shared" si="26"/>
        <v>-41.31</v>
      </c>
      <c r="Y138" s="3"/>
      <c r="Z138" s="7">
        <f t="shared" si="27"/>
        <v>-1</v>
      </c>
    </row>
    <row r="139" spans="1:26" s="69" customFormat="1" ht="15" hidden="1" customHeight="1" outlineLevel="2" x14ac:dyDescent="0.3">
      <c r="A139" s="26"/>
      <c r="B139" s="12" t="str">
        <f>CONCATENATE("          ","6284"," - ","TRASH REMOVAL EXPENSE")</f>
        <v xml:space="preserve">          6284 - TRASH REMOVAL EXPENSE</v>
      </c>
      <c r="C139" s="12"/>
      <c r="D139" s="8"/>
      <c r="E139" s="3"/>
      <c r="F139" s="7">
        <f t="shared" si="20"/>
        <v>0</v>
      </c>
      <c r="G139" s="3"/>
      <c r="H139" s="8">
        <v>142.57</v>
      </c>
      <c r="I139" s="3"/>
      <c r="J139" s="7">
        <f t="shared" si="21"/>
        <v>3.4848594138978302E-4</v>
      </c>
      <c r="K139" s="3"/>
      <c r="L139" s="8">
        <f t="shared" si="22"/>
        <v>-142.57</v>
      </c>
      <c r="M139" s="3"/>
      <c r="N139" s="7">
        <f t="shared" si="23"/>
        <v>-1</v>
      </c>
      <c r="O139" s="12"/>
      <c r="P139" s="8">
        <v>1340.17</v>
      </c>
      <c r="Q139" s="3"/>
      <c r="R139" s="7">
        <f t="shared" si="24"/>
        <v>3.3191083250912868E-4</v>
      </c>
      <c r="S139" s="3"/>
      <c r="T139" s="8">
        <v>1440.72</v>
      </c>
      <c r="U139" s="3"/>
      <c r="V139" s="7">
        <f t="shared" si="25"/>
        <v>7.6350024523136957E-4</v>
      </c>
      <c r="W139" s="3"/>
      <c r="X139" s="8">
        <f t="shared" si="26"/>
        <v>-100.54999999999995</v>
      </c>
      <c r="Y139" s="3"/>
      <c r="Z139" s="7">
        <f t="shared" si="27"/>
        <v>-6.9791493142317695E-2</v>
      </c>
    </row>
    <row r="140" spans="1:26" s="69" customFormat="1" ht="15" hidden="1" customHeight="1" outlineLevel="2" x14ac:dyDescent="0.3">
      <c r="A140" s="26"/>
      <c r="B140" s="12" t="str">
        <f>CONCATENATE("          ","6285"," - ","JANITORIAL SERVICES")</f>
        <v xml:space="preserve">          6285 - JANITORIAL SERVICES</v>
      </c>
      <c r="C140" s="12"/>
      <c r="D140" s="8">
        <v>73.75</v>
      </c>
      <c r="E140" s="3"/>
      <c r="F140" s="7">
        <f t="shared" si="20"/>
        <v>9.8110201955094867E-5</v>
      </c>
      <c r="G140" s="3"/>
      <c r="H140" s="8">
        <v>13.02</v>
      </c>
      <c r="I140" s="3"/>
      <c r="J140" s="7">
        <f t="shared" si="21"/>
        <v>3.1824976901837519E-5</v>
      </c>
      <c r="K140" s="3"/>
      <c r="L140" s="8">
        <f t="shared" si="22"/>
        <v>60.730000000000004</v>
      </c>
      <c r="M140" s="3"/>
      <c r="N140" s="7">
        <f t="shared" si="23"/>
        <v>4.6643625192012292</v>
      </c>
      <c r="O140" s="12"/>
      <c r="P140" s="8">
        <v>312.39</v>
      </c>
      <c r="Q140" s="3"/>
      <c r="R140" s="7">
        <f t="shared" si="24"/>
        <v>7.736751678333846E-5</v>
      </c>
      <c r="S140" s="3"/>
      <c r="T140" s="8">
        <v>-719.1</v>
      </c>
      <c r="U140" s="3"/>
      <c r="V140" s="7">
        <f t="shared" si="25"/>
        <v>-3.8108239376553242E-4</v>
      </c>
      <c r="W140" s="3"/>
      <c r="X140" s="8">
        <f t="shared" si="26"/>
        <v>1031.49</v>
      </c>
      <c r="Y140" s="3"/>
      <c r="Z140" s="7">
        <f t="shared" si="27"/>
        <v>-1.4344180225281602</v>
      </c>
    </row>
    <row r="141" spans="1:26" s="68" customFormat="1" ht="15" customHeight="1" outlineLevel="1" collapsed="1" x14ac:dyDescent="0.3">
      <c r="A141" s="25"/>
      <c r="B141" s="14" t="str">
        <f>CONCATENATE("     ","Subscriptions &amp; Dues                              ")</f>
        <v xml:space="preserve">     Subscriptions &amp; Dues                              </v>
      </c>
      <c r="C141" s="14"/>
      <c r="D141" s="2">
        <f>SUM(OSRRefD22_17x_0)</f>
        <v>0</v>
      </c>
      <c r="E141" s="2"/>
      <c r="F141" s="6">
        <f t="shared" si="20"/>
        <v>0</v>
      </c>
      <c r="G141" s="2"/>
      <c r="H141" s="2">
        <f>SUM(OSRRefH22_17x_0)</f>
        <v>2014.87</v>
      </c>
      <c r="I141" s="2"/>
      <c r="J141" s="6">
        <f t="shared" si="21"/>
        <v>4.9249762834259114E-3</v>
      </c>
      <c r="K141" s="2"/>
      <c r="L141" s="2">
        <f t="shared" si="22"/>
        <v>-2014.87</v>
      </c>
      <c r="M141" s="2"/>
      <c r="N141" s="6">
        <f t="shared" si="23"/>
        <v>-1</v>
      </c>
      <c r="O141" s="14"/>
      <c r="P141" s="2">
        <f>SUM(OSRRefP22_17x_0)</f>
        <v>125</v>
      </c>
      <c r="Q141" s="2"/>
      <c r="R141" s="6">
        <f t="shared" si="24"/>
        <v>3.0957903895506602E-5</v>
      </c>
      <c r="S141" s="2"/>
      <c r="T141" s="2">
        <f>SUM(OSRRefT22_17x_0)</f>
        <v>2022.57</v>
      </c>
      <c r="U141" s="2"/>
      <c r="V141" s="6">
        <f t="shared" si="25"/>
        <v>1.0718478892481613E-3</v>
      </c>
      <c r="W141" s="2"/>
      <c r="X141" s="2">
        <f t="shared" si="26"/>
        <v>-1897.57</v>
      </c>
      <c r="Y141" s="2"/>
      <c r="Z141" s="6">
        <f t="shared" si="27"/>
        <v>-0.93819744186851384</v>
      </c>
    </row>
    <row r="142" spans="1:26" s="69" customFormat="1" ht="15" hidden="1" customHeight="1" outlineLevel="2" x14ac:dyDescent="0.3">
      <c r="A142" s="26"/>
      <c r="B142" s="12" t="str">
        <f>CONCATENATE("          ","6258"," - ","MEMBERSHIP DUES")</f>
        <v xml:space="preserve">          6258 - MEMBERSHIP DUES</v>
      </c>
      <c r="C142" s="12"/>
      <c r="D142" s="8"/>
      <c r="E142" s="3"/>
      <c r="F142" s="7">
        <f t="shared" si="20"/>
        <v>0</v>
      </c>
      <c r="G142" s="3"/>
      <c r="H142" s="8"/>
      <c r="I142" s="3"/>
      <c r="J142" s="7">
        <f t="shared" si="21"/>
        <v>0</v>
      </c>
      <c r="K142" s="3"/>
      <c r="L142" s="8">
        <f t="shared" si="22"/>
        <v>0</v>
      </c>
      <c r="M142" s="3"/>
      <c r="N142" s="7">
        <f t="shared" si="23"/>
        <v>0</v>
      </c>
      <c r="O142" s="12"/>
      <c r="P142" s="8">
        <v>125</v>
      </c>
      <c r="Q142" s="3"/>
      <c r="R142" s="7">
        <f t="shared" si="24"/>
        <v>3.0957903895506602E-5</v>
      </c>
      <c r="S142" s="3"/>
      <c r="T142" s="8">
        <v>-368.03</v>
      </c>
      <c r="U142" s="3"/>
      <c r="V142" s="7">
        <f t="shared" si="25"/>
        <v>-1.9503511803299804E-4</v>
      </c>
      <c r="W142" s="3"/>
      <c r="X142" s="8">
        <f t="shared" si="26"/>
        <v>493.03</v>
      </c>
      <c r="Y142" s="3"/>
      <c r="Z142" s="7">
        <f t="shared" si="27"/>
        <v>-1.3396462244925686</v>
      </c>
    </row>
    <row r="143" spans="1:26" s="69" customFormat="1" ht="15" hidden="1" customHeight="1" outlineLevel="2" x14ac:dyDescent="0.3">
      <c r="A143" s="26"/>
      <c r="B143" s="12" t="str">
        <f>CONCATENATE("          ","6275"," - ","SUBSCRIPTIONS")</f>
        <v xml:space="preserve">          6275 - SUBSCRIPTIONS</v>
      </c>
      <c r="C143" s="12"/>
      <c r="D143" s="8"/>
      <c r="E143" s="3"/>
      <c r="F143" s="7">
        <f t="shared" si="20"/>
        <v>0</v>
      </c>
      <c r="G143" s="3"/>
      <c r="H143" s="8">
        <v>2014.87</v>
      </c>
      <c r="I143" s="3"/>
      <c r="J143" s="7">
        <f t="shared" si="21"/>
        <v>4.9249762834259114E-3</v>
      </c>
      <c r="K143" s="3"/>
      <c r="L143" s="8">
        <f t="shared" si="22"/>
        <v>-2014.87</v>
      </c>
      <c r="M143" s="3"/>
      <c r="N143" s="7">
        <f t="shared" si="23"/>
        <v>-1</v>
      </c>
      <c r="O143" s="12"/>
      <c r="P143" s="8"/>
      <c r="Q143" s="3"/>
      <c r="R143" s="7">
        <f t="shared" si="24"/>
        <v>0</v>
      </c>
      <c r="S143" s="3"/>
      <c r="T143" s="8">
        <v>2390.6</v>
      </c>
      <c r="U143" s="3"/>
      <c r="V143" s="7">
        <f t="shared" si="25"/>
        <v>1.2668830072811595E-3</v>
      </c>
      <c r="W143" s="3"/>
      <c r="X143" s="8">
        <f t="shared" si="26"/>
        <v>-2390.6</v>
      </c>
      <c r="Y143" s="3"/>
      <c r="Z143" s="7">
        <f t="shared" si="27"/>
        <v>-1</v>
      </c>
    </row>
    <row r="144" spans="1:26" s="68" customFormat="1" ht="15" customHeight="1" outlineLevel="1" collapsed="1" x14ac:dyDescent="0.3">
      <c r="A144" s="25"/>
      <c r="B144" s="14" t="str">
        <f>CONCATENATE("     ","Supplies                                          ")</f>
        <v xml:space="preserve">     Supplies                                          </v>
      </c>
      <c r="C144" s="14"/>
      <c r="D144" s="2">
        <f>SUM(OSRRefD22_18x_0)</f>
        <v>623.1400000000001</v>
      </c>
      <c r="E144" s="2"/>
      <c r="F144" s="6">
        <f t="shared" si="20"/>
        <v>8.289680168989535E-4</v>
      </c>
      <c r="G144" s="2"/>
      <c r="H144" s="2">
        <f>SUM(OSRRefH22_18x_0)</f>
        <v>399.95</v>
      </c>
      <c r="I144" s="2"/>
      <c r="J144" s="6">
        <f t="shared" si="21"/>
        <v>9.7760364914669089E-4</v>
      </c>
      <c r="K144" s="2"/>
      <c r="L144" s="2">
        <f t="shared" si="22"/>
        <v>223.19000000000011</v>
      </c>
      <c r="M144" s="2"/>
      <c r="N144" s="6">
        <f t="shared" si="23"/>
        <v>0.55804475559444955</v>
      </c>
      <c r="O144" s="14"/>
      <c r="P144" s="2">
        <f>SUM(OSRRefP22_18x_0)</f>
        <v>10146.76</v>
      </c>
      <c r="Q144" s="2"/>
      <c r="R144" s="6">
        <f t="shared" si="24"/>
        <v>2.5129793674461645E-3</v>
      </c>
      <c r="S144" s="2"/>
      <c r="T144" s="2">
        <f>SUM(OSRRefT22_18x_0)</f>
        <v>4589.07</v>
      </c>
      <c r="U144" s="2"/>
      <c r="V144" s="6">
        <f t="shared" si="25"/>
        <v>2.4319479637847194E-3</v>
      </c>
      <c r="W144" s="2"/>
      <c r="X144" s="2">
        <f t="shared" si="26"/>
        <v>5557.6900000000005</v>
      </c>
      <c r="Y144" s="2"/>
      <c r="Z144" s="6">
        <f t="shared" si="27"/>
        <v>1.2110710884776221</v>
      </c>
    </row>
    <row r="145" spans="1:26" s="69" customFormat="1" ht="15" hidden="1" customHeight="1" outlineLevel="2" x14ac:dyDescent="0.3">
      <c r="A145" s="26"/>
      <c r="B145" s="12" t="str">
        <f>CONCATENATE("          ","6234"," - ","EXPENDABLE SUPPLIES &amp; EQUIPMEN")</f>
        <v xml:space="preserve">          6234 - EXPENDABLE SUPPLIES &amp; EQUIPMEN</v>
      </c>
      <c r="C145" s="12"/>
      <c r="D145" s="8"/>
      <c r="E145" s="3"/>
      <c r="F145" s="7">
        <f t="shared" si="20"/>
        <v>0</v>
      </c>
      <c r="G145" s="3"/>
      <c r="H145" s="8">
        <v>53</v>
      </c>
      <c r="I145" s="3"/>
      <c r="J145" s="7">
        <f t="shared" si="21"/>
        <v>1.2954867709657363E-4</v>
      </c>
      <c r="K145" s="3"/>
      <c r="L145" s="8">
        <f t="shared" si="22"/>
        <v>-53</v>
      </c>
      <c r="M145" s="3"/>
      <c r="N145" s="7">
        <f t="shared" si="23"/>
        <v>-1</v>
      </c>
      <c r="O145" s="12"/>
      <c r="P145" s="8"/>
      <c r="Q145" s="3"/>
      <c r="R145" s="7">
        <f t="shared" si="24"/>
        <v>0</v>
      </c>
      <c r="S145" s="3"/>
      <c r="T145" s="8">
        <v>449.5</v>
      </c>
      <c r="U145" s="3"/>
      <c r="V145" s="7">
        <f t="shared" si="25"/>
        <v>2.3820961757419943E-4</v>
      </c>
      <c r="W145" s="3"/>
      <c r="X145" s="8">
        <f t="shared" si="26"/>
        <v>-449.5</v>
      </c>
      <c r="Y145" s="3"/>
      <c r="Z145" s="7">
        <f t="shared" si="27"/>
        <v>-1</v>
      </c>
    </row>
    <row r="146" spans="1:26" s="69" customFormat="1" ht="15" hidden="1" customHeight="1" outlineLevel="2" x14ac:dyDescent="0.3">
      <c r="A146" s="26"/>
      <c r="B146" s="12" t="str">
        <f>CONCATENATE("          ","6235"," - ","COVID-19 EXPENSES")</f>
        <v xml:space="preserve">          6235 - COVID-19 EXPENSES</v>
      </c>
      <c r="C146" s="12"/>
      <c r="D146" s="8"/>
      <c r="E146" s="3"/>
      <c r="F146" s="7">
        <f t="shared" si="20"/>
        <v>0</v>
      </c>
      <c r="G146" s="3"/>
      <c r="H146" s="8"/>
      <c r="I146" s="3"/>
      <c r="J146" s="7">
        <f t="shared" si="21"/>
        <v>0</v>
      </c>
      <c r="K146" s="3"/>
      <c r="L146" s="8">
        <f t="shared" si="22"/>
        <v>0</v>
      </c>
      <c r="M146" s="3"/>
      <c r="N146" s="7">
        <f t="shared" si="23"/>
        <v>0</v>
      </c>
      <c r="O146" s="12"/>
      <c r="P146" s="8"/>
      <c r="Q146" s="3"/>
      <c r="R146" s="7">
        <f t="shared" si="24"/>
        <v>0</v>
      </c>
      <c r="S146" s="3"/>
      <c r="T146" s="8">
        <v>1292.1300000000001</v>
      </c>
      <c r="U146" s="3"/>
      <c r="V146" s="7">
        <f t="shared" si="25"/>
        <v>6.8475593583125775E-4</v>
      </c>
      <c r="W146" s="3"/>
      <c r="X146" s="8">
        <f t="shared" si="26"/>
        <v>-1292.1300000000001</v>
      </c>
      <c r="Y146" s="3"/>
      <c r="Z146" s="7">
        <f t="shared" si="27"/>
        <v>-1</v>
      </c>
    </row>
    <row r="147" spans="1:26" s="69" customFormat="1" ht="15" hidden="1" customHeight="1" outlineLevel="2" x14ac:dyDescent="0.3">
      <c r="A147" s="26"/>
      <c r="B147" s="12" t="str">
        <f>CONCATENATE("          ","6237"," - ","JANITORIAL SUPPLIES")</f>
        <v xml:space="preserve">          6237 - JANITORIAL SUPPLIES</v>
      </c>
      <c r="C147" s="12"/>
      <c r="D147" s="8">
        <v>692.84</v>
      </c>
      <c r="E147" s="3"/>
      <c r="F147" s="7">
        <f t="shared" si="20"/>
        <v>9.2169047217041254E-4</v>
      </c>
      <c r="G147" s="3"/>
      <c r="H147" s="8"/>
      <c r="I147" s="3"/>
      <c r="J147" s="7">
        <f t="shared" si="21"/>
        <v>0</v>
      </c>
      <c r="K147" s="3"/>
      <c r="L147" s="8">
        <f t="shared" si="22"/>
        <v>692.84</v>
      </c>
      <c r="M147" s="3"/>
      <c r="N147" s="7">
        <f t="shared" si="23"/>
        <v>0</v>
      </c>
      <c r="O147" s="12"/>
      <c r="P147" s="8">
        <v>770.01</v>
      </c>
      <c r="Q147" s="3"/>
      <c r="R147" s="7">
        <f t="shared" si="24"/>
        <v>1.9070316462863231E-4</v>
      </c>
      <c r="S147" s="3"/>
      <c r="T147" s="8">
        <v>191.74</v>
      </c>
      <c r="U147" s="3"/>
      <c r="V147" s="7">
        <f t="shared" si="25"/>
        <v>1.0161137280017131E-4</v>
      </c>
      <c r="W147" s="3"/>
      <c r="X147" s="8">
        <f t="shared" si="26"/>
        <v>578.27</v>
      </c>
      <c r="Y147" s="3"/>
      <c r="Z147" s="7">
        <f t="shared" si="27"/>
        <v>3.0159069573380619</v>
      </c>
    </row>
    <row r="148" spans="1:26" s="69" customFormat="1" ht="15" hidden="1" customHeight="1" outlineLevel="2" x14ac:dyDescent="0.3">
      <c r="A148" s="26"/>
      <c r="B148" s="12" t="str">
        <f>CONCATENATE("          ","6241"," - ","OFFICE EXPENSE")</f>
        <v xml:space="preserve">          6241 - OFFICE EXPENSE</v>
      </c>
      <c r="C148" s="12"/>
      <c r="D148" s="8">
        <v>39.869999999999997</v>
      </c>
      <c r="E148" s="3"/>
      <c r="F148" s="7">
        <f t="shared" si="20"/>
        <v>5.3039372907791619E-5</v>
      </c>
      <c r="G148" s="3"/>
      <c r="H148" s="8">
        <v>346.95</v>
      </c>
      <c r="I148" s="3"/>
      <c r="J148" s="7">
        <f t="shared" si="21"/>
        <v>8.4805497205011726E-4</v>
      </c>
      <c r="K148" s="3"/>
      <c r="L148" s="8">
        <f t="shared" si="22"/>
        <v>-307.08</v>
      </c>
      <c r="M148" s="3"/>
      <c r="N148" s="7">
        <f t="shared" si="23"/>
        <v>-0.88508430609597921</v>
      </c>
      <c r="O148" s="12"/>
      <c r="P148" s="8">
        <v>2321.6799999999998</v>
      </c>
      <c r="Q148" s="3"/>
      <c r="R148" s="7">
        <f t="shared" si="24"/>
        <v>5.7499477052895813E-4</v>
      </c>
      <c r="S148" s="3"/>
      <c r="T148" s="8">
        <v>1545.47</v>
      </c>
      <c r="U148" s="3"/>
      <c r="V148" s="7">
        <f t="shared" si="25"/>
        <v>8.1901183019443384E-4</v>
      </c>
      <c r="W148" s="3"/>
      <c r="X148" s="8">
        <f t="shared" si="26"/>
        <v>776.20999999999981</v>
      </c>
      <c r="Y148" s="3"/>
      <c r="Z148" s="7">
        <f t="shared" si="27"/>
        <v>0.50224850692669532</v>
      </c>
    </row>
    <row r="149" spans="1:26" s="69" customFormat="1" ht="15" hidden="1" customHeight="1" outlineLevel="2" x14ac:dyDescent="0.3">
      <c r="A149" s="26"/>
      <c r="B149" s="12" t="str">
        <f>CONCATENATE("          ","6245"," - ","PRINTING")</f>
        <v xml:space="preserve">          6245 - PRINTING</v>
      </c>
      <c r="C149" s="12"/>
      <c r="D149" s="8"/>
      <c r="E149" s="3"/>
      <c r="F149" s="7">
        <f t="shared" si="20"/>
        <v>0</v>
      </c>
      <c r="G149" s="3"/>
      <c r="H149" s="8"/>
      <c r="I149" s="3"/>
      <c r="J149" s="7">
        <f t="shared" si="21"/>
        <v>0</v>
      </c>
      <c r="K149" s="3"/>
      <c r="L149" s="8">
        <f t="shared" si="22"/>
        <v>0</v>
      </c>
      <c r="M149" s="3"/>
      <c r="N149" s="7">
        <f t="shared" si="23"/>
        <v>0</v>
      </c>
      <c r="O149" s="12"/>
      <c r="P149" s="8">
        <v>35.549999999999997</v>
      </c>
      <c r="Q149" s="3"/>
      <c r="R149" s="7">
        <f t="shared" si="24"/>
        <v>8.8044278678820759E-6</v>
      </c>
      <c r="S149" s="3"/>
      <c r="T149" s="8"/>
      <c r="U149" s="3"/>
      <c r="V149" s="7">
        <f t="shared" si="25"/>
        <v>0</v>
      </c>
      <c r="W149" s="3"/>
      <c r="X149" s="8">
        <f t="shared" si="26"/>
        <v>35.549999999999997</v>
      </c>
      <c r="Y149" s="3"/>
      <c r="Z149" s="7">
        <f t="shared" si="27"/>
        <v>0</v>
      </c>
    </row>
    <row r="150" spans="1:26" s="69" customFormat="1" ht="15" hidden="1" customHeight="1" outlineLevel="2" x14ac:dyDescent="0.3">
      <c r="A150" s="26"/>
      <c r="B150" s="12" t="str">
        <f>CONCATENATE("          ","6247"," - ","STORE SUPPLIES")</f>
        <v xml:space="preserve">          6247 - STORE SUPPLIES</v>
      </c>
      <c r="C150" s="12"/>
      <c r="D150" s="8">
        <v>-109.57</v>
      </c>
      <c r="E150" s="3"/>
      <c r="F150" s="7">
        <f t="shared" ref="F150:F158" si="28">IF(D$12=0,0,D150/D$12)</f>
        <v>-1.4576182817925077E-4</v>
      </c>
      <c r="G150" s="3"/>
      <c r="H150" s="8"/>
      <c r="I150" s="3"/>
      <c r="J150" s="7">
        <f t="shared" ref="J150:J158" si="29">IF(H$12=0,0,H150/H$12)</f>
        <v>0</v>
      </c>
      <c r="K150" s="3"/>
      <c r="L150" s="8">
        <f t="shared" ref="L150:L158" si="30">+D150-H150</f>
        <v>-109.57</v>
      </c>
      <c r="M150" s="3"/>
      <c r="N150" s="7">
        <f t="shared" ref="N150:N158" si="31">IF(H150=0,0,L150/H150)</f>
        <v>0</v>
      </c>
      <c r="O150" s="12"/>
      <c r="P150" s="8">
        <v>7019.52</v>
      </c>
      <c r="Q150" s="3"/>
      <c r="R150" s="7">
        <f t="shared" ref="R150:R158" si="32">IF(P$12=0,0,P150/P$12)</f>
        <v>1.7384770044206921E-3</v>
      </c>
      <c r="S150" s="3"/>
      <c r="T150" s="8">
        <v>1110.23</v>
      </c>
      <c r="U150" s="3"/>
      <c r="V150" s="7">
        <f t="shared" ref="V150:V158" si="33">IF(T$12=0,0,T150/T$12)</f>
        <v>5.8835920738465729E-4</v>
      </c>
      <c r="W150" s="3"/>
      <c r="X150" s="8">
        <f t="shared" ref="X150:X158" si="34">+P150-T150</f>
        <v>5909.2900000000009</v>
      </c>
      <c r="Y150" s="3"/>
      <c r="Z150" s="7">
        <f t="shared" ref="Z150:Z158" si="35">IF(T150=0,0,X150/T150)</f>
        <v>5.3225818073732478</v>
      </c>
    </row>
    <row r="151" spans="1:26" s="68" customFormat="1" ht="15" customHeight="1" outlineLevel="1" collapsed="1" x14ac:dyDescent="0.3">
      <c r="A151" s="25"/>
      <c r="B151" s="14" t="str">
        <f>CONCATENATE("     ","Telephone/Data Lines                              ")</f>
        <v xml:space="preserve">     Telephone/Data Lines                              </v>
      </c>
      <c r="C151" s="14"/>
      <c r="D151" s="2">
        <f>SUM(OSRRefD22_19x_0)</f>
        <v>684.14</v>
      </c>
      <c r="E151" s="2"/>
      <c r="F151" s="6">
        <f t="shared" si="28"/>
        <v>9.101167941092691E-4</v>
      </c>
      <c r="G151" s="2"/>
      <c r="H151" s="2">
        <f>SUM(OSRRefH22_19x_0)</f>
        <v>330</v>
      </c>
      <c r="I151" s="2"/>
      <c r="J151" s="6">
        <f t="shared" si="29"/>
        <v>8.0662383852583581E-4</v>
      </c>
      <c r="K151" s="2"/>
      <c r="L151" s="2">
        <f t="shared" si="30"/>
        <v>354.14</v>
      </c>
      <c r="M151" s="2"/>
      <c r="N151" s="6">
        <f t="shared" si="31"/>
        <v>1.0731515151515152</v>
      </c>
      <c r="O151" s="14"/>
      <c r="P151" s="2">
        <f>SUM(OSRRefP22_19x_0)</f>
        <v>5362.65</v>
      </c>
      <c r="Q151" s="2"/>
      <c r="R151" s="6">
        <f t="shared" si="32"/>
        <v>1.3281312266019078E-3</v>
      </c>
      <c r="S151" s="2"/>
      <c r="T151" s="2">
        <f>SUM(OSRRefT22_19x_0)</f>
        <v>5758.73</v>
      </c>
      <c r="U151" s="2"/>
      <c r="V151" s="6">
        <f t="shared" si="33"/>
        <v>3.0518017152682303E-3</v>
      </c>
      <c r="W151" s="2"/>
      <c r="X151" s="2">
        <f t="shared" si="34"/>
        <v>-396.07999999999993</v>
      </c>
      <c r="Y151" s="2"/>
      <c r="Z151" s="6">
        <f t="shared" si="35"/>
        <v>-6.8779053714968397E-2</v>
      </c>
    </row>
    <row r="152" spans="1:26" s="69" customFormat="1" ht="15" hidden="1" customHeight="1" outlineLevel="2" x14ac:dyDescent="0.3">
      <c r="A152" s="26"/>
      <c r="B152" s="12" t="str">
        <f>CONCATENATE("          ","6309"," - ","TELEPHONE")</f>
        <v xml:space="preserve">          6309 - TELEPHONE</v>
      </c>
      <c r="C152" s="12"/>
      <c r="D152" s="8">
        <v>684.14</v>
      </c>
      <c r="E152" s="3"/>
      <c r="F152" s="7">
        <f t="shared" si="28"/>
        <v>9.101167941092691E-4</v>
      </c>
      <c r="G152" s="3"/>
      <c r="H152" s="8">
        <v>330</v>
      </c>
      <c r="I152" s="3"/>
      <c r="J152" s="7">
        <f t="shared" si="29"/>
        <v>8.0662383852583581E-4</v>
      </c>
      <c r="K152" s="3"/>
      <c r="L152" s="8">
        <f t="shared" si="30"/>
        <v>354.14</v>
      </c>
      <c r="M152" s="3"/>
      <c r="N152" s="7">
        <f t="shared" si="31"/>
        <v>1.0731515151515152</v>
      </c>
      <c r="O152" s="12"/>
      <c r="P152" s="8">
        <v>5362.65</v>
      </c>
      <c r="Q152" s="3"/>
      <c r="R152" s="7">
        <f t="shared" si="32"/>
        <v>1.3281312266019078E-3</v>
      </c>
      <c r="S152" s="3"/>
      <c r="T152" s="8">
        <v>5758.73</v>
      </c>
      <c r="U152" s="3"/>
      <c r="V152" s="7">
        <f t="shared" si="33"/>
        <v>3.0518017152682303E-3</v>
      </c>
      <c r="W152" s="3"/>
      <c r="X152" s="8">
        <f t="shared" si="34"/>
        <v>-396.07999999999993</v>
      </c>
      <c r="Y152" s="3"/>
      <c r="Z152" s="7">
        <f t="shared" si="35"/>
        <v>-6.8779053714968397E-2</v>
      </c>
    </row>
    <row r="153" spans="1:26" s="68" customFormat="1" ht="15" customHeight="1" outlineLevel="1" collapsed="1" x14ac:dyDescent="0.3">
      <c r="A153" s="25"/>
      <c r="B153" s="14" t="str">
        <f>CONCATENATE("     ","Training                                          ")</f>
        <v xml:space="preserve">     Training                                          </v>
      </c>
      <c r="C153" s="14"/>
      <c r="D153" s="2">
        <f>SUM(OSRRefD22_20x_0)</f>
        <v>0</v>
      </c>
      <c r="E153" s="2"/>
      <c r="F153" s="6">
        <f t="shared" si="28"/>
        <v>0</v>
      </c>
      <c r="G153" s="2"/>
      <c r="H153" s="2">
        <f>SUM(OSRRefH22_20x_0)</f>
        <v>0</v>
      </c>
      <c r="I153" s="2"/>
      <c r="J153" s="6">
        <f t="shared" si="29"/>
        <v>0</v>
      </c>
      <c r="K153" s="2"/>
      <c r="L153" s="2">
        <f t="shared" si="30"/>
        <v>0</v>
      </c>
      <c r="M153" s="2"/>
      <c r="N153" s="6">
        <f t="shared" si="31"/>
        <v>0</v>
      </c>
      <c r="O153" s="14"/>
      <c r="P153" s="2">
        <f>SUM(OSRRefP22_20x_0)</f>
        <v>300</v>
      </c>
      <c r="Q153" s="2"/>
      <c r="R153" s="6">
        <f t="shared" si="32"/>
        <v>7.4298969349215844E-5</v>
      </c>
      <c r="S153" s="2"/>
      <c r="T153" s="2">
        <f>SUM(OSRRefT22_20x_0)</f>
        <v>0</v>
      </c>
      <c r="U153" s="2"/>
      <c r="V153" s="6">
        <f t="shared" si="33"/>
        <v>0</v>
      </c>
      <c r="W153" s="2"/>
      <c r="X153" s="2">
        <f t="shared" si="34"/>
        <v>300</v>
      </c>
      <c r="Y153" s="2"/>
      <c r="Z153" s="6">
        <f t="shared" si="35"/>
        <v>0</v>
      </c>
    </row>
    <row r="154" spans="1:26" s="69" customFormat="1" ht="15" hidden="1" customHeight="1" outlineLevel="2" x14ac:dyDescent="0.3">
      <c r="A154" s="26"/>
      <c r="B154" s="12" t="str">
        <f>CONCATENATE("          ","6376"," - ","TRAINING")</f>
        <v xml:space="preserve">          6376 - TRAINING</v>
      </c>
      <c r="C154" s="12"/>
      <c r="D154" s="8"/>
      <c r="E154" s="3"/>
      <c r="F154" s="7">
        <f t="shared" si="28"/>
        <v>0</v>
      </c>
      <c r="G154" s="3"/>
      <c r="H154" s="8"/>
      <c r="I154" s="3"/>
      <c r="J154" s="7">
        <f t="shared" si="29"/>
        <v>0</v>
      </c>
      <c r="K154" s="3"/>
      <c r="L154" s="8">
        <f t="shared" si="30"/>
        <v>0</v>
      </c>
      <c r="M154" s="3"/>
      <c r="N154" s="7">
        <f t="shared" si="31"/>
        <v>0</v>
      </c>
      <c r="O154" s="12"/>
      <c r="P154" s="8">
        <v>300</v>
      </c>
      <c r="Q154" s="3"/>
      <c r="R154" s="7">
        <f t="shared" si="32"/>
        <v>7.4298969349215844E-5</v>
      </c>
      <c r="S154" s="3"/>
      <c r="T154" s="8"/>
      <c r="U154" s="3"/>
      <c r="V154" s="7">
        <f t="shared" si="33"/>
        <v>0</v>
      </c>
      <c r="W154" s="3"/>
      <c r="X154" s="8">
        <f t="shared" si="34"/>
        <v>300</v>
      </c>
      <c r="Y154" s="3"/>
      <c r="Z154" s="7">
        <f t="shared" si="35"/>
        <v>0</v>
      </c>
    </row>
    <row r="155" spans="1:26" s="68" customFormat="1" ht="15" customHeight="1" outlineLevel="1" collapsed="1" x14ac:dyDescent="0.3">
      <c r="A155" s="25"/>
      <c r="B155" s="14" t="str">
        <f>CONCATENATE("     ","Travel                                            ")</f>
        <v xml:space="preserve">     Travel                                            </v>
      </c>
      <c r="C155" s="14"/>
      <c r="D155" s="2">
        <f>SUM(OSRRefD22_21x_0)</f>
        <v>0</v>
      </c>
      <c r="E155" s="2"/>
      <c r="F155" s="6">
        <f t="shared" si="28"/>
        <v>0</v>
      </c>
      <c r="G155" s="2"/>
      <c r="H155" s="2">
        <f>SUM(OSRRefH22_21x_0)</f>
        <v>69.069999999999993</v>
      </c>
      <c r="I155" s="2"/>
      <c r="J155" s="6">
        <f t="shared" si="29"/>
        <v>1.6882881371811962E-4</v>
      </c>
      <c r="K155" s="2"/>
      <c r="L155" s="2">
        <f t="shared" si="30"/>
        <v>-69.069999999999993</v>
      </c>
      <c r="M155" s="2"/>
      <c r="N155" s="6">
        <f t="shared" si="31"/>
        <v>-1</v>
      </c>
      <c r="O155" s="14"/>
      <c r="P155" s="2">
        <f>SUM(OSRRefP22_21x_0)</f>
        <v>403.48</v>
      </c>
      <c r="Q155" s="2"/>
      <c r="R155" s="6">
        <f t="shared" si="32"/>
        <v>9.9927160510072024E-5</v>
      </c>
      <c r="S155" s="2"/>
      <c r="T155" s="2">
        <f>SUM(OSRRefT22_21x_0)</f>
        <v>613.35</v>
      </c>
      <c r="U155" s="2"/>
      <c r="V155" s="6">
        <f t="shared" si="33"/>
        <v>3.2504086527060117E-4</v>
      </c>
      <c r="W155" s="2"/>
      <c r="X155" s="2">
        <f t="shared" si="34"/>
        <v>-209.87</v>
      </c>
      <c r="Y155" s="2"/>
      <c r="Z155" s="6">
        <f t="shared" si="35"/>
        <v>-0.34217004972690956</v>
      </c>
    </row>
    <row r="156" spans="1:26" s="69" customFormat="1" ht="15" hidden="1" customHeight="1" outlineLevel="2" x14ac:dyDescent="0.3">
      <c r="A156" s="26"/>
      <c r="B156" s="12" t="str">
        <f>CONCATENATE("          ","6294"," - ","TRAVEL OPERATIONAL")</f>
        <v xml:space="preserve">          6294 - TRAVEL OPERATIONAL</v>
      </c>
      <c r="C156" s="12"/>
      <c r="D156" s="8"/>
      <c r="E156" s="3"/>
      <c r="F156" s="7">
        <f t="shared" si="28"/>
        <v>0</v>
      </c>
      <c r="G156" s="3"/>
      <c r="H156" s="8">
        <v>69.069999999999993</v>
      </c>
      <c r="I156" s="3"/>
      <c r="J156" s="7">
        <f t="shared" si="29"/>
        <v>1.6882881371811962E-4</v>
      </c>
      <c r="K156" s="3"/>
      <c r="L156" s="8">
        <f t="shared" si="30"/>
        <v>-69.069999999999993</v>
      </c>
      <c r="M156" s="3"/>
      <c r="N156" s="7">
        <f t="shared" si="31"/>
        <v>-1</v>
      </c>
      <c r="O156" s="12"/>
      <c r="P156" s="8">
        <v>403.48</v>
      </c>
      <c r="Q156" s="3"/>
      <c r="R156" s="7">
        <f t="shared" si="32"/>
        <v>9.9927160510072024E-5</v>
      </c>
      <c r="S156" s="3"/>
      <c r="T156" s="8">
        <v>613.35</v>
      </c>
      <c r="U156" s="3"/>
      <c r="V156" s="7">
        <f t="shared" si="33"/>
        <v>3.2504086527060117E-4</v>
      </c>
      <c r="W156" s="3"/>
      <c r="X156" s="8">
        <f t="shared" si="34"/>
        <v>-209.87</v>
      </c>
      <c r="Y156" s="3"/>
      <c r="Z156" s="7">
        <f t="shared" si="35"/>
        <v>-0.34217004972690956</v>
      </c>
    </row>
    <row r="157" spans="1:26" s="68" customFormat="1" ht="15" customHeight="1" outlineLevel="1" collapsed="1" x14ac:dyDescent="0.3">
      <c r="A157" s="25"/>
      <c r="B157" s="14" t="str">
        <f>CONCATENATE("     ","Utilities                                         ")</f>
        <v xml:space="preserve">     Utilities                                         </v>
      </c>
      <c r="C157" s="14"/>
      <c r="D157" s="2">
        <f>SUM(OSRRefD22_22x_0)</f>
        <v>254.32</v>
      </c>
      <c r="E157" s="2"/>
      <c r="F157" s="6">
        <f t="shared" si="28"/>
        <v>3.3832388557586066E-4</v>
      </c>
      <c r="G157" s="2"/>
      <c r="H157" s="2">
        <f>SUM(OSRRefH22_22x_0)</f>
        <v>28.93</v>
      </c>
      <c r="I157" s="2"/>
      <c r="J157" s="6">
        <f t="shared" si="29"/>
        <v>7.07140231774316E-5</v>
      </c>
      <c r="K157" s="2"/>
      <c r="L157" s="2">
        <f t="shared" si="30"/>
        <v>225.39</v>
      </c>
      <c r="M157" s="2"/>
      <c r="N157" s="6">
        <f t="shared" si="31"/>
        <v>7.7908745247148286</v>
      </c>
      <c r="O157" s="14"/>
      <c r="P157" s="2">
        <f>SUM(OSRRefP22_22x_0)</f>
        <v>1287.22</v>
      </c>
      <c r="Q157" s="2"/>
      <c r="R157" s="6">
        <f t="shared" si="32"/>
        <v>3.1879706441899206E-4</v>
      </c>
      <c r="S157" s="2"/>
      <c r="T157" s="2">
        <f>SUM(OSRRefT22_22x_0)</f>
        <v>264.52999999999997</v>
      </c>
      <c r="U157" s="2"/>
      <c r="V157" s="6">
        <f t="shared" si="33"/>
        <v>1.4018596248476745E-4</v>
      </c>
      <c r="W157" s="2"/>
      <c r="X157" s="2">
        <f t="shared" si="34"/>
        <v>1022.69</v>
      </c>
      <c r="Y157" s="2"/>
      <c r="Z157" s="6">
        <f t="shared" si="35"/>
        <v>3.8660643405284851</v>
      </c>
    </row>
    <row r="158" spans="1:26" s="69" customFormat="1" ht="15" hidden="1" customHeight="1" outlineLevel="2" x14ac:dyDescent="0.3">
      <c r="A158" s="26"/>
      <c r="B158" s="12" t="str">
        <f>CONCATENATE("          ","6274"," - ","UTILITIES")</f>
        <v xml:space="preserve">          6274 - UTILITIES</v>
      </c>
      <c r="C158" s="12"/>
      <c r="D158" s="8">
        <v>254.32</v>
      </c>
      <c r="E158" s="3"/>
      <c r="F158" s="7">
        <f t="shared" si="28"/>
        <v>3.3832388557586066E-4</v>
      </c>
      <c r="G158" s="3"/>
      <c r="H158" s="8">
        <v>28.93</v>
      </c>
      <c r="I158" s="3"/>
      <c r="J158" s="7">
        <f t="shared" si="29"/>
        <v>7.07140231774316E-5</v>
      </c>
      <c r="K158" s="3"/>
      <c r="L158" s="8">
        <f t="shared" si="30"/>
        <v>225.39</v>
      </c>
      <c r="M158" s="3"/>
      <c r="N158" s="7">
        <f t="shared" si="31"/>
        <v>7.7908745247148286</v>
      </c>
      <c r="O158" s="12"/>
      <c r="P158" s="8">
        <v>1287.22</v>
      </c>
      <c r="Q158" s="3"/>
      <c r="R158" s="7">
        <f t="shared" si="32"/>
        <v>3.1879706441899206E-4</v>
      </c>
      <c r="S158" s="3"/>
      <c r="T158" s="8">
        <v>264.52999999999997</v>
      </c>
      <c r="U158" s="3"/>
      <c r="V158" s="7">
        <f t="shared" si="33"/>
        <v>1.4018596248476745E-4</v>
      </c>
      <c r="W158" s="3"/>
      <c r="X158" s="8">
        <f t="shared" si="34"/>
        <v>1022.69</v>
      </c>
      <c r="Y158" s="3"/>
      <c r="Z158" s="7">
        <f t="shared" si="35"/>
        <v>3.8660643405284851</v>
      </c>
    </row>
    <row r="159" spans="1:26" s="64" customFormat="1" ht="15" customHeight="1" x14ac:dyDescent="0.3">
      <c r="A159" s="36"/>
      <c r="B159" s="36"/>
      <c r="C159" s="36"/>
      <c r="D159" s="2"/>
      <c r="E159" s="2"/>
      <c r="F159" s="6"/>
      <c r="G159" s="2"/>
      <c r="H159" s="2"/>
      <c r="I159" s="2"/>
      <c r="J159" s="6"/>
      <c r="K159" s="2"/>
      <c r="L159" s="2"/>
      <c r="M159" s="2"/>
      <c r="N159" s="6"/>
      <c r="O159" s="36"/>
      <c r="P159" s="2"/>
      <c r="Q159" s="2"/>
      <c r="R159" s="6"/>
      <c r="S159" s="2"/>
      <c r="T159" s="2"/>
      <c r="U159" s="2"/>
      <c r="V159" s="6"/>
      <c r="W159" s="2"/>
      <c r="X159" s="2"/>
      <c r="Y159" s="2"/>
      <c r="Z159" s="6"/>
    </row>
    <row r="160" spans="1:26" s="62" customFormat="1" ht="15" customHeight="1" collapsed="1" x14ac:dyDescent="0.3">
      <c r="A160" s="11"/>
      <c r="B160" s="27" t="s">
        <v>290</v>
      </c>
      <c r="C160" s="11"/>
      <c r="D160" s="5">
        <f>SUM(OSRRefD25x_0)</f>
        <v>33877.660000000003</v>
      </c>
      <c r="E160" s="5"/>
      <c r="F160" s="13">
        <f>IF(D$12=0,0,D160/D$12)</f>
        <v>4.5067716126997143E-2</v>
      </c>
      <c r="G160" s="5"/>
      <c r="H160" s="5">
        <f>SUM(OSRRefH25x_0)</f>
        <v>18017.009999999998</v>
      </c>
      <c r="I160" s="5"/>
      <c r="J160" s="13">
        <f>IF(H$12=0,0,H160/H$12)</f>
        <v>4.4039241711995053E-2</v>
      </c>
      <c r="K160" s="5"/>
      <c r="L160" s="5">
        <f>+D160-H160</f>
        <v>15860.650000000005</v>
      </c>
      <c r="M160" s="5"/>
      <c r="N160" s="13">
        <f>IF(H160=0,0,L160/H160)</f>
        <v>0.88031532424081504</v>
      </c>
      <c r="O160" s="11"/>
      <c r="P160" s="5">
        <f>SUM(OSRRefP25x_0)</f>
        <v>367580.03</v>
      </c>
      <c r="Q160" s="5"/>
      <c r="R160" s="13">
        <f>IF(P$12=0,0,P160/P$12)</f>
        <v>9.1036057941179471E-2</v>
      </c>
      <c r="S160" s="5"/>
      <c r="T160" s="5">
        <f>SUM(OSRRefT25x_0)</f>
        <v>410824.77999999997</v>
      </c>
      <c r="U160" s="5"/>
      <c r="V160" s="13">
        <f>IF(T$12=0,0,T160/T$12)</f>
        <v>0.21771393489166765</v>
      </c>
      <c r="W160" s="5"/>
      <c r="X160" s="5">
        <f>+P160-T160</f>
        <v>-43244.749999999942</v>
      </c>
      <c r="Y160" s="5"/>
      <c r="Z160" s="13">
        <f>IF(T160=0,0,X160/T160)</f>
        <v>-0.10526324629200787</v>
      </c>
    </row>
    <row r="161" spans="1:26" s="69" customFormat="1" ht="15" hidden="1" customHeight="1" outlineLevel="1" x14ac:dyDescent="0.3">
      <c r="A161" s="42"/>
      <c r="B161" s="12" t="str">
        <f>CONCATENATE("          ","4098"," - ","TAXABLE SALES-GRAD RENTALS")</f>
        <v xml:space="preserve">          4098 - TAXABLE SALES-GRAD RENTALS</v>
      </c>
      <c r="C161" s="12"/>
      <c r="D161" s="3">
        <f>0</f>
        <v>0</v>
      </c>
      <c r="E161" s="3"/>
      <c r="F161" s="20">
        <f>IF(D$12=0,0,D161/D$12)</f>
        <v>0</v>
      </c>
      <c r="G161" s="3"/>
      <c r="H161" s="3">
        <f>--49.95</f>
        <v>49.95</v>
      </c>
      <c r="I161" s="3"/>
      <c r="J161" s="20">
        <f>IF(H$12=0,0,H161/H$12)</f>
        <v>1.2209351737686516E-4</v>
      </c>
      <c r="K161" s="3"/>
      <c r="L161" s="3">
        <f>+D161-H161</f>
        <v>-49.95</v>
      </c>
      <c r="M161" s="3"/>
      <c r="N161" s="20">
        <f>IF(H161=0,0,L161/H161)</f>
        <v>-1</v>
      </c>
      <c r="O161" s="12"/>
      <c r="P161" s="3">
        <f>0</f>
        <v>0</v>
      </c>
      <c r="Q161" s="3"/>
      <c r="R161" s="20">
        <f>IF(P$12=0,0,P161/P$12)</f>
        <v>0</v>
      </c>
      <c r="S161" s="3"/>
      <c r="T161" s="3">
        <f>--49.95</f>
        <v>49.95</v>
      </c>
      <c r="U161" s="3"/>
      <c r="V161" s="20">
        <f>IF(T$12=0,0,T161/T$12)</f>
        <v>2.6470679416754755E-5</v>
      </c>
      <c r="W161" s="3"/>
      <c r="X161" s="3">
        <f>+P161-T161</f>
        <v>-49.95</v>
      </c>
      <c r="Y161" s="3"/>
      <c r="Z161" s="20">
        <f>IF(T161=0,0,X161/T161)</f>
        <v>-1</v>
      </c>
    </row>
    <row r="162" spans="1:26" s="69" customFormat="1" ht="15" hidden="1" customHeight="1" outlineLevel="1" x14ac:dyDescent="0.3">
      <c r="A162" s="42"/>
      <c r="B162" s="12" t="str">
        <f>CONCATENATE("          ","9150"," - ","MISC. INCOME")</f>
        <v xml:space="preserve">          9150 - MISC. INCOME</v>
      </c>
      <c r="C162" s="12"/>
      <c r="D162" s="3">
        <f>--31888.66</f>
        <v>31888.66</v>
      </c>
      <c r="E162" s="3"/>
      <c r="F162" s="20">
        <f>IF(D$12=0,0,D162/D$12)</f>
        <v>4.2421733866811598E-2</v>
      </c>
      <c r="G162" s="3"/>
      <c r="H162" s="3">
        <f>--17922.96</f>
        <v>17922.96</v>
      </c>
      <c r="I162" s="3"/>
      <c r="J162" s="20">
        <f>IF(H$12=0,0,H162/H$12)</f>
        <v>4.3809353918015187E-2</v>
      </c>
      <c r="K162" s="3"/>
      <c r="L162" s="3">
        <f>+D162-H162</f>
        <v>13965.7</v>
      </c>
      <c r="M162" s="3"/>
      <c r="N162" s="20">
        <f>IF(H162=0,0,L162/H162)</f>
        <v>0.77920722916304008</v>
      </c>
      <c r="O162" s="12"/>
      <c r="P162" s="3">
        <f>--110760.33</f>
        <v>110760.33</v>
      </c>
      <c r="Q162" s="3"/>
      <c r="R162" s="20">
        <f>IF(P$12=0,0,P162/P$12)</f>
        <v>2.7431261212596772E-2</v>
      </c>
      <c r="S162" s="3"/>
      <c r="T162" s="3">
        <f>--64296.27</f>
        <v>64296.27</v>
      </c>
      <c r="U162" s="3"/>
      <c r="V162" s="20">
        <f>IF(T$12=0,0,T162/T$12)</f>
        <v>3.4073392409671797E-2</v>
      </c>
      <c r="W162" s="3"/>
      <c r="X162" s="3">
        <f>+P162-T162</f>
        <v>46464.060000000005</v>
      </c>
      <c r="Y162" s="3"/>
      <c r="Z162" s="20">
        <f>IF(T162=0,0,X162/T162)</f>
        <v>0.72265560661606043</v>
      </c>
    </row>
    <row r="163" spans="1:26" s="69" customFormat="1" ht="15" hidden="1" customHeight="1" outlineLevel="1" x14ac:dyDescent="0.3">
      <c r="A163" s="42"/>
      <c r="B163" s="12" t="str">
        <f>CONCATENATE("          ","9163"," - ","MISC. INCOME")</f>
        <v xml:space="preserve">          9163 - MISC. INCOME</v>
      </c>
      <c r="C163" s="12"/>
      <c r="D163" s="3">
        <f>--1989</f>
        <v>1989</v>
      </c>
      <c r="E163" s="3"/>
      <c r="F163" s="20">
        <f>IF(D$12=0,0,D163/D$12)</f>
        <v>2.6459822601855414E-3</v>
      </c>
      <c r="G163" s="3"/>
      <c r="H163" s="3">
        <f>--44.1</f>
        <v>44.1</v>
      </c>
      <c r="I163" s="3"/>
      <c r="J163" s="20">
        <f>IF(H$12=0,0,H163/H$12)</f>
        <v>1.0779427660299805E-4</v>
      </c>
      <c r="K163" s="3"/>
      <c r="L163" s="3">
        <f>+D163-H163</f>
        <v>1944.9</v>
      </c>
      <c r="M163" s="3"/>
      <c r="N163" s="20">
        <f>IF(H163=0,0,L163/H163)</f>
        <v>44.102040816326529</v>
      </c>
      <c r="O163" s="12"/>
      <c r="P163" s="3">
        <f>--256819.7</f>
        <v>256819.7</v>
      </c>
      <c r="Q163" s="3"/>
      <c r="R163" s="20">
        <f>IF(P$12=0,0,P163/P$12)</f>
        <v>6.3604796728582699E-2</v>
      </c>
      <c r="S163" s="3"/>
      <c r="T163" s="3">
        <f>--346478.56</f>
        <v>346478.56</v>
      </c>
      <c r="U163" s="3"/>
      <c r="V163" s="20">
        <f>IF(T$12=0,0,T163/T$12)</f>
        <v>0.18361407180257913</v>
      </c>
      <c r="W163" s="3"/>
      <c r="X163" s="3">
        <f>+P163-T163</f>
        <v>-89658.859999999986</v>
      </c>
      <c r="Y163" s="3"/>
      <c r="Z163" s="20">
        <f>IF(T163=0,0,X163/T163)</f>
        <v>-0.25877174045054907</v>
      </c>
    </row>
    <row r="164" spans="1:26" ht="15" customHeight="1" x14ac:dyDescent="0.3">
      <c r="A164" s="10"/>
      <c r="B164" s="11"/>
      <c r="C164" s="11"/>
      <c r="D164" s="4"/>
      <c r="E164" s="4"/>
      <c r="F164" s="9"/>
      <c r="G164" s="4"/>
      <c r="H164" s="4"/>
      <c r="I164" s="4"/>
      <c r="J164" s="9"/>
      <c r="K164" s="4"/>
      <c r="L164" s="4"/>
      <c r="M164" s="4"/>
      <c r="N164" s="9"/>
      <c r="O164" s="11"/>
      <c r="P164" s="4"/>
      <c r="Q164" s="4"/>
      <c r="R164" s="9"/>
      <c r="S164" s="4"/>
      <c r="T164" s="4"/>
      <c r="U164" s="4"/>
      <c r="V164" s="9"/>
      <c r="W164" s="4"/>
      <c r="X164" s="4"/>
      <c r="Y164" s="4"/>
      <c r="Z164" s="9"/>
    </row>
    <row r="165" spans="1:26" s="62" customFormat="1" ht="15" customHeight="1" x14ac:dyDescent="0.3">
      <c r="A165" s="11"/>
      <c r="B165" s="28" t="s">
        <v>291</v>
      </c>
      <c r="C165" s="28"/>
      <c r="D165" s="21">
        <f>+D84-D86+D160</f>
        <v>311100.58000000007</v>
      </c>
      <c r="E165" s="15"/>
      <c r="F165" s="23">
        <f>IF(D$12=0,0,D165/D$12)</f>
        <v>0.41385953535114783</v>
      </c>
      <c r="G165" s="15"/>
      <c r="H165" s="21">
        <f>+H84-H86+H160</f>
        <v>153803.97000000003</v>
      </c>
      <c r="I165" s="15"/>
      <c r="J165" s="23">
        <f>IF(H$12=0,0,H165/H$12)</f>
        <v>0.37594529897549245</v>
      </c>
      <c r="K165" s="16"/>
      <c r="L165" s="21">
        <f>+D165-H165</f>
        <v>157296.61000000004</v>
      </c>
      <c r="M165" s="16"/>
      <c r="N165" s="23">
        <f>IF(H165=0,0,L165/H165)</f>
        <v>1.0227083865260436</v>
      </c>
      <c r="O165" s="27"/>
      <c r="P165" s="21">
        <f>+P84-P86+P160</f>
        <v>1473067.0800000003</v>
      </c>
      <c r="Q165" s="15"/>
      <c r="R165" s="23">
        <f>IF(P$12=0,0,P165/P$12)</f>
        <v>0.36482455275419634</v>
      </c>
      <c r="S165" s="15"/>
      <c r="T165" s="21">
        <f>+T84-T86+T160</f>
        <v>582385.27999999956</v>
      </c>
      <c r="U165" s="15"/>
      <c r="V165" s="23">
        <f>IF(T$12=0,0,T165/T$12)</f>
        <v>0.30863131219052936</v>
      </c>
      <c r="W165" s="16"/>
      <c r="X165" s="21">
        <f>+P165-T165</f>
        <v>890681.80000000075</v>
      </c>
      <c r="Y165" s="16"/>
      <c r="Z165" s="23">
        <f>IF(T165=0,0,X165/T165)</f>
        <v>1.5293686681091965</v>
      </c>
    </row>
    <row r="166" spans="1:26" ht="15" customHeight="1" x14ac:dyDescent="0.3">
      <c r="A166" s="10"/>
      <c r="B166" s="11"/>
      <c r="C166" s="10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2" customFormat="1" ht="15" customHeight="1" x14ac:dyDescent="0.3">
      <c r="A167" s="48"/>
      <c r="B167" s="11" t="s">
        <v>292</v>
      </c>
      <c r="C167" s="11"/>
      <c r="D167" s="5">
        <v>65230.71</v>
      </c>
      <c r="E167" s="5"/>
      <c r="F167" s="13">
        <f>IF(D$12=0,0,D167/D$12)</f>
        <v>8.677692382066747E-2</v>
      </c>
      <c r="G167" s="5"/>
      <c r="H167" s="5">
        <v>90188</v>
      </c>
      <c r="I167" s="5"/>
      <c r="J167" s="13">
        <f>IF(H$12=0,0,H167/H$12)</f>
        <v>0.22044785075444873</v>
      </c>
      <c r="K167" s="5"/>
      <c r="L167" s="5">
        <f>+D167-H167</f>
        <v>-24957.29</v>
      </c>
      <c r="M167" s="5"/>
      <c r="N167" s="13">
        <f>IF(H167=0,0,L167/H167)</f>
        <v>-0.27672517408080899</v>
      </c>
      <c r="O167" s="11"/>
      <c r="P167" s="5">
        <v>457410.97</v>
      </c>
      <c r="Q167" s="5"/>
      <c r="R167" s="13">
        <f>IF(P$12=0,0,P167/P$12)</f>
        <v>0.11328387880008361</v>
      </c>
      <c r="S167" s="5"/>
      <c r="T167" s="5">
        <v>394766.7</v>
      </c>
      <c r="U167" s="5"/>
      <c r="V167" s="13">
        <f>IF(T$12=0,0,T167/T$12)</f>
        <v>0.20920405926146546</v>
      </c>
      <c r="W167" s="5"/>
      <c r="X167" s="5">
        <f>+P167-T167</f>
        <v>62644.26999999996</v>
      </c>
      <c r="Y167" s="5"/>
      <c r="Z167" s="13">
        <f>IF(T167=0,0,X167/T167)</f>
        <v>0.1586868142627024</v>
      </c>
    </row>
    <row r="168" spans="1:26" ht="15" customHeight="1" x14ac:dyDescent="0.3">
      <c r="A168" s="10"/>
      <c r="B168" s="11"/>
      <c r="C168" s="11"/>
      <c r="D168" s="4"/>
      <c r="E168" s="4"/>
      <c r="F168" s="9"/>
      <c r="G168" s="4"/>
      <c r="H168" s="4"/>
      <c r="I168" s="4"/>
      <c r="J168" s="9"/>
      <c r="K168" s="4"/>
      <c r="L168" s="4"/>
      <c r="M168" s="4"/>
      <c r="N168" s="9"/>
      <c r="O168" s="11"/>
      <c r="P168" s="4"/>
      <c r="Q168" s="4"/>
      <c r="R168" s="9"/>
      <c r="S168" s="4"/>
      <c r="T168" s="4"/>
      <c r="U168" s="4"/>
      <c r="V168" s="9"/>
      <c r="W168" s="4"/>
      <c r="X168" s="4"/>
      <c r="Y168" s="4"/>
      <c r="Z168" s="9"/>
    </row>
    <row r="169" spans="1:26" s="62" customFormat="1" ht="15" customHeight="1" x14ac:dyDescent="0.3">
      <c r="A169" s="11"/>
      <c r="B169" s="28" t="s">
        <v>293</v>
      </c>
      <c r="C169" s="28"/>
      <c r="D169" s="34">
        <f>+D165-D167</f>
        <v>245869.87000000008</v>
      </c>
      <c r="E169" s="15"/>
      <c r="F169" s="30">
        <f>IF(D$12=0,0,D169/D$12)</f>
        <v>0.32708261153048035</v>
      </c>
      <c r="G169" s="15"/>
      <c r="H169" s="34">
        <f>+H165-H167</f>
        <v>63615.97000000003</v>
      </c>
      <c r="I169" s="15"/>
      <c r="J169" s="30">
        <f>IF(H$12=0,0,H169/H$12)</f>
        <v>0.15549744822104375</v>
      </c>
      <c r="K169" s="16"/>
      <c r="L169" s="34">
        <f>D169-H169</f>
        <v>182253.90000000005</v>
      </c>
      <c r="M169" s="16"/>
      <c r="N169" s="30">
        <f>IF(H169=0,0,L169/H169)</f>
        <v>2.8649079782953866</v>
      </c>
      <c r="O169" s="27"/>
      <c r="P169" s="34">
        <f>+P165-P167</f>
        <v>1015656.1100000003</v>
      </c>
      <c r="Q169" s="15"/>
      <c r="R169" s="30">
        <f>IF(P$12=0,0,P169/P$12)</f>
        <v>0.25154067395411273</v>
      </c>
      <c r="S169" s="15"/>
      <c r="T169" s="34">
        <f>+T165-T167</f>
        <v>187618.57999999955</v>
      </c>
      <c r="U169" s="15"/>
      <c r="V169" s="30">
        <f>IF(T$12=0,0,T169/T$12)</f>
        <v>9.9427252929063931E-2</v>
      </c>
      <c r="W169" s="16"/>
      <c r="X169" s="34">
        <f>P169-T169</f>
        <v>828037.53000000073</v>
      </c>
      <c r="Y169" s="16"/>
      <c r="Z169" s="30">
        <f>IF(T169=0,0,X169/T169)</f>
        <v>4.4134090024559542</v>
      </c>
    </row>
    <row r="170" spans="1:26" ht="15" customHeight="1" x14ac:dyDescent="0.3">
      <c r="A170" s="10"/>
      <c r="B170" s="10"/>
      <c r="C170" s="10"/>
      <c r="D170" s="4"/>
      <c r="E170" s="4"/>
      <c r="F170" s="9"/>
      <c r="G170" s="4"/>
      <c r="H170" s="4"/>
      <c r="I170" s="4"/>
      <c r="J170" s="9"/>
      <c r="K170" s="4"/>
      <c r="L170" s="4"/>
      <c r="M170" s="4"/>
      <c r="N170" s="9"/>
      <c r="P170" s="4"/>
      <c r="Q170" s="4"/>
      <c r="R170" s="9"/>
      <c r="S170" s="4"/>
      <c r="T170" s="4"/>
      <c r="U170" s="4"/>
      <c r="V170" s="9"/>
      <c r="W170" s="4"/>
      <c r="X170" s="4"/>
      <c r="Y170" s="4"/>
      <c r="Z170" s="9"/>
    </row>
    <row r="171" spans="1:26" ht="15" customHeight="1" x14ac:dyDescent="0.3">
      <c r="A171" s="10"/>
      <c r="B171" s="10"/>
      <c r="C171" s="10"/>
      <c r="D171" s="4"/>
      <c r="E171" s="4"/>
      <c r="F171" s="9"/>
      <c r="G171" s="4"/>
      <c r="H171" s="4"/>
      <c r="I171" s="4"/>
      <c r="J171" s="9"/>
      <c r="K171" s="4"/>
      <c r="L171" s="4"/>
      <c r="M171" s="4"/>
      <c r="N171" s="9"/>
      <c r="P171" s="4"/>
      <c r="Q171" s="4"/>
      <c r="R171" s="9"/>
      <c r="S171" s="4"/>
      <c r="T171" s="4"/>
      <c r="U171" s="4"/>
      <c r="V171" s="9"/>
      <c r="W171" s="4"/>
      <c r="X171" s="4"/>
      <c r="Y171" s="4"/>
      <c r="Z171" s="9"/>
    </row>
    <row r="172" spans="1:26" s="62" customFormat="1" ht="15" customHeight="1" x14ac:dyDescent="0.3">
      <c r="A172" s="11"/>
      <c r="B172" s="28" t="s">
        <v>296</v>
      </c>
      <c r="C172" s="28"/>
      <c r="D172" s="29">
        <f>SUM(D169:D171)</f>
        <v>245869.87000000008</v>
      </c>
      <c r="E172" s="15"/>
      <c r="F172" s="35">
        <f>IF(D$12=0,0,D172/D$12)</f>
        <v>0.32708261153048035</v>
      </c>
      <c r="G172" s="15"/>
      <c r="H172" s="29">
        <f>SUM(H169:H171)</f>
        <v>63615.97000000003</v>
      </c>
      <c r="I172" s="15"/>
      <c r="J172" s="35">
        <f>IF(H$12=0,0,H172/H$12)</f>
        <v>0.15549744822104375</v>
      </c>
      <c r="K172" s="16"/>
      <c r="L172" s="29">
        <f>+D172-H172</f>
        <v>182253.90000000005</v>
      </c>
      <c r="M172" s="16"/>
      <c r="N172" s="35">
        <f>IF(H172=0,0,L172/H172)</f>
        <v>2.8649079782953866</v>
      </c>
      <c r="O172" s="27"/>
      <c r="P172" s="29">
        <f>SUM(P169:P171)</f>
        <v>1015656.1100000003</v>
      </c>
      <c r="Q172" s="15"/>
      <c r="R172" s="35">
        <f>IF(P$12=0,0,P172/P$12)</f>
        <v>0.25154067395411273</v>
      </c>
      <c r="S172" s="15"/>
      <c r="T172" s="29">
        <f>SUM(T169:T171)</f>
        <v>187618.57999999955</v>
      </c>
      <c r="U172" s="15"/>
      <c r="V172" s="35">
        <f>IF(T$12=0,0,T172/T$12)</f>
        <v>9.9427252929063931E-2</v>
      </c>
      <c r="W172" s="16"/>
      <c r="X172" s="29">
        <f>+P172-T172</f>
        <v>828037.53000000073</v>
      </c>
      <c r="Y172" s="16"/>
      <c r="Z172" s="35">
        <f>IF(T172=0,0,X172/T172)</f>
        <v>4.4134090024559542</v>
      </c>
    </row>
    <row r="173" spans="1:26" ht="15" customHeight="1" x14ac:dyDescent="0.3">
      <c r="A173" s="10"/>
      <c r="C173" s="10"/>
      <c r="D173" s="18"/>
      <c r="E173" s="18"/>
      <c r="G173" s="18"/>
      <c r="H173" s="18"/>
      <c r="I173" s="18"/>
      <c r="J173" s="40"/>
      <c r="K173" s="18"/>
      <c r="L173" s="18"/>
      <c r="M173" s="18"/>
      <c r="P173" s="18"/>
      <c r="Q173" s="18"/>
      <c r="R173" s="40"/>
      <c r="S173" s="18"/>
      <c r="T173" s="18"/>
      <c r="U173" s="18"/>
      <c r="V173" s="40"/>
      <c r="W173" s="18"/>
      <c r="X173" s="18"/>
    </row>
    <row r="174" spans="1:26" ht="15" customHeight="1" x14ac:dyDescent="0.3">
      <c r="A174" s="10"/>
      <c r="B174" s="56">
        <v>44694.890793715276</v>
      </c>
      <c r="D174" s="18"/>
      <c r="E174" s="18"/>
      <c r="G174" s="18"/>
      <c r="H174" s="18"/>
      <c r="I174" s="18"/>
      <c r="J174" s="40"/>
      <c r="K174" s="18"/>
      <c r="L174" s="18"/>
      <c r="M174" s="18"/>
      <c r="P174" s="18"/>
      <c r="Q174" s="18"/>
      <c r="R174" s="40"/>
      <c r="S174" s="18"/>
      <c r="T174" s="18"/>
      <c r="U174" s="18"/>
      <c r="V174" s="40"/>
      <c r="W174" s="18"/>
      <c r="X174" s="18"/>
    </row>
    <row r="175" spans="1:26" ht="15" customHeight="1" x14ac:dyDescent="0.3">
      <c r="A175" s="10"/>
      <c r="B175" s="52" t="s">
        <v>297</v>
      </c>
      <c r="D175" s="18"/>
      <c r="E175" s="18"/>
      <c r="G175" s="18"/>
      <c r="H175" s="18"/>
      <c r="I175" s="18"/>
      <c r="J175" s="40"/>
      <c r="K175" s="18"/>
      <c r="L175" s="18"/>
      <c r="M175" s="18"/>
      <c r="P175" s="18"/>
      <c r="Q175" s="18"/>
      <c r="R175" s="40"/>
      <c r="S175" s="18"/>
      <c r="T175" s="18"/>
      <c r="U175" s="18"/>
      <c r="V175" s="40"/>
      <c r="W175" s="18"/>
      <c r="X175" s="18"/>
    </row>
    <row r="176" spans="1:26" ht="15" customHeight="1" x14ac:dyDescent="0.3">
      <c r="A176" s="10"/>
      <c r="B176" s="58"/>
      <c r="D176" s="18"/>
      <c r="E176" s="18"/>
      <c r="G176" s="18"/>
      <c r="H176" s="18"/>
      <c r="I176" s="18"/>
      <c r="J176" s="40"/>
      <c r="K176" s="18"/>
      <c r="L176" s="18"/>
      <c r="M176" s="18"/>
      <c r="P176" s="18"/>
      <c r="Q176" s="18"/>
      <c r="R176" s="40"/>
      <c r="S176" s="18"/>
      <c r="T176" s="18"/>
      <c r="U176" s="18"/>
      <c r="V176" s="40"/>
      <c r="W176" s="18"/>
      <c r="X176" s="18"/>
    </row>
    <row r="177" spans="4:24" ht="15" customHeight="1" x14ac:dyDescent="0.3">
      <c r="D177" s="18"/>
      <c r="E177" s="18"/>
      <c r="G177" s="18"/>
      <c r="H177" s="18"/>
      <c r="I177" s="18"/>
      <c r="J177" s="40"/>
      <c r="K177" s="18"/>
      <c r="L177" s="18"/>
      <c r="M177" s="18"/>
      <c r="P177" s="18"/>
      <c r="Q177" s="18"/>
      <c r="R177" s="40"/>
      <c r="S177" s="18"/>
      <c r="T177" s="18"/>
      <c r="U177" s="18"/>
      <c r="V177" s="40"/>
      <c r="W177" s="18"/>
      <c r="X17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AB0A2-BB68-DD1C-62C2-BA64B1804932}">
  <sheetPr>
    <tabColor rgb="FF92D050"/>
    <outlinePr summaryBelow="0" summaryRight="0"/>
  </sheetPr>
  <dimension ref="A2:Z16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","315"," - ","Bookstore Retail")</f>
        <v>Department 315 - Bookstore Retail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706063.1100000001</v>
      </c>
      <c r="E12" s="5"/>
      <c r="F12" s="13"/>
      <c r="G12" s="5"/>
      <c r="H12" s="5">
        <f>SUM(OSRRefH13x_0)</f>
        <v>366093.7199999998</v>
      </c>
      <c r="I12" s="5"/>
      <c r="J12" s="13"/>
      <c r="K12" s="5"/>
      <c r="L12" s="5">
        <f t="shared" ref="L12:L54" si="0">+D12-H12</f>
        <v>339969.39000000031</v>
      </c>
      <c r="M12" s="5"/>
      <c r="N12" s="13">
        <f t="shared" ref="N12:N54" si="1">IF(H12=0,0,L12/H12)</f>
        <v>0.92864032193723645</v>
      </c>
      <c r="O12" s="11"/>
      <c r="P12" s="5">
        <f>SUM(OSRRefP13x_0)</f>
        <v>3701324.1399999997</v>
      </c>
      <c r="Q12" s="5"/>
      <c r="R12" s="13"/>
      <c r="S12" s="5"/>
      <c r="T12" s="5">
        <f>SUM(OSRRefT13x_0)</f>
        <v>1635688.6699999995</v>
      </c>
      <c r="U12" s="5"/>
      <c r="V12" s="13"/>
      <c r="W12" s="5"/>
      <c r="X12" s="5">
        <f t="shared" ref="X12:X54" si="2">+P12-T12</f>
        <v>2065635.4700000002</v>
      </c>
      <c r="Y12" s="5"/>
      <c r="Z12" s="13">
        <f t="shared" ref="Z12:Z54" si="3">IF(T12=0,0,X12/T12)</f>
        <v>1.2628536884100328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--628817.79</f>
        <v>628817.79</v>
      </c>
      <c r="E13" s="3"/>
      <c r="F13" s="20"/>
      <c r="G13" s="3"/>
      <c r="H13" s="3">
        <f>-12462.04</f>
        <v>-12462.04</v>
      </c>
      <c r="I13" s="3"/>
      <c r="J13" s="20"/>
      <c r="K13" s="3"/>
      <c r="L13" s="3">
        <f t="shared" si="0"/>
        <v>641279.83000000007</v>
      </c>
      <c r="M13" s="3"/>
      <c r="N13" s="20">
        <f t="shared" si="1"/>
        <v>-51.45865604668257</v>
      </c>
      <c r="O13" s="12"/>
      <c r="P13" s="3">
        <f>--3397409.84</f>
        <v>3397409.84</v>
      </c>
      <c r="Q13" s="3"/>
      <c r="R13" s="20"/>
      <c r="S13" s="3"/>
      <c r="T13" s="3">
        <f>-117418.26</f>
        <v>-117418.26</v>
      </c>
      <c r="U13" s="3"/>
      <c r="V13" s="20"/>
      <c r="W13" s="3"/>
      <c r="X13" s="3">
        <f t="shared" si="2"/>
        <v>3514828.0999999996</v>
      </c>
      <c r="Y13" s="3"/>
      <c r="Z13" s="20">
        <f t="shared" si="3"/>
        <v>-29.934254689176964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--221.99</f>
        <v>221.99</v>
      </c>
      <c r="U14" s="3"/>
      <c r="V14" s="20"/>
      <c r="W14" s="3"/>
      <c r="X14" s="3">
        <f t="shared" si="2"/>
        <v>-221.99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--6537.78</f>
        <v>6537.78</v>
      </c>
      <c r="I15" s="3"/>
      <c r="J15" s="20"/>
      <c r="K15" s="3"/>
      <c r="L15" s="3">
        <f t="shared" si="0"/>
        <v>-6537.78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--55666.73</f>
        <v>55666.73</v>
      </c>
      <c r="U15" s="3"/>
      <c r="V15" s="20"/>
      <c r="W15" s="3"/>
      <c r="X15" s="3">
        <f t="shared" si="2"/>
        <v>-55666.73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--2650.79</f>
        <v>2650.79</v>
      </c>
      <c r="I16" s="3"/>
      <c r="J16" s="20"/>
      <c r="K16" s="3"/>
      <c r="L16" s="3">
        <f t="shared" si="0"/>
        <v>-2650.79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--34391.88</f>
        <v>34391.879999999997</v>
      </c>
      <c r="U16" s="3"/>
      <c r="V16" s="20"/>
      <c r="W16" s="3"/>
      <c r="X16" s="3">
        <f t="shared" si="2"/>
        <v>-34391.879999999997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","4031"," - ","TAXABLE SALES-FOOD")</f>
        <v xml:space="preserve">          4031 - TAXABLE SALES-FOOD</v>
      </c>
      <c r="C17" s="12"/>
      <c r="D17" s="3">
        <f>0</f>
        <v>0</v>
      </c>
      <c r="E17" s="3"/>
      <c r="F17" s="20"/>
      <c r="G17" s="3"/>
      <c r="H17" s="3">
        <f>--595.72</f>
        <v>595.72</v>
      </c>
      <c r="I17" s="3"/>
      <c r="J17" s="20"/>
      <c r="K17" s="3"/>
      <c r="L17" s="3">
        <f t="shared" si="0"/>
        <v>-595.72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--3836.04</f>
        <v>3836.04</v>
      </c>
      <c r="U17" s="3"/>
      <c r="V17" s="20"/>
      <c r="W17" s="3"/>
      <c r="X17" s="3">
        <f t="shared" si="2"/>
        <v>-3836.04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","4034"," - ","TAXABLE SALES-SODA")</f>
        <v xml:space="preserve">          4034 - TAXABLE SALES-SODA</v>
      </c>
      <c r="C18" s="12"/>
      <c r="D18" s="3">
        <f>0</f>
        <v>0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>
        <f>--6.78</f>
        <v>6.78</v>
      </c>
      <c r="U18" s="3"/>
      <c r="V18" s="20"/>
      <c r="W18" s="3"/>
      <c r="X18" s="3">
        <f t="shared" si="2"/>
        <v>-6.78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","4040"," - ","TAXABLE SALES-LOGO CLOTHING")</f>
        <v xml:space="preserve">          4040 - TAXABLE SALES-LOGO CLOTHING</v>
      </c>
      <c r="C19" s="12"/>
      <c r="D19" s="3">
        <f>0</f>
        <v>0</v>
      </c>
      <c r="E19" s="3"/>
      <c r="F19" s="20"/>
      <c r="G19" s="3"/>
      <c r="H19" s="3">
        <f>--120917.64</f>
        <v>120917.64</v>
      </c>
      <c r="I19" s="3"/>
      <c r="J19" s="20"/>
      <c r="K19" s="3"/>
      <c r="L19" s="3">
        <f t="shared" si="0"/>
        <v>-120917.64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--701461.15</f>
        <v>701461.15</v>
      </c>
      <c r="U19" s="3"/>
      <c r="V19" s="20"/>
      <c r="W19" s="3"/>
      <c r="X19" s="3">
        <f t="shared" si="2"/>
        <v>-701461.15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","4041"," - ","TAXABLE SALES-LOGO GIFTS")</f>
        <v xml:space="preserve">          4041 - TAXABLE SALES-LOGO GIFTS</v>
      </c>
      <c r="C20" s="12"/>
      <c r="D20" s="3">
        <f>0</f>
        <v>0</v>
      </c>
      <c r="E20" s="3"/>
      <c r="F20" s="20"/>
      <c r="G20" s="3"/>
      <c r="H20" s="3">
        <f>--111502.01</f>
        <v>111502.01</v>
      </c>
      <c r="I20" s="3"/>
      <c r="J20" s="20"/>
      <c r="K20" s="3"/>
      <c r="L20" s="3">
        <f t="shared" si="0"/>
        <v>-111502.01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--316023.48</f>
        <v>316023.48</v>
      </c>
      <c r="U20" s="3"/>
      <c r="V20" s="20"/>
      <c r="W20" s="3"/>
      <c r="X20" s="3">
        <f t="shared" si="2"/>
        <v>-316023.48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","4042"," - ","TAXABLE SALES-EVERYDAY GIFTS")</f>
        <v xml:space="preserve">          4042 - TAXABLE SALES-EVERYDAY GIFTS</v>
      </c>
      <c r="C21" s="12"/>
      <c r="D21" s="3">
        <f>0</f>
        <v>0</v>
      </c>
      <c r="E21" s="3"/>
      <c r="F21" s="20"/>
      <c r="G21" s="3"/>
      <c r="H21" s="3">
        <f>--8378.21</f>
        <v>8378.2099999999991</v>
      </c>
      <c r="I21" s="3"/>
      <c r="J21" s="20"/>
      <c r="K21" s="3"/>
      <c r="L21" s="3">
        <f t="shared" si="0"/>
        <v>-8378.2099999999991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--74387.43</f>
        <v>74387.429999999993</v>
      </c>
      <c r="U21" s="3"/>
      <c r="V21" s="20"/>
      <c r="W21" s="3"/>
      <c r="X21" s="3">
        <f t="shared" si="2"/>
        <v>-74387.429999999993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","4043"," - ","TAXABLE SALES-CARDS")</f>
        <v xml:space="preserve">          4043 - TAXABLE SALES-CARDS</v>
      </c>
      <c r="C22" s="12"/>
      <c r="D22" s="3">
        <f>0</f>
        <v>0</v>
      </c>
      <c r="E22" s="3"/>
      <c r="F22" s="20"/>
      <c r="G22" s="3"/>
      <c r="H22" s="3">
        <f>--4165.86</f>
        <v>4165.8599999999997</v>
      </c>
      <c r="I22" s="3"/>
      <c r="J22" s="20"/>
      <c r="K22" s="3"/>
      <c r="L22" s="3">
        <f t="shared" si="0"/>
        <v>-4165.8599999999997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--125859.45</f>
        <v>125859.45</v>
      </c>
      <c r="U22" s="3"/>
      <c r="V22" s="20"/>
      <c r="W22" s="3"/>
      <c r="X22" s="3">
        <f t="shared" si="2"/>
        <v>-125859.45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","4044"," - ","TAXABLE SALES-ACCESSORIES")</f>
        <v xml:space="preserve">          4044 - TAXABLE SALES-ACCESSORIES</v>
      </c>
      <c r="C23" s="12"/>
      <c r="D23" s="3">
        <f>0</f>
        <v>0</v>
      </c>
      <c r="E23" s="3"/>
      <c r="F23" s="20"/>
      <c r="G23" s="3"/>
      <c r="H23" s="3">
        <f>--4255.52</f>
        <v>4255.5200000000004</v>
      </c>
      <c r="I23" s="3"/>
      <c r="J23" s="20"/>
      <c r="K23" s="3"/>
      <c r="L23" s="3">
        <f t="shared" si="0"/>
        <v>-4255.5200000000004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--33290.98</f>
        <v>33290.980000000003</v>
      </c>
      <c r="U23" s="3"/>
      <c r="V23" s="20"/>
      <c r="W23" s="3"/>
      <c r="X23" s="3">
        <f t="shared" si="2"/>
        <v>-33290.980000000003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","4045"," - ","TAXABLE SALES-SPECIAL ORDERS")</f>
        <v xml:space="preserve">          4045 - TAXABLE SALES-SPECIAL ORDERS</v>
      </c>
      <c r="C24" s="12"/>
      <c r="D24" s="3">
        <f>0</f>
        <v>0</v>
      </c>
      <c r="E24" s="3"/>
      <c r="F24" s="20"/>
      <c r="G24" s="3"/>
      <c r="H24" s="3">
        <f>--63044.9</f>
        <v>63044.9</v>
      </c>
      <c r="I24" s="3"/>
      <c r="J24" s="20"/>
      <c r="K24" s="3"/>
      <c r="L24" s="3">
        <f t="shared" si="0"/>
        <v>-63044.9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--206915.97</f>
        <v>206915.97</v>
      </c>
      <c r="U24" s="3"/>
      <c r="V24" s="20"/>
      <c r="W24" s="3"/>
      <c r="X24" s="3">
        <f t="shared" si="2"/>
        <v>-206915.97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","4100"," - ","NON-TAXABLE SALES")</f>
        <v xml:space="preserve">          4100 - NON-TAXABLE SALES</v>
      </c>
      <c r="C25" s="12"/>
      <c r="D25" s="3">
        <f>--112286.4</f>
        <v>112286.39999999999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112286.39999999999</v>
      </c>
      <c r="M25" s="3"/>
      <c r="N25" s="20">
        <f t="shared" si="1"/>
        <v>0</v>
      </c>
      <c r="O25" s="12"/>
      <c r="P25" s="3">
        <f>--498543.26</f>
        <v>498543.26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498543.26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","4126"," - ","NON-TAXABLE SALES-WRITING INST")</f>
        <v xml:space="preserve">          4126 - NON-TAXABLE SALES-WRITING INST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--52.68</f>
        <v>52.68</v>
      </c>
      <c r="U26" s="3"/>
      <c r="V26" s="20"/>
      <c r="W26" s="3"/>
      <c r="X26" s="3">
        <f t="shared" si="2"/>
        <v>-52.68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","4127"," - ","NON-TAXABLE SALES-SCHOOL SUPPL")</f>
        <v xml:space="preserve">          4127 - NON-TAXABLE SALES-SCHOOL SUPPL</v>
      </c>
      <c r="C27" s="12"/>
      <c r="D27" s="3">
        <f>0</f>
        <v>0</v>
      </c>
      <c r="E27" s="3"/>
      <c r="F27" s="20"/>
      <c r="G27" s="3"/>
      <c r="H27" s="3">
        <f>--493.37</f>
        <v>493.37</v>
      </c>
      <c r="I27" s="3"/>
      <c r="J27" s="20"/>
      <c r="K27" s="3"/>
      <c r="L27" s="3">
        <f t="shared" si="0"/>
        <v>-493.37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--7100.68</f>
        <v>7100.68</v>
      </c>
      <c r="U27" s="3"/>
      <c r="V27" s="20"/>
      <c r="W27" s="3"/>
      <c r="X27" s="3">
        <f t="shared" si="2"/>
        <v>-7100.68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","4128"," - ","NON-TAXABLE SALES-ART/TECH")</f>
        <v xml:space="preserve">          4128 - NON-TAXABLE SALES-ART/TECH</v>
      </c>
      <c r="C28" s="12"/>
      <c r="D28" s="3">
        <f>0</f>
        <v>0</v>
      </c>
      <c r="E28" s="3"/>
      <c r="F28" s="20"/>
      <c r="G28" s="3"/>
      <c r="H28" s="3">
        <f>--31.37</f>
        <v>31.37</v>
      </c>
      <c r="I28" s="3"/>
      <c r="J28" s="20"/>
      <c r="K28" s="3"/>
      <c r="L28" s="3">
        <f t="shared" si="0"/>
        <v>-31.37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--69.95</f>
        <v>69.95</v>
      </c>
      <c r="U28" s="3"/>
      <c r="V28" s="20"/>
      <c r="W28" s="3"/>
      <c r="X28" s="3">
        <f t="shared" si="2"/>
        <v>-69.95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","4131"," - ","NON-TAXABLE SALES-FOOD")</f>
        <v xml:space="preserve">          4131 - NON-TAXABLE SALES-FOOD</v>
      </c>
      <c r="C29" s="12"/>
      <c r="D29" s="3">
        <f>0</f>
        <v>0</v>
      </c>
      <c r="E29" s="3"/>
      <c r="F29" s="20"/>
      <c r="G29" s="3"/>
      <c r="H29" s="3">
        <f>--960.93</f>
        <v>960.93</v>
      </c>
      <c r="I29" s="3"/>
      <c r="J29" s="20"/>
      <c r="K29" s="3"/>
      <c r="L29" s="3">
        <f t="shared" si="0"/>
        <v>-960.93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--9473.2</f>
        <v>9473.2000000000007</v>
      </c>
      <c r="U29" s="3"/>
      <c r="V29" s="20"/>
      <c r="W29" s="3"/>
      <c r="X29" s="3">
        <f t="shared" si="2"/>
        <v>-9473.2000000000007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","4132"," - ","NON-TAXABLE SALES-JUICE")</f>
        <v xml:space="preserve">          4132 - NON-TAXABLE SALES-JUICE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--22.49</f>
        <v>22.49</v>
      </c>
      <c r="U30" s="3"/>
      <c r="V30" s="20"/>
      <c r="W30" s="3"/>
      <c r="X30" s="3">
        <f t="shared" si="2"/>
        <v>-22.49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","4133"," - ","NON-TAXABLE SALES-CANDY")</f>
        <v xml:space="preserve">          4133 - NON-TAXABLE SALES-CANDY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0</f>
        <v>0</v>
      </c>
      <c r="Q31" s="3"/>
      <c r="R31" s="20"/>
      <c r="S31" s="3"/>
      <c r="T31" s="3">
        <f>--80.71</f>
        <v>80.709999999999994</v>
      </c>
      <c r="U31" s="3"/>
      <c r="V31" s="20"/>
      <c r="W31" s="3"/>
      <c r="X31" s="3">
        <f t="shared" si="2"/>
        <v>-80.709999999999994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","4134"," - ","NON-TAXABLE SALES-SODA")</f>
        <v xml:space="preserve">          4134 - NON-TAXABLE SALES-SODA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--45.53</f>
        <v>45.53</v>
      </c>
      <c r="U32" s="3"/>
      <c r="V32" s="20"/>
      <c r="W32" s="3"/>
      <c r="X32" s="3">
        <f t="shared" si="2"/>
        <v>-45.53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","4137"," - ","NON-TAXABLE SALES-WATER")</f>
        <v xml:space="preserve">          4137 - NON-TAXABLE SALES-WATER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--59.25</f>
        <v>59.25</v>
      </c>
      <c r="U33" s="3"/>
      <c r="V33" s="20"/>
      <c r="W33" s="3"/>
      <c r="X33" s="3">
        <f t="shared" si="2"/>
        <v>-59.25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","4140"," - ","NON-TAXABLE SALES-LOGO CLOTHIN")</f>
        <v xml:space="preserve">          4140 - NON-TAXABLE SALES-LOGO CLOTHIN</v>
      </c>
      <c r="C34" s="12"/>
      <c r="D34" s="3">
        <f>0</f>
        <v>0</v>
      </c>
      <c r="E34" s="3"/>
      <c r="F34" s="20"/>
      <c r="G34" s="3"/>
      <c r="H34" s="3">
        <f>--22915.85</f>
        <v>22915.85</v>
      </c>
      <c r="I34" s="3"/>
      <c r="J34" s="20"/>
      <c r="K34" s="3"/>
      <c r="L34" s="3">
        <f t="shared" si="0"/>
        <v>-22915.85</v>
      </c>
      <c r="M34" s="3"/>
      <c r="N34" s="20">
        <f t="shared" si="1"/>
        <v>-1</v>
      </c>
      <c r="O34" s="12"/>
      <c r="P34" s="3">
        <f>0</f>
        <v>0</v>
      </c>
      <c r="Q34" s="3"/>
      <c r="R34" s="20"/>
      <c r="S34" s="3"/>
      <c r="T34" s="3">
        <f>--154468.05</f>
        <v>154468.04999999999</v>
      </c>
      <c r="U34" s="3"/>
      <c r="V34" s="20"/>
      <c r="W34" s="3"/>
      <c r="X34" s="3">
        <f t="shared" si="2"/>
        <v>-154468.04999999999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","4141"," - ","NON-TAXABLE SALES-LOGO GIFTS")</f>
        <v xml:space="preserve">          4141 - NON-TAXABLE SALES-LOGO GIFTS</v>
      </c>
      <c r="C35" s="12"/>
      <c r="D35" s="3">
        <f>0</f>
        <v>0</v>
      </c>
      <c r="E35" s="3"/>
      <c r="F35" s="20"/>
      <c r="G35" s="3"/>
      <c r="H35" s="3">
        <f>--27227.97</f>
        <v>27227.97</v>
      </c>
      <c r="I35" s="3"/>
      <c r="J35" s="20"/>
      <c r="K35" s="3"/>
      <c r="L35" s="3">
        <f t="shared" si="0"/>
        <v>-27227.97</v>
      </c>
      <c r="M35" s="3"/>
      <c r="N35" s="20">
        <f t="shared" si="1"/>
        <v>-1</v>
      </c>
      <c r="O35" s="12"/>
      <c r="P35" s="3">
        <f>0</f>
        <v>0</v>
      </c>
      <c r="Q35" s="3"/>
      <c r="R35" s="20"/>
      <c r="S35" s="3"/>
      <c r="T35" s="3">
        <f>--35517.57</f>
        <v>35517.57</v>
      </c>
      <c r="U35" s="3"/>
      <c r="V35" s="20"/>
      <c r="W35" s="3"/>
      <c r="X35" s="3">
        <f t="shared" si="2"/>
        <v>-35517.57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","4142"," - ","NON-TAXABLE SALES-EVERYDAY GIF")</f>
        <v xml:space="preserve">          4142 - NON-TAXABLE SALES-EVERYDAY GIF</v>
      </c>
      <c r="C36" s="12"/>
      <c r="D36" s="3">
        <f>0</f>
        <v>0</v>
      </c>
      <c r="E36" s="3"/>
      <c r="F36" s="20"/>
      <c r="G36" s="3"/>
      <c r="H36" s="3">
        <f>--284.63</f>
        <v>284.63</v>
      </c>
      <c r="I36" s="3"/>
      <c r="J36" s="20"/>
      <c r="K36" s="3"/>
      <c r="L36" s="3">
        <f t="shared" si="0"/>
        <v>-284.63</v>
      </c>
      <c r="M36" s="3"/>
      <c r="N36" s="20">
        <f t="shared" si="1"/>
        <v>-1</v>
      </c>
      <c r="O36" s="12"/>
      <c r="P36" s="3">
        <f>0</f>
        <v>0</v>
      </c>
      <c r="Q36" s="3"/>
      <c r="R36" s="20"/>
      <c r="S36" s="3"/>
      <c r="T36" s="3">
        <f>--1455.41</f>
        <v>1455.41</v>
      </c>
      <c r="U36" s="3"/>
      <c r="V36" s="20"/>
      <c r="W36" s="3"/>
      <c r="X36" s="3">
        <f t="shared" si="2"/>
        <v>-1455.41</v>
      </c>
      <c r="Y36" s="3"/>
      <c r="Z36" s="20">
        <f t="shared" si="3"/>
        <v>-1</v>
      </c>
    </row>
    <row r="37" spans="1:26" s="69" customFormat="1" ht="15" hidden="1" customHeight="1" outlineLevel="1" x14ac:dyDescent="0.3">
      <c r="A37" s="42"/>
      <c r="B37" s="12" t="str">
        <f>CONCATENATE("          ","4143"," - ","NON-TAXABLE SALES-CARDS")</f>
        <v xml:space="preserve">          4143 - NON-TAXABLE SALES-CARDS</v>
      </c>
      <c r="C37" s="12"/>
      <c r="D37" s="3">
        <f>0</f>
        <v>0</v>
      </c>
      <c r="E37" s="3"/>
      <c r="F37" s="20"/>
      <c r="G37" s="3"/>
      <c r="H37" s="3">
        <f>--49.97</f>
        <v>49.97</v>
      </c>
      <c r="I37" s="3"/>
      <c r="J37" s="20"/>
      <c r="K37" s="3"/>
      <c r="L37" s="3">
        <f t="shared" si="0"/>
        <v>-49.97</v>
      </c>
      <c r="M37" s="3"/>
      <c r="N37" s="20">
        <f t="shared" si="1"/>
        <v>-1</v>
      </c>
      <c r="O37" s="12"/>
      <c r="P37" s="3">
        <f>0</f>
        <v>0</v>
      </c>
      <c r="Q37" s="3"/>
      <c r="R37" s="20"/>
      <c r="S37" s="3"/>
      <c r="T37" s="3">
        <f>--2431.45</f>
        <v>2431.4499999999998</v>
      </c>
      <c r="U37" s="3"/>
      <c r="V37" s="20"/>
      <c r="W37" s="3"/>
      <c r="X37" s="3">
        <f t="shared" si="2"/>
        <v>-2431.4499999999998</v>
      </c>
      <c r="Y37" s="3"/>
      <c r="Z37" s="20">
        <f t="shared" si="3"/>
        <v>-1</v>
      </c>
    </row>
    <row r="38" spans="1:26" s="69" customFormat="1" ht="15" hidden="1" customHeight="1" outlineLevel="1" x14ac:dyDescent="0.3">
      <c r="A38" s="42"/>
      <c r="B38" s="12" t="str">
        <f>CONCATENATE("          ","4144"," - ","NON-TAXABLE SALES-ACCESSORIES")</f>
        <v xml:space="preserve">          4144 - NON-TAXABLE SALES-ACCESSORIES</v>
      </c>
      <c r="C38" s="12"/>
      <c r="D38" s="3">
        <f>0</f>
        <v>0</v>
      </c>
      <c r="E38" s="3"/>
      <c r="F38" s="20"/>
      <c r="G38" s="3"/>
      <c r="H38" s="3">
        <f>--29.85</f>
        <v>29.85</v>
      </c>
      <c r="I38" s="3"/>
      <c r="J38" s="20"/>
      <c r="K38" s="3"/>
      <c r="L38" s="3">
        <f t="shared" si="0"/>
        <v>-29.85</v>
      </c>
      <c r="M38" s="3"/>
      <c r="N38" s="20">
        <f t="shared" si="1"/>
        <v>-1</v>
      </c>
      <c r="O38" s="12"/>
      <c r="P38" s="3">
        <f>0</f>
        <v>0</v>
      </c>
      <c r="Q38" s="3"/>
      <c r="R38" s="20"/>
      <c r="S38" s="3"/>
      <c r="T38" s="3">
        <f>--709.1</f>
        <v>709.1</v>
      </c>
      <c r="U38" s="3"/>
      <c r="V38" s="20"/>
      <c r="W38" s="3"/>
      <c r="X38" s="3">
        <f t="shared" si="2"/>
        <v>-709.1</v>
      </c>
      <c r="Y38" s="3"/>
      <c r="Z38" s="20">
        <f t="shared" si="3"/>
        <v>-1</v>
      </c>
    </row>
    <row r="39" spans="1:26" s="69" customFormat="1" ht="15" hidden="1" customHeight="1" outlineLevel="1" x14ac:dyDescent="0.3">
      <c r="A39" s="42"/>
      <c r="B39" s="12" t="str">
        <f>CONCATENATE("          ","4145"," - ","NON-TAXABLE SALES-SPECIAL ORDE")</f>
        <v xml:space="preserve">          4145 - NON-TAXABLE SALES-SPECIAL ORDE</v>
      </c>
      <c r="C39" s="12"/>
      <c r="D39" s="3">
        <f>0</f>
        <v>0</v>
      </c>
      <c r="E39" s="3"/>
      <c r="F39" s="20"/>
      <c r="G39" s="3"/>
      <c r="H39" s="3">
        <f>--20350.8</f>
        <v>20350.8</v>
      </c>
      <c r="I39" s="3"/>
      <c r="J39" s="20"/>
      <c r="K39" s="3"/>
      <c r="L39" s="3">
        <f t="shared" si="0"/>
        <v>-20350.8</v>
      </c>
      <c r="M39" s="3"/>
      <c r="N39" s="20">
        <f t="shared" si="1"/>
        <v>-1</v>
      </c>
      <c r="O39" s="12"/>
      <c r="P39" s="3">
        <f>0</f>
        <v>0</v>
      </c>
      <c r="Q39" s="3"/>
      <c r="R39" s="20"/>
      <c r="S39" s="3"/>
      <c r="T39" s="3">
        <f>--74059.89</f>
        <v>74059.89</v>
      </c>
      <c r="U39" s="3"/>
      <c r="V39" s="20"/>
      <c r="W39" s="3"/>
      <c r="X39" s="3">
        <f t="shared" si="2"/>
        <v>-74059.89</v>
      </c>
      <c r="Y39" s="3"/>
      <c r="Z39" s="20">
        <f t="shared" si="3"/>
        <v>-1</v>
      </c>
    </row>
    <row r="40" spans="1:26" s="69" customFormat="1" ht="15" hidden="1" customHeight="1" outlineLevel="1" x14ac:dyDescent="0.3">
      <c r="A40" s="42"/>
      <c r="B40" s="12" t="str">
        <f>CONCATENATE("          ","4200"," - ","TAXABLE RETURNS")</f>
        <v xml:space="preserve">          4200 - TAXABLE RETURNS</v>
      </c>
      <c r="C40" s="12"/>
      <c r="D40" s="3">
        <f>-19926.32</f>
        <v>-19926.32</v>
      </c>
      <c r="E40" s="3"/>
      <c r="F40" s="20"/>
      <c r="G40" s="3"/>
      <c r="H40" s="3">
        <f>0</f>
        <v>0</v>
      </c>
      <c r="I40" s="3"/>
      <c r="J40" s="20"/>
      <c r="K40" s="3"/>
      <c r="L40" s="3">
        <f t="shared" si="0"/>
        <v>-19926.32</v>
      </c>
      <c r="M40" s="3"/>
      <c r="N40" s="20">
        <f t="shared" si="1"/>
        <v>0</v>
      </c>
      <c r="O40" s="12"/>
      <c r="P40" s="3">
        <f>-101332.55</f>
        <v>-101332.55</v>
      </c>
      <c r="Q40" s="3"/>
      <c r="R40" s="20"/>
      <c r="S40" s="3"/>
      <c r="T40" s="3">
        <f>0</f>
        <v>0</v>
      </c>
      <c r="U40" s="3"/>
      <c r="V40" s="20"/>
      <c r="W40" s="3"/>
      <c r="X40" s="3">
        <f t="shared" si="2"/>
        <v>-101332.55</v>
      </c>
      <c r="Y40" s="3"/>
      <c r="Z40" s="20">
        <f t="shared" si="3"/>
        <v>0</v>
      </c>
    </row>
    <row r="41" spans="1:26" s="69" customFormat="1" ht="15" hidden="1" customHeight="1" outlineLevel="1" x14ac:dyDescent="0.3">
      <c r="A41" s="42"/>
      <c r="B41" s="12" t="str">
        <f>CONCATENATE("          ","4226"," - ","SALES RETURN TAXABLE-WRITING I")</f>
        <v xml:space="preserve">          4226 - SALES RETURN TAXABLE-WRITING I</v>
      </c>
      <c r="C41" s="12"/>
      <c r="D41" s="3">
        <f>0</f>
        <v>0</v>
      </c>
      <c r="E41" s="3"/>
      <c r="F41" s="20"/>
      <c r="G41" s="3"/>
      <c r="H41" s="3">
        <f>0</f>
        <v>0</v>
      </c>
      <c r="I41" s="3"/>
      <c r="J41" s="20"/>
      <c r="K41" s="3"/>
      <c r="L41" s="3">
        <f t="shared" si="0"/>
        <v>0</v>
      </c>
      <c r="M41" s="3"/>
      <c r="N41" s="20">
        <f t="shared" si="1"/>
        <v>0</v>
      </c>
      <c r="O41" s="12"/>
      <c r="P41" s="3">
        <f>0</f>
        <v>0</v>
      </c>
      <c r="Q41" s="3"/>
      <c r="R41" s="20"/>
      <c r="S41" s="3"/>
      <c r="T41" s="3">
        <f>-6.38</f>
        <v>-6.38</v>
      </c>
      <c r="U41" s="3"/>
      <c r="V41" s="20"/>
      <c r="W41" s="3"/>
      <c r="X41" s="3">
        <f t="shared" si="2"/>
        <v>6.38</v>
      </c>
      <c r="Y41" s="3"/>
      <c r="Z41" s="20">
        <f t="shared" si="3"/>
        <v>-1</v>
      </c>
    </row>
    <row r="42" spans="1:26" s="69" customFormat="1" ht="15" hidden="1" customHeight="1" outlineLevel="1" x14ac:dyDescent="0.3">
      <c r="A42" s="42"/>
      <c r="B42" s="12" t="str">
        <f>CONCATENATE("          ","4227"," - ","SALES RETURN TAXABLE-SCHOOL SU")</f>
        <v xml:space="preserve">          4227 - SALES RETURN TAXABLE-SCHOOL SU</v>
      </c>
      <c r="C42" s="12"/>
      <c r="D42" s="3">
        <f>0</f>
        <v>0</v>
      </c>
      <c r="E42" s="3"/>
      <c r="F42" s="20"/>
      <c r="G42" s="3"/>
      <c r="H42" s="3">
        <f>-500.54</f>
        <v>-500.54</v>
      </c>
      <c r="I42" s="3"/>
      <c r="J42" s="20"/>
      <c r="K42" s="3"/>
      <c r="L42" s="3">
        <f t="shared" si="0"/>
        <v>500.54</v>
      </c>
      <c r="M42" s="3"/>
      <c r="N42" s="20">
        <f t="shared" si="1"/>
        <v>-1</v>
      </c>
      <c r="O42" s="12"/>
      <c r="P42" s="3">
        <f>0</f>
        <v>0</v>
      </c>
      <c r="Q42" s="3"/>
      <c r="R42" s="20"/>
      <c r="S42" s="3"/>
      <c r="T42" s="3">
        <f>-1143.48</f>
        <v>-1143.48</v>
      </c>
      <c r="U42" s="3"/>
      <c r="V42" s="20"/>
      <c r="W42" s="3"/>
      <c r="X42" s="3">
        <f t="shared" si="2"/>
        <v>1143.48</v>
      </c>
      <c r="Y42" s="3"/>
      <c r="Z42" s="20">
        <f t="shared" si="3"/>
        <v>-1</v>
      </c>
    </row>
    <row r="43" spans="1:26" s="69" customFormat="1" ht="15" hidden="1" customHeight="1" outlineLevel="1" x14ac:dyDescent="0.3">
      <c r="A43" s="42"/>
      <c r="B43" s="12" t="str">
        <f>CONCATENATE("          ","4228"," - ","SALES RETURN TAXABLE-ART/TECH")</f>
        <v xml:space="preserve">          4228 - SALES RETURN TAXABLE-ART/TECH</v>
      </c>
      <c r="C43" s="12"/>
      <c r="D43" s="3">
        <f>0</f>
        <v>0</v>
      </c>
      <c r="E43" s="3"/>
      <c r="F43" s="20"/>
      <c r="G43" s="3"/>
      <c r="H43" s="3">
        <f>-136.11</f>
        <v>-136.11000000000001</v>
      </c>
      <c r="I43" s="3"/>
      <c r="J43" s="20"/>
      <c r="K43" s="3"/>
      <c r="L43" s="3">
        <f t="shared" si="0"/>
        <v>136.11000000000001</v>
      </c>
      <c r="M43" s="3"/>
      <c r="N43" s="20">
        <f t="shared" si="1"/>
        <v>-1</v>
      </c>
      <c r="O43" s="12"/>
      <c r="P43" s="3">
        <f>0</f>
        <v>0</v>
      </c>
      <c r="Q43" s="3"/>
      <c r="R43" s="20"/>
      <c r="S43" s="3"/>
      <c r="T43" s="3">
        <f>-12751.53</f>
        <v>-12751.53</v>
      </c>
      <c r="U43" s="3"/>
      <c r="V43" s="20"/>
      <c r="W43" s="3"/>
      <c r="X43" s="3">
        <f t="shared" si="2"/>
        <v>12751.53</v>
      </c>
      <c r="Y43" s="3"/>
      <c r="Z43" s="20">
        <f t="shared" si="3"/>
        <v>-1</v>
      </c>
    </row>
    <row r="44" spans="1:26" s="69" customFormat="1" ht="15" hidden="1" customHeight="1" outlineLevel="1" x14ac:dyDescent="0.3">
      <c r="A44" s="42"/>
      <c r="B44" s="12" t="str">
        <f>CONCATENATE("          ","4240"," - ","SALES RETURN TAXABLE-LOGO CLOT")</f>
        <v xml:space="preserve">          4240 - SALES RETURN TAXABLE-LOGO CLOT</v>
      </c>
      <c r="C44" s="12"/>
      <c r="D44" s="3">
        <f>0</f>
        <v>0</v>
      </c>
      <c r="E44" s="3"/>
      <c r="F44" s="20"/>
      <c r="G44" s="3"/>
      <c r="H44" s="3">
        <f>-4367.01</f>
        <v>-4367.01</v>
      </c>
      <c r="I44" s="3"/>
      <c r="J44" s="20"/>
      <c r="K44" s="3"/>
      <c r="L44" s="3">
        <f t="shared" si="0"/>
        <v>4367.01</v>
      </c>
      <c r="M44" s="3"/>
      <c r="N44" s="20">
        <f t="shared" si="1"/>
        <v>-1</v>
      </c>
      <c r="O44" s="12"/>
      <c r="P44" s="3">
        <f>0</f>
        <v>0</v>
      </c>
      <c r="Q44" s="3"/>
      <c r="R44" s="20"/>
      <c r="S44" s="3"/>
      <c r="T44" s="3">
        <f>-31470.04</f>
        <v>-31470.04</v>
      </c>
      <c r="U44" s="3"/>
      <c r="V44" s="20"/>
      <c r="W44" s="3"/>
      <c r="X44" s="3">
        <f t="shared" si="2"/>
        <v>31470.04</v>
      </c>
      <c r="Y44" s="3"/>
      <c r="Z44" s="20">
        <f t="shared" si="3"/>
        <v>-1</v>
      </c>
    </row>
    <row r="45" spans="1:26" s="69" customFormat="1" ht="15" hidden="1" customHeight="1" outlineLevel="1" x14ac:dyDescent="0.3">
      <c r="A45" s="42"/>
      <c r="B45" s="12" t="str">
        <f>CONCATENATE("          ","4241"," - ","SALES RETURN TAXABLE-LOGO GIFT")</f>
        <v xml:space="preserve">          4241 - SALES RETURN TAXABLE-LOGO GIFT</v>
      </c>
      <c r="C45" s="12"/>
      <c r="D45" s="3">
        <f>0</f>
        <v>0</v>
      </c>
      <c r="E45" s="3"/>
      <c r="F45" s="20"/>
      <c r="G45" s="3"/>
      <c r="H45" s="3">
        <f>-5548.21</f>
        <v>-5548.21</v>
      </c>
      <c r="I45" s="3"/>
      <c r="J45" s="20"/>
      <c r="K45" s="3"/>
      <c r="L45" s="3">
        <f t="shared" si="0"/>
        <v>5548.21</v>
      </c>
      <c r="M45" s="3"/>
      <c r="N45" s="20">
        <f t="shared" si="1"/>
        <v>-1</v>
      </c>
      <c r="O45" s="12"/>
      <c r="P45" s="3">
        <f>0</f>
        <v>0</v>
      </c>
      <c r="Q45" s="3"/>
      <c r="R45" s="20"/>
      <c r="S45" s="3"/>
      <c r="T45" s="3">
        <f>-10241.55</f>
        <v>-10241.549999999999</v>
      </c>
      <c r="U45" s="3"/>
      <c r="V45" s="20"/>
      <c r="W45" s="3"/>
      <c r="X45" s="3">
        <f t="shared" si="2"/>
        <v>10241.549999999999</v>
      </c>
      <c r="Y45" s="3"/>
      <c r="Z45" s="20">
        <f t="shared" si="3"/>
        <v>-1</v>
      </c>
    </row>
    <row r="46" spans="1:26" s="69" customFormat="1" ht="15" hidden="1" customHeight="1" outlineLevel="1" x14ac:dyDescent="0.3">
      <c r="A46" s="42"/>
      <c r="B46" s="12" t="str">
        <f>CONCATENATE("          ","4242"," - ","SALES RETURN TAXABLE-EVERYDAY")</f>
        <v xml:space="preserve">          4242 - SALES RETURN TAXABLE-EVERYDAY</v>
      </c>
      <c r="C46" s="12"/>
      <c r="D46" s="3">
        <f>0</f>
        <v>0</v>
      </c>
      <c r="E46" s="3"/>
      <c r="F46" s="20"/>
      <c r="G46" s="3"/>
      <c r="H46" s="3">
        <f>-332.27</f>
        <v>-332.27</v>
      </c>
      <c r="I46" s="3"/>
      <c r="J46" s="20"/>
      <c r="K46" s="3"/>
      <c r="L46" s="3">
        <f t="shared" si="0"/>
        <v>332.27</v>
      </c>
      <c r="M46" s="3"/>
      <c r="N46" s="20">
        <f t="shared" si="1"/>
        <v>-1</v>
      </c>
      <c r="O46" s="12"/>
      <c r="P46" s="3">
        <f>0</f>
        <v>0</v>
      </c>
      <c r="Q46" s="3"/>
      <c r="R46" s="20"/>
      <c r="S46" s="3"/>
      <c r="T46" s="3">
        <f>-2310.03</f>
        <v>-2310.0300000000002</v>
      </c>
      <c r="U46" s="3"/>
      <c r="V46" s="20"/>
      <c r="W46" s="3"/>
      <c r="X46" s="3">
        <f t="shared" si="2"/>
        <v>2310.0300000000002</v>
      </c>
      <c r="Y46" s="3"/>
      <c r="Z46" s="20">
        <f t="shared" si="3"/>
        <v>-1</v>
      </c>
    </row>
    <row r="47" spans="1:26" s="69" customFormat="1" ht="15" hidden="1" customHeight="1" outlineLevel="1" x14ac:dyDescent="0.3">
      <c r="A47" s="42"/>
      <c r="B47" s="12" t="str">
        <f>CONCATENATE("          ","4243"," - ","SALES RETURN TAXABLE-CARDS")</f>
        <v xml:space="preserve">          4243 - SALES RETURN TAXABLE-CARDS</v>
      </c>
      <c r="C47" s="12"/>
      <c r="D47" s="3">
        <f>0</f>
        <v>0</v>
      </c>
      <c r="E47" s="3"/>
      <c r="F47" s="20"/>
      <c r="G47" s="3"/>
      <c r="H47" s="3">
        <f>-199.86</f>
        <v>-199.86</v>
      </c>
      <c r="I47" s="3"/>
      <c r="J47" s="20"/>
      <c r="K47" s="3"/>
      <c r="L47" s="3">
        <f t="shared" si="0"/>
        <v>199.86</v>
      </c>
      <c r="M47" s="3"/>
      <c r="N47" s="20">
        <f t="shared" si="1"/>
        <v>-1</v>
      </c>
      <c r="O47" s="12"/>
      <c r="P47" s="3">
        <f>0</f>
        <v>0</v>
      </c>
      <c r="Q47" s="3"/>
      <c r="R47" s="20"/>
      <c r="S47" s="3"/>
      <c r="T47" s="3">
        <f>-6142.09</f>
        <v>-6142.09</v>
      </c>
      <c r="U47" s="3"/>
      <c r="V47" s="20"/>
      <c r="W47" s="3"/>
      <c r="X47" s="3">
        <f t="shared" si="2"/>
        <v>6142.09</v>
      </c>
      <c r="Y47" s="3"/>
      <c r="Z47" s="20">
        <f t="shared" si="3"/>
        <v>-1</v>
      </c>
    </row>
    <row r="48" spans="1:26" s="69" customFormat="1" ht="15" hidden="1" customHeight="1" outlineLevel="1" x14ac:dyDescent="0.3">
      <c r="A48" s="42"/>
      <c r="B48" s="12" t="str">
        <f>CONCATENATE("          ","4244"," - ","SALES RETURN TAXABLE-ACCESSORI")</f>
        <v xml:space="preserve">          4244 - SALES RETURN TAXABLE-ACCESSORI</v>
      </c>
      <c r="C48" s="12"/>
      <c r="D48" s="3">
        <f>0</f>
        <v>0</v>
      </c>
      <c r="E48" s="3"/>
      <c r="F48" s="20"/>
      <c r="G48" s="3"/>
      <c r="H48" s="3">
        <f>-8.24</f>
        <v>-8.24</v>
      </c>
      <c r="I48" s="3"/>
      <c r="J48" s="20"/>
      <c r="K48" s="3"/>
      <c r="L48" s="3">
        <f t="shared" si="0"/>
        <v>8.24</v>
      </c>
      <c r="M48" s="3"/>
      <c r="N48" s="20">
        <f t="shared" si="1"/>
        <v>-1</v>
      </c>
      <c r="O48" s="12"/>
      <c r="P48" s="3">
        <f>0</f>
        <v>0</v>
      </c>
      <c r="Q48" s="3"/>
      <c r="R48" s="20"/>
      <c r="S48" s="3"/>
      <c r="T48" s="3">
        <f>-1200.62</f>
        <v>-1200.6199999999999</v>
      </c>
      <c r="U48" s="3"/>
      <c r="V48" s="20"/>
      <c r="W48" s="3"/>
      <c r="X48" s="3">
        <f t="shared" si="2"/>
        <v>1200.6199999999999</v>
      </c>
      <c r="Y48" s="3"/>
      <c r="Z48" s="20">
        <f t="shared" si="3"/>
        <v>-1</v>
      </c>
    </row>
    <row r="49" spans="1:26" s="69" customFormat="1" ht="15" hidden="1" customHeight="1" outlineLevel="1" x14ac:dyDescent="0.3">
      <c r="A49" s="42"/>
      <c r="B49" s="12" t="str">
        <f>CONCATENATE("          ","4245"," - ","SALES RETURN TAXABLE-SPECIAL O")</f>
        <v xml:space="preserve">          4245 - SALES RETURN TAXABLE-SPECIAL O</v>
      </c>
      <c r="C49" s="12"/>
      <c r="D49" s="3">
        <f>0</f>
        <v>0</v>
      </c>
      <c r="E49" s="3"/>
      <c r="F49" s="20"/>
      <c r="G49" s="3"/>
      <c r="H49" s="3">
        <f>-4071.14</f>
        <v>-4071.14</v>
      </c>
      <c r="I49" s="3"/>
      <c r="J49" s="20"/>
      <c r="K49" s="3"/>
      <c r="L49" s="3">
        <f t="shared" si="0"/>
        <v>4071.14</v>
      </c>
      <c r="M49" s="3"/>
      <c r="N49" s="20">
        <f t="shared" si="1"/>
        <v>-1</v>
      </c>
      <c r="O49" s="12"/>
      <c r="P49" s="3">
        <f>0</f>
        <v>0</v>
      </c>
      <c r="Q49" s="3"/>
      <c r="R49" s="20"/>
      <c r="S49" s="3"/>
      <c r="T49" s="3">
        <f>-15417.73</f>
        <v>-15417.73</v>
      </c>
      <c r="U49" s="3"/>
      <c r="V49" s="20"/>
      <c r="W49" s="3"/>
      <c r="X49" s="3">
        <f t="shared" si="2"/>
        <v>15417.73</v>
      </c>
      <c r="Y49" s="3"/>
      <c r="Z49" s="20">
        <f t="shared" si="3"/>
        <v>-1</v>
      </c>
    </row>
    <row r="50" spans="1:26" s="69" customFormat="1" ht="15" hidden="1" customHeight="1" outlineLevel="1" x14ac:dyDescent="0.3">
      <c r="A50" s="42"/>
      <c r="B50" s="12" t="str">
        <f>CONCATENATE("          ","4300"," - ","NON-TAX RETURNS")</f>
        <v xml:space="preserve">          4300 - NON-TAX RETURNS</v>
      </c>
      <c r="C50" s="12"/>
      <c r="D50" s="3">
        <f>-1251.61</f>
        <v>-1251.6099999999999</v>
      </c>
      <c r="E50" s="3"/>
      <c r="F50" s="20"/>
      <c r="G50" s="3"/>
      <c r="H50" s="3">
        <f>0</f>
        <v>0</v>
      </c>
      <c r="I50" s="3"/>
      <c r="J50" s="20"/>
      <c r="K50" s="3"/>
      <c r="L50" s="3">
        <f t="shared" si="0"/>
        <v>-1251.6099999999999</v>
      </c>
      <c r="M50" s="3"/>
      <c r="N50" s="20">
        <f t="shared" si="1"/>
        <v>0</v>
      </c>
      <c r="O50" s="12"/>
      <c r="P50" s="3">
        <f>-3150.14</f>
        <v>-3150.14</v>
      </c>
      <c r="Q50" s="3"/>
      <c r="R50" s="20"/>
      <c r="S50" s="3"/>
      <c r="T50" s="3">
        <f>0</f>
        <v>0</v>
      </c>
      <c r="U50" s="3"/>
      <c r="V50" s="20"/>
      <c r="W50" s="3"/>
      <c r="X50" s="3">
        <f t="shared" si="2"/>
        <v>-3150.14</v>
      </c>
      <c r="Y50" s="3"/>
      <c r="Z50" s="20">
        <f t="shared" si="3"/>
        <v>0</v>
      </c>
    </row>
    <row r="51" spans="1:26" s="69" customFormat="1" ht="15" hidden="1" customHeight="1" outlineLevel="1" x14ac:dyDescent="0.3">
      <c r="A51" s="42"/>
      <c r="B51" s="12" t="str">
        <f>CONCATENATE("          ","4340"," - ","SALES RETURN NON TAXABLE-LOGO")</f>
        <v xml:space="preserve">          4340 - SALES RETURN NON TAXABLE-LOGO</v>
      </c>
      <c r="C51" s="12"/>
      <c r="D51" s="3">
        <f>0</f>
        <v>0</v>
      </c>
      <c r="E51" s="3"/>
      <c r="F51" s="20"/>
      <c r="G51" s="3"/>
      <c r="H51" s="3">
        <f>-664.13</f>
        <v>-664.13</v>
      </c>
      <c r="I51" s="3"/>
      <c r="J51" s="20"/>
      <c r="K51" s="3"/>
      <c r="L51" s="3">
        <f t="shared" si="0"/>
        <v>664.13</v>
      </c>
      <c r="M51" s="3"/>
      <c r="N51" s="20">
        <f t="shared" si="1"/>
        <v>-1</v>
      </c>
      <c r="O51" s="12"/>
      <c r="P51" s="3">
        <f>0</f>
        <v>0</v>
      </c>
      <c r="Q51" s="3"/>
      <c r="R51" s="20"/>
      <c r="S51" s="3"/>
      <c r="T51" s="3">
        <f>-3307.52</f>
        <v>-3307.52</v>
      </c>
      <c r="U51" s="3"/>
      <c r="V51" s="20"/>
      <c r="W51" s="3"/>
      <c r="X51" s="3">
        <f t="shared" si="2"/>
        <v>3307.52</v>
      </c>
      <c r="Y51" s="3"/>
      <c r="Z51" s="20">
        <f t="shared" si="3"/>
        <v>-1</v>
      </c>
    </row>
    <row r="52" spans="1:26" s="69" customFormat="1" ht="15" hidden="1" customHeight="1" outlineLevel="1" x14ac:dyDescent="0.3">
      <c r="A52" s="42"/>
      <c r="B52" s="12" t="str">
        <f>CONCATENATE("          ","4341"," - ","SALES RETURN NON TAXABLE-LOGO")</f>
        <v xml:space="preserve">          4341 - SALES RETURN NON TAXABLE-LOGO</v>
      </c>
      <c r="C52" s="12"/>
      <c r="D52" s="3">
        <f>0</f>
        <v>0</v>
      </c>
      <c r="E52" s="3"/>
      <c r="F52" s="20"/>
      <c r="G52" s="3"/>
      <c r="H52" s="3">
        <f>-9.9</f>
        <v>-9.9</v>
      </c>
      <c r="I52" s="3"/>
      <c r="J52" s="20"/>
      <c r="K52" s="3"/>
      <c r="L52" s="3">
        <f t="shared" si="0"/>
        <v>9.9</v>
      </c>
      <c r="M52" s="3"/>
      <c r="N52" s="20">
        <f t="shared" si="1"/>
        <v>-1</v>
      </c>
      <c r="O52" s="12"/>
      <c r="P52" s="3">
        <f>0</f>
        <v>0</v>
      </c>
      <c r="Q52" s="3"/>
      <c r="R52" s="20"/>
      <c r="S52" s="3"/>
      <c r="T52" s="3">
        <f>-391.24</f>
        <v>-391.24</v>
      </c>
      <c r="U52" s="3"/>
      <c r="V52" s="20"/>
      <c r="W52" s="3"/>
      <c r="X52" s="3">
        <f t="shared" si="2"/>
        <v>391.24</v>
      </c>
      <c r="Y52" s="3"/>
      <c r="Z52" s="20">
        <f t="shared" si="3"/>
        <v>-1</v>
      </c>
    </row>
    <row r="53" spans="1:26" s="69" customFormat="1" ht="15" hidden="1" customHeight="1" outlineLevel="1" x14ac:dyDescent="0.3">
      <c r="A53" s="42"/>
      <c r="B53" s="12" t="str">
        <f>CONCATENATE("          ","4342"," - ","SALES RETURN NON TAXABLE-EVERY")</f>
        <v xml:space="preserve">          4342 - SALES RETURN NON TAXABLE-EVERY</v>
      </c>
      <c r="C53" s="12"/>
      <c r="D53" s="3">
        <f>0</f>
        <v>0</v>
      </c>
      <c r="E53" s="3"/>
      <c r="F53" s="20"/>
      <c r="G53" s="3"/>
      <c r="H53" s="3">
        <f>0</f>
        <v>0</v>
      </c>
      <c r="I53" s="3"/>
      <c r="J53" s="20"/>
      <c r="K53" s="3"/>
      <c r="L53" s="3">
        <f t="shared" si="0"/>
        <v>0</v>
      </c>
      <c r="M53" s="3"/>
      <c r="N53" s="20">
        <f t="shared" si="1"/>
        <v>0</v>
      </c>
      <c r="O53" s="12"/>
      <c r="P53" s="3">
        <f>0</f>
        <v>0</v>
      </c>
      <c r="Q53" s="3"/>
      <c r="R53" s="20"/>
      <c r="S53" s="3"/>
      <c r="T53" s="3">
        <f>-118.7</f>
        <v>-118.7</v>
      </c>
      <c r="U53" s="3"/>
      <c r="V53" s="20"/>
      <c r="W53" s="3"/>
      <c r="X53" s="3">
        <f t="shared" si="2"/>
        <v>118.7</v>
      </c>
      <c r="Y53" s="3"/>
      <c r="Z53" s="20">
        <f t="shared" si="3"/>
        <v>-1</v>
      </c>
    </row>
    <row r="54" spans="1:26" s="69" customFormat="1" ht="15" hidden="1" customHeight="1" outlineLevel="1" x14ac:dyDescent="0.3">
      <c r="A54" s="42"/>
      <c r="B54" s="12" t="str">
        <f>CONCATENATE("          ","4500"," - ","SALES DISCOUNT")</f>
        <v xml:space="preserve">          4500 - SALES DISCOUNT</v>
      </c>
      <c r="C54" s="12"/>
      <c r="D54" s="3">
        <f>-13863.15</f>
        <v>-13863.15</v>
      </c>
      <c r="E54" s="3"/>
      <c r="F54" s="20"/>
      <c r="G54" s="3"/>
      <c r="H54" s="3">
        <f>0</f>
        <v>0</v>
      </c>
      <c r="I54" s="3"/>
      <c r="J54" s="20"/>
      <c r="K54" s="3"/>
      <c r="L54" s="3">
        <f t="shared" si="0"/>
        <v>-13863.15</v>
      </c>
      <c r="M54" s="3"/>
      <c r="N54" s="20">
        <f t="shared" si="1"/>
        <v>0</v>
      </c>
      <c r="O54" s="12"/>
      <c r="P54" s="3">
        <f>-90146.27</f>
        <v>-90146.27</v>
      </c>
      <c r="Q54" s="3"/>
      <c r="R54" s="20"/>
      <c r="S54" s="3"/>
      <c r="T54" s="3">
        <f>0</f>
        <v>0</v>
      </c>
      <c r="U54" s="3"/>
      <c r="V54" s="20"/>
      <c r="W54" s="3"/>
      <c r="X54" s="3">
        <f t="shared" si="2"/>
        <v>-90146.27</v>
      </c>
      <c r="Y54" s="3"/>
      <c r="Z54" s="20">
        <f t="shared" si="3"/>
        <v>0</v>
      </c>
    </row>
    <row r="55" spans="1:26" ht="15" customHeight="1" x14ac:dyDescent="0.3">
      <c r="A55" s="10"/>
      <c r="B55" s="11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2" customFormat="1" ht="15" customHeight="1" collapsed="1" x14ac:dyDescent="0.3">
      <c r="A56" s="11"/>
      <c r="B56" s="27" t="s">
        <v>287</v>
      </c>
      <c r="C56" s="11"/>
      <c r="D56" s="5">
        <f>SUM(OSRRefD16x_0)</f>
        <v>310892.98</v>
      </c>
      <c r="E56" s="5"/>
      <c r="F56" s="13">
        <f t="shared" ref="F56:F81" si="4">IF(D$12=0,0,D56/D$12)</f>
        <v>0.44031896808771093</v>
      </c>
      <c r="G56" s="5"/>
      <c r="H56" s="5">
        <f>SUM(OSRRefH16x_0)</f>
        <v>174459</v>
      </c>
      <c r="I56" s="5"/>
      <c r="J56" s="13">
        <f t="shared" ref="J56:J81" si="5">IF(H$12=0,0,H56/H$12)</f>
        <v>0.47654190844901712</v>
      </c>
      <c r="K56" s="5"/>
      <c r="L56" s="5">
        <f t="shared" ref="L56:L81" si="6">+D56-H56</f>
        <v>136433.97999999998</v>
      </c>
      <c r="M56" s="5"/>
      <c r="N56" s="13">
        <f t="shared" ref="N56:N81" si="7">IF(H56=0,0,L56/H56)</f>
        <v>0.78204036478484906</v>
      </c>
      <c r="O56" s="11"/>
      <c r="P56" s="5">
        <f>SUM(OSRRefP16x_0)</f>
        <v>1737833.0600000003</v>
      </c>
      <c r="Q56" s="5"/>
      <c r="R56" s="13">
        <f t="shared" ref="R56:R81" si="8">IF(P$12=0,0,P56/P$12)</f>
        <v>0.46951658224669846</v>
      </c>
      <c r="S56" s="5"/>
      <c r="T56" s="5">
        <f>SUM(OSRRefT16x_0)</f>
        <v>915315.54000000015</v>
      </c>
      <c r="U56" s="5"/>
      <c r="V56" s="13">
        <f t="shared" ref="V56:V81" si="9">IF(T$12=0,0,T56/T$12)</f>
        <v>0.55959031616939703</v>
      </c>
      <c r="W56" s="5"/>
      <c r="X56" s="5">
        <f t="shared" ref="X56:X81" si="10">+P56-T56</f>
        <v>822517.52000000014</v>
      </c>
      <c r="Y56" s="5"/>
      <c r="Z56" s="13">
        <f t="shared" ref="Z56:Z81" si="11">IF(T56=0,0,X56/T56)</f>
        <v>0.89861636130421207</v>
      </c>
    </row>
    <row r="57" spans="1:26" s="69" customFormat="1" ht="15" hidden="1" customHeight="1" outlineLevel="1" x14ac:dyDescent="0.3">
      <c r="A57" s="42"/>
      <c r="B57" s="12" t="str">
        <f>CONCATENATE("          ","5000"," - ","PURCHASES @ COST")</f>
        <v xml:space="preserve">          5000 - PURCHASES @ COST</v>
      </c>
      <c r="C57" s="12"/>
      <c r="D57" s="3">
        <v>324756.86</v>
      </c>
      <c r="E57" s="3"/>
      <c r="F57" s="20">
        <f t="shared" si="4"/>
        <v>0.45995443665085395</v>
      </c>
      <c r="G57" s="3"/>
      <c r="H57" s="3"/>
      <c r="I57" s="3"/>
      <c r="J57" s="20">
        <f t="shared" si="5"/>
        <v>0</v>
      </c>
      <c r="K57" s="3"/>
      <c r="L57" s="3">
        <f t="shared" si="6"/>
        <v>324756.86</v>
      </c>
      <c r="M57" s="3"/>
      <c r="N57" s="20">
        <f t="shared" si="7"/>
        <v>0</v>
      </c>
      <c r="O57" s="12"/>
      <c r="P57" s="3">
        <v>2105977.2400000002</v>
      </c>
      <c r="Q57" s="3"/>
      <c r="R57" s="20">
        <f t="shared" si="8"/>
        <v>0.56897941394562657</v>
      </c>
      <c r="S57" s="3"/>
      <c r="T57" s="3"/>
      <c r="U57" s="3"/>
      <c r="V57" s="20">
        <f t="shared" si="9"/>
        <v>0</v>
      </c>
      <c r="W57" s="3"/>
      <c r="X57" s="3">
        <f t="shared" si="10"/>
        <v>2105977.2400000002</v>
      </c>
      <c r="Y57" s="3"/>
      <c r="Z57" s="20">
        <f t="shared" si="11"/>
        <v>0</v>
      </c>
    </row>
    <row r="58" spans="1:26" s="69" customFormat="1" ht="15" hidden="1" customHeight="1" outlineLevel="1" x14ac:dyDescent="0.3">
      <c r="A58" s="42"/>
      <c r="B58" s="12" t="str">
        <f>CONCATENATE("          ","5025"," - ","PURCHASES @ COST-TEST FORMS")</f>
        <v xml:space="preserve">          5025 - PURCHASES @ COST-TEST FORMS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/>
      <c r="Q58" s="3"/>
      <c r="R58" s="20">
        <f t="shared" si="8"/>
        <v>0</v>
      </c>
      <c r="S58" s="3"/>
      <c r="T58" s="3">
        <v>599.29</v>
      </c>
      <c r="U58" s="3"/>
      <c r="V58" s="20">
        <f t="shared" si="9"/>
        <v>3.6638390360679097E-4</v>
      </c>
      <c r="W58" s="3"/>
      <c r="X58" s="3">
        <f t="shared" si="10"/>
        <v>-599.29</v>
      </c>
      <c r="Y58" s="3"/>
      <c r="Z58" s="20">
        <f t="shared" si="11"/>
        <v>-1</v>
      </c>
    </row>
    <row r="59" spans="1:26" s="69" customFormat="1" ht="15" hidden="1" customHeight="1" outlineLevel="1" x14ac:dyDescent="0.3">
      <c r="A59" s="42"/>
      <c r="B59" s="12" t="str">
        <f>CONCATENATE("          ","5026"," - ","PURCHASES @ COST-WRITING INSTR")</f>
        <v xml:space="preserve">          5026 - PURCHASES @ COST-WRITING INSTR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/>
      <c r="Q59" s="3"/>
      <c r="R59" s="20">
        <f t="shared" si="8"/>
        <v>0</v>
      </c>
      <c r="S59" s="3"/>
      <c r="T59" s="3">
        <v>219.64</v>
      </c>
      <c r="U59" s="3"/>
      <c r="V59" s="20">
        <f t="shared" si="9"/>
        <v>1.3427983211499538E-4</v>
      </c>
      <c r="W59" s="3"/>
      <c r="X59" s="3">
        <f t="shared" si="10"/>
        <v>-219.64</v>
      </c>
      <c r="Y59" s="3"/>
      <c r="Z59" s="20">
        <f t="shared" si="11"/>
        <v>-1</v>
      </c>
    </row>
    <row r="60" spans="1:26" s="69" customFormat="1" ht="15" hidden="1" customHeight="1" outlineLevel="1" x14ac:dyDescent="0.3">
      <c r="A60" s="42"/>
      <c r="B60" s="12" t="str">
        <f>CONCATENATE("          ","5027"," - ","PURCHASES @ COST-SCHOOL SUPPLI")</f>
        <v xml:space="preserve">          5027 - PURCHASES @ COST-SCHOOL SUPPLI</v>
      </c>
      <c r="C60" s="12"/>
      <c r="D60" s="3"/>
      <c r="E60" s="3"/>
      <c r="F60" s="20">
        <f t="shared" si="4"/>
        <v>0</v>
      </c>
      <c r="G60" s="3"/>
      <c r="H60" s="3">
        <v>1838.72</v>
      </c>
      <c r="I60" s="3"/>
      <c r="J60" s="20">
        <f t="shared" si="5"/>
        <v>5.0225390372716609E-3</v>
      </c>
      <c r="K60" s="3"/>
      <c r="L60" s="3">
        <f t="shared" si="6"/>
        <v>-1838.72</v>
      </c>
      <c r="M60" s="3"/>
      <c r="N60" s="20">
        <f t="shared" si="7"/>
        <v>-1</v>
      </c>
      <c r="O60" s="12"/>
      <c r="P60" s="3">
        <v>0</v>
      </c>
      <c r="Q60" s="3"/>
      <c r="R60" s="20">
        <f t="shared" si="8"/>
        <v>0</v>
      </c>
      <c r="S60" s="3"/>
      <c r="T60" s="3">
        <v>22839.13</v>
      </c>
      <c r="U60" s="3"/>
      <c r="V60" s="20">
        <f t="shared" si="9"/>
        <v>1.3963005563888884E-2</v>
      </c>
      <c r="W60" s="3"/>
      <c r="X60" s="3">
        <f t="shared" si="10"/>
        <v>-22839.13</v>
      </c>
      <c r="Y60" s="3"/>
      <c r="Z60" s="20">
        <f t="shared" si="11"/>
        <v>-1</v>
      </c>
    </row>
    <row r="61" spans="1:26" s="69" customFormat="1" ht="15" hidden="1" customHeight="1" outlineLevel="1" x14ac:dyDescent="0.3">
      <c r="A61" s="42"/>
      <c r="B61" s="12" t="str">
        <f>CONCATENATE("          ","5028"," - ","PURCHASES @ COST-ART/TECH")</f>
        <v xml:space="preserve">          5028 - PURCHASES @ COST-ART/TECH</v>
      </c>
      <c r="C61" s="12"/>
      <c r="D61" s="3"/>
      <c r="E61" s="3"/>
      <c r="F61" s="20">
        <f t="shared" si="4"/>
        <v>0</v>
      </c>
      <c r="G61" s="3"/>
      <c r="H61" s="3">
        <v>1371.26</v>
      </c>
      <c r="I61" s="3"/>
      <c r="J61" s="20">
        <f t="shared" si="5"/>
        <v>3.7456528891017327E-3</v>
      </c>
      <c r="K61" s="3"/>
      <c r="L61" s="3">
        <f t="shared" si="6"/>
        <v>-1371.26</v>
      </c>
      <c r="M61" s="3"/>
      <c r="N61" s="20">
        <f t="shared" si="7"/>
        <v>-1</v>
      </c>
      <c r="O61" s="12"/>
      <c r="P61" s="3">
        <v>0</v>
      </c>
      <c r="Q61" s="3"/>
      <c r="R61" s="20">
        <f t="shared" si="8"/>
        <v>0</v>
      </c>
      <c r="S61" s="3"/>
      <c r="T61" s="3">
        <v>5564.77</v>
      </c>
      <c r="U61" s="3"/>
      <c r="V61" s="20">
        <f t="shared" si="9"/>
        <v>3.4020960724757006E-3</v>
      </c>
      <c r="W61" s="3"/>
      <c r="X61" s="3">
        <f t="shared" si="10"/>
        <v>-5564.77</v>
      </c>
      <c r="Y61" s="3"/>
      <c r="Z61" s="20">
        <f t="shared" si="11"/>
        <v>-1</v>
      </c>
    </row>
    <row r="62" spans="1:26" s="69" customFormat="1" ht="15" hidden="1" customHeight="1" outlineLevel="1" x14ac:dyDescent="0.3">
      <c r="A62" s="42"/>
      <c r="B62" s="12" t="str">
        <f>CONCATENATE("          ","5031"," - ","PURCHASES @ COST-FOOD")</f>
        <v xml:space="preserve">          5031 - PURCHASES @ COST-FOOD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>
        <v>5344.15</v>
      </c>
      <c r="U62" s="3"/>
      <c r="V62" s="20">
        <f t="shared" si="9"/>
        <v>3.267217104340523E-3</v>
      </c>
      <c r="W62" s="3"/>
      <c r="X62" s="3">
        <f t="shared" si="10"/>
        <v>-5344.15</v>
      </c>
      <c r="Y62" s="3"/>
      <c r="Z62" s="20">
        <f t="shared" si="11"/>
        <v>-1</v>
      </c>
    </row>
    <row r="63" spans="1:26" s="69" customFormat="1" ht="15" hidden="1" customHeight="1" outlineLevel="1" x14ac:dyDescent="0.3">
      <c r="A63" s="42"/>
      <c r="B63" s="12" t="str">
        <f>CONCATENATE("          ","5040"," - ","PURCHASES @ COST-LOGO CLOTHING")</f>
        <v xml:space="preserve">          5040 - PURCHASES @ COST-LOGO CLOTHING</v>
      </c>
      <c r="C63" s="12"/>
      <c r="D63" s="3"/>
      <c r="E63" s="3"/>
      <c r="F63" s="20">
        <f t="shared" si="4"/>
        <v>0</v>
      </c>
      <c r="G63" s="3"/>
      <c r="H63" s="3">
        <v>39218.65</v>
      </c>
      <c r="I63" s="3"/>
      <c r="J63" s="20">
        <f t="shared" si="5"/>
        <v>0.10712734979447346</v>
      </c>
      <c r="K63" s="3"/>
      <c r="L63" s="3">
        <f t="shared" si="6"/>
        <v>-39218.65</v>
      </c>
      <c r="M63" s="3"/>
      <c r="N63" s="20">
        <f t="shared" si="7"/>
        <v>-1</v>
      </c>
      <c r="O63" s="12"/>
      <c r="P63" s="3">
        <v>0</v>
      </c>
      <c r="Q63" s="3"/>
      <c r="R63" s="20">
        <f t="shared" si="8"/>
        <v>0</v>
      </c>
      <c r="S63" s="3"/>
      <c r="T63" s="3">
        <v>279090.25</v>
      </c>
      <c r="U63" s="3"/>
      <c r="V63" s="20">
        <f t="shared" si="9"/>
        <v>0.17062553230255004</v>
      </c>
      <c r="W63" s="3"/>
      <c r="X63" s="3">
        <f t="shared" si="10"/>
        <v>-279090.25</v>
      </c>
      <c r="Y63" s="3"/>
      <c r="Z63" s="20">
        <f t="shared" si="11"/>
        <v>-1</v>
      </c>
    </row>
    <row r="64" spans="1:26" s="69" customFormat="1" ht="15" hidden="1" customHeight="1" outlineLevel="1" x14ac:dyDescent="0.3">
      <c r="A64" s="42"/>
      <c r="B64" s="12" t="str">
        <f>CONCATENATE("          ","5041"," - ","PURCHASES @ COST-LOGO GIFTS")</f>
        <v xml:space="preserve">          5041 - PURCHASES @ COST-LOGO GIFTS</v>
      </c>
      <c r="C64" s="12"/>
      <c r="D64" s="3"/>
      <c r="E64" s="3"/>
      <c r="F64" s="20">
        <f t="shared" si="4"/>
        <v>0</v>
      </c>
      <c r="G64" s="3"/>
      <c r="H64" s="3">
        <v>15798.51</v>
      </c>
      <c r="I64" s="3"/>
      <c r="J64" s="20">
        <f t="shared" si="5"/>
        <v>4.3154277544012527E-2</v>
      </c>
      <c r="K64" s="3"/>
      <c r="L64" s="3">
        <f t="shared" si="6"/>
        <v>-15798.51</v>
      </c>
      <c r="M64" s="3"/>
      <c r="N64" s="20">
        <f t="shared" si="7"/>
        <v>-1</v>
      </c>
      <c r="O64" s="12"/>
      <c r="P64" s="3">
        <v>0</v>
      </c>
      <c r="Q64" s="3"/>
      <c r="R64" s="20">
        <f t="shared" si="8"/>
        <v>0</v>
      </c>
      <c r="S64" s="3"/>
      <c r="T64" s="3">
        <v>84054.35</v>
      </c>
      <c r="U64" s="3"/>
      <c r="V64" s="20">
        <f t="shared" si="9"/>
        <v>5.1387743610157813E-2</v>
      </c>
      <c r="W64" s="3"/>
      <c r="X64" s="3">
        <f t="shared" si="10"/>
        <v>-84054.35</v>
      </c>
      <c r="Y64" s="3"/>
      <c r="Z64" s="20">
        <f t="shared" si="11"/>
        <v>-1</v>
      </c>
    </row>
    <row r="65" spans="1:26" s="69" customFormat="1" ht="15" hidden="1" customHeight="1" outlineLevel="1" x14ac:dyDescent="0.3">
      <c r="A65" s="42"/>
      <c r="B65" s="12" t="str">
        <f>CONCATENATE("          ","5042"," - ","PURCHASES @ COST-EVERYDAY GIFT")</f>
        <v xml:space="preserve">          5042 - PURCHASES @ COST-EVERYDAY GIFT</v>
      </c>
      <c r="C65" s="12"/>
      <c r="D65" s="3"/>
      <c r="E65" s="3"/>
      <c r="F65" s="20">
        <f t="shared" si="4"/>
        <v>0</v>
      </c>
      <c r="G65" s="3"/>
      <c r="H65" s="3"/>
      <c r="I65" s="3"/>
      <c r="J65" s="20">
        <f t="shared" si="5"/>
        <v>0</v>
      </c>
      <c r="K65" s="3"/>
      <c r="L65" s="3">
        <f t="shared" si="6"/>
        <v>0</v>
      </c>
      <c r="M65" s="3"/>
      <c r="N65" s="20">
        <f t="shared" si="7"/>
        <v>0</v>
      </c>
      <c r="O65" s="12"/>
      <c r="P65" s="3">
        <v>0</v>
      </c>
      <c r="Q65" s="3"/>
      <c r="R65" s="20">
        <f t="shared" si="8"/>
        <v>0</v>
      </c>
      <c r="S65" s="3"/>
      <c r="T65" s="3">
        <v>10802.14</v>
      </c>
      <c r="U65" s="3"/>
      <c r="V65" s="20">
        <f t="shared" si="9"/>
        <v>6.6040318051478605E-3</v>
      </c>
      <c r="W65" s="3"/>
      <c r="X65" s="3">
        <f t="shared" si="10"/>
        <v>-10802.14</v>
      </c>
      <c r="Y65" s="3"/>
      <c r="Z65" s="20">
        <f t="shared" si="11"/>
        <v>-1</v>
      </c>
    </row>
    <row r="66" spans="1:26" s="69" customFormat="1" ht="15" hidden="1" customHeight="1" outlineLevel="1" x14ac:dyDescent="0.3">
      <c r="A66" s="42"/>
      <c r="B66" s="12" t="str">
        <f>CONCATENATE("          ","5043"," - ","PURCHASES @ COST-CARDS")</f>
        <v xml:space="preserve">          5043 - PURCHASES @ COST-CARDS</v>
      </c>
      <c r="C66" s="12"/>
      <c r="D66" s="3"/>
      <c r="E66" s="3"/>
      <c r="F66" s="20">
        <f t="shared" si="4"/>
        <v>0</v>
      </c>
      <c r="G66" s="3"/>
      <c r="H66" s="3">
        <v>41</v>
      </c>
      <c r="I66" s="3"/>
      <c r="J66" s="20">
        <f t="shared" si="5"/>
        <v>1.1199318032551889E-4</v>
      </c>
      <c r="K66" s="3"/>
      <c r="L66" s="3">
        <f t="shared" si="6"/>
        <v>-41</v>
      </c>
      <c r="M66" s="3"/>
      <c r="N66" s="20">
        <f t="shared" si="7"/>
        <v>-1</v>
      </c>
      <c r="O66" s="12"/>
      <c r="P66" s="3">
        <v>0</v>
      </c>
      <c r="Q66" s="3"/>
      <c r="R66" s="20">
        <f t="shared" si="8"/>
        <v>0</v>
      </c>
      <c r="S66" s="3"/>
      <c r="T66" s="3">
        <v>55405.33</v>
      </c>
      <c r="U66" s="3"/>
      <c r="V66" s="20">
        <f t="shared" si="9"/>
        <v>3.3872784605153507E-2</v>
      </c>
      <c r="W66" s="3"/>
      <c r="X66" s="3">
        <f t="shared" si="10"/>
        <v>-55405.33</v>
      </c>
      <c r="Y66" s="3"/>
      <c r="Z66" s="20">
        <f t="shared" si="11"/>
        <v>-1</v>
      </c>
    </row>
    <row r="67" spans="1:26" s="69" customFormat="1" ht="15" hidden="1" customHeight="1" outlineLevel="1" x14ac:dyDescent="0.3">
      <c r="A67" s="42"/>
      <c r="B67" s="12" t="str">
        <f>CONCATENATE("          ","5044"," - ","PURCHASES @ COST-ACCESSORIES")</f>
        <v xml:space="preserve">          5044 - PURCHASES @ COST-ACCESSORIES</v>
      </c>
      <c r="C67" s="12"/>
      <c r="D67" s="3"/>
      <c r="E67" s="3"/>
      <c r="F67" s="20">
        <f t="shared" si="4"/>
        <v>0</v>
      </c>
      <c r="G67" s="3"/>
      <c r="H67" s="3">
        <v>1490.88</v>
      </c>
      <c r="I67" s="3"/>
      <c r="J67" s="20">
        <f t="shared" si="5"/>
        <v>4.0723998215538935E-3</v>
      </c>
      <c r="K67" s="3"/>
      <c r="L67" s="3">
        <f t="shared" si="6"/>
        <v>-1490.88</v>
      </c>
      <c r="M67" s="3"/>
      <c r="N67" s="20">
        <f t="shared" si="7"/>
        <v>-1</v>
      </c>
      <c r="O67" s="12"/>
      <c r="P67" s="3">
        <v>0</v>
      </c>
      <c r="Q67" s="3"/>
      <c r="R67" s="20">
        <f t="shared" si="8"/>
        <v>0</v>
      </c>
      <c r="S67" s="3"/>
      <c r="T67" s="3">
        <v>2555.71</v>
      </c>
      <c r="U67" s="3"/>
      <c r="V67" s="20">
        <f t="shared" si="9"/>
        <v>1.5624672634065508E-3</v>
      </c>
      <c r="W67" s="3"/>
      <c r="X67" s="3">
        <f t="shared" si="10"/>
        <v>-2555.71</v>
      </c>
      <c r="Y67" s="3"/>
      <c r="Z67" s="20">
        <f t="shared" si="11"/>
        <v>-1</v>
      </c>
    </row>
    <row r="68" spans="1:26" s="69" customFormat="1" ht="15" hidden="1" customHeight="1" outlineLevel="1" x14ac:dyDescent="0.3">
      <c r="A68" s="42"/>
      <c r="B68" s="12" t="str">
        <f>CONCATENATE("          ","5045"," - ","PURCHASES @ COST-SPECIAL ORDER")</f>
        <v xml:space="preserve">          5045 - PURCHASES @ COST-SPECIAL ORDER</v>
      </c>
      <c r="C68" s="12"/>
      <c r="D68" s="3"/>
      <c r="E68" s="3"/>
      <c r="F68" s="20">
        <f t="shared" si="4"/>
        <v>0</v>
      </c>
      <c r="G68" s="3"/>
      <c r="H68" s="3">
        <v>5771.38</v>
      </c>
      <c r="I68" s="3"/>
      <c r="J68" s="20">
        <f t="shared" si="5"/>
        <v>1.5764761001636422E-2</v>
      </c>
      <c r="K68" s="3"/>
      <c r="L68" s="3">
        <f t="shared" si="6"/>
        <v>-5771.38</v>
      </c>
      <c r="M68" s="3"/>
      <c r="N68" s="20">
        <f t="shared" si="7"/>
        <v>-1</v>
      </c>
      <c r="O68" s="12"/>
      <c r="P68" s="3">
        <v>0</v>
      </c>
      <c r="Q68" s="3"/>
      <c r="R68" s="20">
        <f t="shared" si="8"/>
        <v>0</v>
      </c>
      <c r="S68" s="3"/>
      <c r="T68" s="3">
        <v>114998.07</v>
      </c>
      <c r="U68" s="3"/>
      <c r="V68" s="20">
        <f t="shared" si="9"/>
        <v>7.0305597947316001E-2</v>
      </c>
      <c r="W68" s="3"/>
      <c r="X68" s="3">
        <f t="shared" si="10"/>
        <v>-114998.07</v>
      </c>
      <c r="Y68" s="3"/>
      <c r="Z68" s="20">
        <f t="shared" si="11"/>
        <v>-1</v>
      </c>
    </row>
    <row r="69" spans="1:26" s="69" customFormat="1" ht="15" hidden="1" customHeight="1" outlineLevel="1" x14ac:dyDescent="0.3">
      <c r="A69" s="42"/>
      <c r="B69" s="12" t="str">
        <f>CONCATENATE("          ","5200"," - ","PURCHASES OFFSET")</f>
        <v xml:space="preserve">          5200 - PURCHASES OFFSET</v>
      </c>
      <c r="C69" s="12"/>
      <c r="D69" s="3">
        <v>-357289.81</v>
      </c>
      <c r="E69" s="3"/>
      <c r="F69" s="20">
        <f t="shared" si="4"/>
        <v>-0.5060309835476321</v>
      </c>
      <c r="G69" s="3"/>
      <c r="H69" s="3">
        <v>-70754.37</v>
      </c>
      <c r="I69" s="3"/>
      <c r="J69" s="20">
        <f t="shared" si="5"/>
        <v>-0.19326846142020693</v>
      </c>
      <c r="K69" s="3"/>
      <c r="L69" s="3">
        <f t="shared" si="6"/>
        <v>-286535.44</v>
      </c>
      <c r="M69" s="3"/>
      <c r="N69" s="20">
        <f t="shared" si="7"/>
        <v>4.0497207451638682</v>
      </c>
      <c r="O69" s="12"/>
      <c r="P69" s="3">
        <v>-2211728.83</v>
      </c>
      <c r="Q69" s="3"/>
      <c r="R69" s="20">
        <f t="shared" si="8"/>
        <v>-0.59755069978821151</v>
      </c>
      <c r="S69" s="3"/>
      <c r="T69" s="3">
        <v>-606458.98</v>
      </c>
      <c r="U69" s="3"/>
      <c r="V69" s="20">
        <f t="shared" si="9"/>
        <v>-0.37076675477613974</v>
      </c>
      <c r="W69" s="3"/>
      <c r="X69" s="3">
        <f t="shared" si="10"/>
        <v>-1605269.85</v>
      </c>
      <c r="Y69" s="3"/>
      <c r="Z69" s="20">
        <f t="shared" si="11"/>
        <v>2.646955363741172</v>
      </c>
    </row>
    <row r="70" spans="1:26" s="69" customFormat="1" ht="15" hidden="1" customHeight="1" outlineLevel="1" x14ac:dyDescent="0.3">
      <c r="A70" s="42"/>
      <c r="B70" s="12" t="str">
        <f>CONCATENATE("          ","5300"," - ","COG$ OFFSET")</f>
        <v xml:space="preserve">          5300 - COG$ OFFSET</v>
      </c>
      <c r="C70" s="12"/>
      <c r="D70" s="3">
        <v>310892.98</v>
      </c>
      <c r="E70" s="3"/>
      <c r="F70" s="20">
        <f t="shared" si="4"/>
        <v>0.44031896808771093</v>
      </c>
      <c r="G70" s="3"/>
      <c r="H70" s="3">
        <v>174459</v>
      </c>
      <c r="I70" s="3"/>
      <c r="J70" s="20">
        <f t="shared" si="5"/>
        <v>0.47654190844901712</v>
      </c>
      <c r="K70" s="3"/>
      <c r="L70" s="3">
        <f t="shared" si="6"/>
        <v>136433.97999999998</v>
      </c>
      <c r="M70" s="3"/>
      <c r="N70" s="20">
        <f t="shared" si="7"/>
        <v>0.78204036478484906</v>
      </c>
      <c r="O70" s="12"/>
      <c r="P70" s="3">
        <v>1740833.06</v>
      </c>
      <c r="Q70" s="3"/>
      <c r="R70" s="20">
        <f t="shared" si="8"/>
        <v>0.47032710299184988</v>
      </c>
      <c r="S70" s="3"/>
      <c r="T70" s="3">
        <v>914399</v>
      </c>
      <c r="U70" s="3"/>
      <c r="V70" s="20">
        <f t="shared" si="9"/>
        <v>0.55902997726333847</v>
      </c>
      <c r="W70" s="3"/>
      <c r="X70" s="3">
        <f t="shared" si="10"/>
        <v>826434.06</v>
      </c>
      <c r="Y70" s="3"/>
      <c r="Z70" s="20">
        <f t="shared" si="11"/>
        <v>0.90380026662321378</v>
      </c>
    </row>
    <row r="71" spans="1:26" s="69" customFormat="1" ht="15" hidden="1" customHeight="1" outlineLevel="1" x14ac:dyDescent="0.3">
      <c r="A71" s="42"/>
      <c r="B71" s="12" t="str">
        <f>CONCATENATE("          ","5500"," - ","FREIGHT-IN")</f>
        <v xml:space="preserve">          5500 - FREIGHT-IN</v>
      </c>
      <c r="C71" s="12"/>
      <c r="D71" s="3">
        <v>32532.95</v>
      </c>
      <c r="E71" s="3"/>
      <c r="F71" s="20">
        <f t="shared" si="4"/>
        <v>4.6076546896778099E-2</v>
      </c>
      <c r="G71" s="3"/>
      <c r="H71" s="3"/>
      <c r="I71" s="3"/>
      <c r="J71" s="20">
        <f t="shared" si="5"/>
        <v>0</v>
      </c>
      <c r="K71" s="3"/>
      <c r="L71" s="3">
        <f t="shared" si="6"/>
        <v>32532.95</v>
      </c>
      <c r="M71" s="3"/>
      <c r="N71" s="20">
        <f t="shared" si="7"/>
        <v>0</v>
      </c>
      <c r="O71" s="12"/>
      <c r="P71" s="3">
        <v>102751.59</v>
      </c>
      <c r="Q71" s="3"/>
      <c r="R71" s="20">
        <f t="shared" si="8"/>
        <v>2.7760765097433485E-2</v>
      </c>
      <c r="S71" s="3"/>
      <c r="T71" s="3"/>
      <c r="U71" s="3"/>
      <c r="V71" s="20">
        <f t="shared" si="9"/>
        <v>0</v>
      </c>
      <c r="W71" s="3"/>
      <c r="X71" s="3">
        <f t="shared" si="10"/>
        <v>102751.59</v>
      </c>
      <c r="Y71" s="3"/>
      <c r="Z71" s="20">
        <f t="shared" si="11"/>
        <v>0</v>
      </c>
    </row>
    <row r="72" spans="1:26" s="69" customFormat="1" ht="15" hidden="1" customHeight="1" outlineLevel="1" x14ac:dyDescent="0.3">
      <c r="A72" s="42"/>
      <c r="B72" s="12" t="str">
        <f>CONCATENATE("          ","5525"," - ","FREIGHT-IN-TEST FORMS")</f>
        <v xml:space="preserve">          5525 - FREIGHT-IN-TEST FORMS</v>
      </c>
      <c r="C72" s="12"/>
      <c r="D72" s="3"/>
      <c r="E72" s="3"/>
      <c r="F72" s="20">
        <f t="shared" si="4"/>
        <v>0</v>
      </c>
      <c r="G72" s="3"/>
      <c r="H72" s="3"/>
      <c r="I72" s="3"/>
      <c r="J72" s="20">
        <f t="shared" si="5"/>
        <v>0</v>
      </c>
      <c r="K72" s="3"/>
      <c r="L72" s="3">
        <f t="shared" si="6"/>
        <v>0</v>
      </c>
      <c r="M72" s="3"/>
      <c r="N72" s="20">
        <f t="shared" si="7"/>
        <v>0</v>
      </c>
      <c r="O72" s="12"/>
      <c r="P72" s="3"/>
      <c r="Q72" s="3"/>
      <c r="R72" s="20">
        <f t="shared" si="8"/>
        <v>0</v>
      </c>
      <c r="S72" s="3"/>
      <c r="T72" s="3">
        <v>48.14</v>
      </c>
      <c r="U72" s="3"/>
      <c r="V72" s="20">
        <f t="shared" si="9"/>
        <v>2.943102858320833E-5</v>
      </c>
      <c r="W72" s="3"/>
      <c r="X72" s="3">
        <f t="shared" si="10"/>
        <v>-48.14</v>
      </c>
      <c r="Y72" s="3"/>
      <c r="Z72" s="20">
        <f t="shared" si="11"/>
        <v>-1</v>
      </c>
    </row>
    <row r="73" spans="1:26" s="69" customFormat="1" ht="15" hidden="1" customHeight="1" outlineLevel="1" x14ac:dyDescent="0.3">
      <c r="A73" s="42"/>
      <c r="B73" s="12" t="str">
        <f>CONCATENATE("          ","5526"," - ","FREIGHT-IN-WRITING INSTRUMENTS")</f>
        <v xml:space="preserve">          5526 - FREIGHT-IN-WRITING INSTRUMENTS</v>
      </c>
      <c r="C73" s="12"/>
      <c r="D73" s="3"/>
      <c r="E73" s="3"/>
      <c r="F73" s="20">
        <f t="shared" si="4"/>
        <v>0</v>
      </c>
      <c r="G73" s="3"/>
      <c r="H73" s="3"/>
      <c r="I73" s="3"/>
      <c r="J73" s="20">
        <f t="shared" si="5"/>
        <v>0</v>
      </c>
      <c r="K73" s="3"/>
      <c r="L73" s="3">
        <f t="shared" si="6"/>
        <v>0</v>
      </c>
      <c r="M73" s="3"/>
      <c r="N73" s="20">
        <f t="shared" si="7"/>
        <v>0</v>
      </c>
      <c r="O73" s="12"/>
      <c r="P73" s="3"/>
      <c r="Q73" s="3"/>
      <c r="R73" s="20">
        <f t="shared" si="8"/>
        <v>0</v>
      </c>
      <c r="S73" s="3"/>
      <c r="T73" s="3">
        <v>0</v>
      </c>
      <c r="U73" s="3"/>
      <c r="V73" s="20">
        <f t="shared" si="9"/>
        <v>0</v>
      </c>
      <c r="W73" s="3"/>
      <c r="X73" s="3">
        <f t="shared" si="10"/>
        <v>0</v>
      </c>
      <c r="Y73" s="3"/>
      <c r="Z73" s="20">
        <f t="shared" si="11"/>
        <v>0</v>
      </c>
    </row>
    <row r="74" spans="1:26" s="69" customFormat="1" ht="15" hidden="1" customHeight="1" outlineLevel="1" x14ac:dyDescent="0.3">
      <c r="A74" s="42"/>
      <c r="B74" s="12" t="str">
        <f>CONCATENATE("          ","5527"," - ","FREIGHT-IN-SCHOOL SUPPLIES")</f>
        <v xml:space="preserve">          5527 - FREIGHT-IN-SCHOOL SUPPLIES</v>
      </c>
      <c r="C74" s="12"/>
      <c r="D74" s="3"/>
      <c r="E74" s="3"/>
      <c r="F74" s="20">
        <f t="shared" si="4"/>
        <v>0</v>
      </c>
      <c r="G74" s="3"/>
      <c r="H74" s="3"/>
      <c r="I74" s="3"/>
      <c r="J74" s="20">
        <f t="shared" si="5"/>
        <v>0</v>
      </c>
      <c r="K74" s="3"/>
      <c r="L74" s="3">
        <f t="shared" si="6"/>
        <v>0</v>
      </c>
      <c r="M74" s="3"/>
      <c r="N74" s="20">
        <f t="shared" si="7"/>
        <v>0</v>
      </c>
      <c r="O74" s="12"/>
      <c r="P74" s="3">
        <v>0</v>
      </c>
      <c r="Q74" s="3"/>
      <c r="R74" s="20">
        <f t="shared" si="8"/>
        <v>0</v>
      </c>
      <c r="S74" s="3"/>
      <c r="T74" s="3">
        <v>218.62</v>
      </c>
      <c r="U74" s="3"/>
      <c r="V74" s="20">
        <f t="shared" si="9"/>
        <v>1.3365624156337776E-4</v>
      </c>
      <c r="W74" s="3"/>
      <c r="X74" s="3">
        <f t="shared" si="10"/>
        <v>-218.62</v>
      </c>
      <c r="Y74" s="3"/>
      <c r="Z74" s="20">
        <f t="shared" si="11"/>
        <v>-1</v>
      </c>
    </row>
    <row r="75" spans="1:26" s="69" customFormat="1" ht="15" hidden="1" customHeight="1" outlineLevel="1" x14ac:dyDescent="0.3">
      <c r="A75" s="42"/>
      <c r="B75" s="12" t="str">
        <f>CONCATENATE("          ","5528"," - ","FREIGHT-IN-ART/TECH")</f>
        <v xml:space="preserve">          5528 - FREIGHT-IN-ART/TECH</v>
      </c>
      <c r="C75" s="12"/>
      <c r="D75" s="3"/>
      <c r="E75" s="3"/>
      <c r="F75" s="20">
        <f t="shared" si="4"/>
        <v>0</v>
      </c>
      <c r="G75" s="3"/>
      <c r="H75" s="3">
        <v>69.73</v>
      </c>
      <c r="I75" s="3"/>
      <c r="J75" s="20">
        <f t="shared" si="5"/>
        <v>1.9047035278288861E-4</v>
      </c>
      <c r="K75" s="3"/>
      <c r="L75" s="3">
        <f t="shared" si="6"/>
        <v>-69.73</v>
      </c>
      <c r="M75" s="3"/>
      <c r="N75" s="20">
        <f t="shared" si="7"/>
        <v>-1</v>
      </c>
      <c r="O75" s="12"/>
      <c r="P75" s="3"/>
      <c r="Q75" s="3"/>
      <c r="R75" s="20">
        <f t="shared" si="8"/>
        <v>0</v>
      </c>
      <c r="S75" s="3"/>
      <c r="T75" s="3">
        <v>176.91</v>
      </c>
      <c r="U75" s="3"/>
      <c r="V75" s="20">
        <f t="shared" si="9"/>
        <v>1.0815627890850405E-4</v>
      </c>
      <c r="W75" s="3"/>
      <c r="X75" s="3">
        <f t="shared" si="10"/>
        <v>-176.91</v>
      </c>
      <c r="Y75" s="3"/>
      <c r="Z75" s="20">
        <f t="shared" si="11"/>
        <v>-1</v>
      </c>
    </row>
    <row r="76" spans="1:26" s="69" customFormat="1" ht="15" hidden="1" customHeight="1" outlineLevel="1" x14ac:dyDescent="0.3">
      <c r="A76" s="42"/>
      <c r="B76" s="12" t="str">
        <f>CONCATENATE("          ","5540"," - ","FREIGHT-IN-LOGO CLOTHING")</f>
        <v xml:space="preserve">          5540 - FREIGHT-IN-LOGO CLOTHING</v>
      </c>
      <c r="C76" s="12"/>
      <c r="D76" s="3"/>
      <c r="E76" s="3"/>
      <c r="F76" s="20">
        <f t="shared" si="4"/>
        <v>0</v>
      </c>
      <c r="G76" s="3"/>
      <c r="H76" s="3">
        <v>2107.65</v>
      </c>
      <c r="I76" s="3"/>
      <c r="J76" s="20">
        <f t="shared" si="5"/>
        <v>5.7571323539775589E-3</v>
      </c>
      <c r="K76" s="3"/>
      <c r="L76" s="3">
        <f t="shared" si="6"/>
        <v>-2107.65</v>
      </c>
      <c r="M76" s="3"/>
      <c r="N76" s="20">
        <f t="shared" si="7"/>
        <v>-1</v>
      </c>
      <c r="O76" s="12"/>
      <c r="P76" s="3">
        <v>0</v>
      </c>
      <c r="Q76" s="3"/>
      <c r="R76" s="20">
        <f t="shared" si="8"/>
        <v>0</v>
      </c>
      <c r="S76" s="3"/>
      <c r="T76" s="3">
        <v>9216.02</v>
      </c>
      <c r="U76" s="3"/>
      <c r="V76" s="20">
        <f t="shared" si="9"/>
        <v>5.6343362701167356E-3</v>
      </c>
      <c r="W76" s="3"/>
      <c r="X76" s="3">
        <f t="shared" si="10"/>
        <v>-9216.02</v>
      </c>
      <c r="Y76" s="3"/>
      <c r="Z76" s="20">
        <f t="shared" si="11"/>
        <v>-1</v>
      </c>
    </row>
    <row r="77" spans="1:26" s="69" customFormat="1" ht="15" hidden="1" customHeight="1" outlineLevel="1" x14ac:dyDescent="0.3">
      <c r="A77" s="42"/>
      <c r="B77" s="12" t="str">
        <f>CONCATENATE("          ","5541"," - ","FREIGHT-IN-LOGO GIFTS")</f>
        <v xml:space="preserve">          5541 - FREIGHT-IN-LOGO GIFTS</v>
      </c>
      <c r="C77" s="12"/>
      <c r="D77" s="3"/>
      <c r="E77" s="3"/>
      <c r="F77" s="20">
        <f t="shared" si="4"/>
        <v>0</v>
      </c>
      <c r="G77" s="3"/>
      <c r="H77" s="3">
        <v>2877.99</v>
      </c>
      <c r="I77" s="3"/>
      <c r="J77" s="20">
        <f t="shared" si="5"/>
        <v>7.8613476352448804E-3</v>
      </c>
      <c r="K77" s="3"/>
      <c r="L77" s="3">
        <f t="shared" si="6"/>
        <v>-2877.99</v>
      </c>
      <c r="M77" s="3"/>
      <c r="N77" s="20">
        <f t="shared" si="7"/>
        <v>-1</v>
      </c>
      <c r="O77" s="12"/>
      <c r="P77" s="3">
        <v>0</v>
      </c>
      <c r="Q77" s="3"/>
      <c r="R77" s="20">
        <f t="shared" si="8"/>
        <v>0</v>
      </c>
      <c r="S77" s="3"/>
      <c r="T77" s="3">
        <v>5015.99</v>
      </c>
      <c r="U77" s="3"/>
      <c r="V77" s="20">
        <f t="shared" si="9"/>
        <v>3.0665921284396998E-3</v>
      </c>
      <c r="W77" s="3"/>
      <c r="X77" s="3">
        <f t="shared" si="10"/>
        <v>-5015.99</v>
      </c>
      <c r="Y77" s="3"/>
      <c r="Z77" s="20">
        <f t="shared" si="11"/>
        <v>-1</v>
      </c>
    </row>
    <row r="78" spans="1:26" s="69" customFormat="1" ht="15" hidden="1" customHeight="1" outlineLevel="1" x14ac:dyDescent="0.3">
      <c r="A78" s="42"/>
      <c r="B78" s="12" t="str">
        <f>CONCATENATE("          ","5542"," - ","FREIGHT-IN-EVERYDAY GIFTS")</f>
        <v xml:space="preserve">          5542 - FREIGHT-IN-EVERYDAY GIFTS</v>
      </c>
      <c r="C78" s="12"/>
      <c r="D78" s="3"/>
      <c r="E78" s="3"/>
      <c r="F78" s="20">
        <f t="shared" si="4"/>
        <v>0</v>
      </c>
      <c r="G78" s="3"/>
      <c r="H78" s="3"/>
      <c r="I78" s="3"/>
      <c r="J78" s="20">
        <f t="shared" si="5"/>
        <v>0</v>
      </c>
      <c r="K78" s="3"/>
      <c r="L78" s="3">
        <f t="shared" si="6"/>
        <v>0</v>
      </c>
      <c r="M78" s="3"/>
      <c r="N78" s="20">
        <f t="shared" si="7"/>
        <v>0</v>
      </c>
      <c r="O78" s="12"/>
      <c r="P78" s="3">
        <v>0</v>
      </c>
      <c r="Q78" s="3"/>
      <c r="R78" s="20">
        <f t="shared" si="8"/>
        <v>0</v>
      </c>
      <c r="S78" s="3"/>
      <c r="T78" s="3">
        <v>681.72</v>
      </c>
      <c r="U78" s="3"/>
      <c r="V78" s="20">
        <f t="shared" si="9"/>
        <v>4.1677857926349776E-4</v>
      </c>
      <c r="W78" s="3"/>
      <c r="X78" s="3">
        <f t="shared" si="10"/>
        <v>-681.72</v>
      </c>
      <c r="Y78" s="3"/>
      <c r="Z78" s="20">
        <f t="shared" si="11"/>
        <v>-1</v>
      </c>
    </row>
    <row r="79" spans="1:26" s="69" customFormat="1" ht="15" hidden="1" customHeight="1" outlineLevel="1" x14ac:dyDescent="0.3">
      <c r="A79" s="42"/>
      <c r="B79" s="12" t="str">
        <f>CONCATENATE("          ","5543"," - ","FREIGHT-IN-CARDS")</f>
        <v xml:space="preserve">          5543 - FREIGHT-IN-CARDS</v>
      </c>
      <c r="C79" s="12"/>
      <c r="D79" s="3"/>
      <c r="E79" s="3"/>
      <c r="F79" s="20">
        <f t="shared" si="4"/>
        <v>0</v>
      </c>
      <c r="G79" s="3"/>
      <c r="H79" s="3"/>
      <c r="I79" s="3"/>
      <c r="J79" s="20">
        <f t="shared" si="5"/>
        <v>0</v>
      </c>
      <c r="K79" s="3"/>
      <c r="L79" s="3">
        <f t="shared" si="6"/>
        <v>0</v>
      </c>
      <c r="M79" s="3"/>
      <c r="N79" s="20">
        <f t="shared" si="7"/>
        <v>0</v>
      </c>
      <c r="O79" s="12"/>
      <c r="P79" s="3"/>
      <c r="Q79" s="3"/>
      <c r="R79" s="20">
        <f t="shared" si="8"/>
        <v>0</v>
      </c>
      <c r="S79" s="3"/>
      <c r="T79" s="3">
        <v>9110.5300000000007</v>
      </c>
      <c r="U79" s="3"/>
      <c r="V79" s="20">
        <f t="shared" si="9"/>
        <v>5.5698435570871833E-3</v>
      </c>
      <c r="W79" s="3"/>
      <c r="X79" s="3">
        <f t="shared" si="10"/>
        <v>-9110.5300000000007</v>
      </c>
      <c r="Y79" s="3"/>
      <c r="Z79" s="20">
        <f t="shared" si="11"/>
        <v>-1</v>
      </c>
    </row>
    <row r="80" spans="1:26" s="69" customFormat="1" ht="15" hidden="1" customHeight="1" outlineLevel="1" x14ac:dyDescent="0.3">
      <c r="A80" s="42"/>
      <c r="B80" s="12" t="str">
        <f>CONCATENATE("          ","5544"," - ","FREIGHT-IN-ACCESSORIES")</f>
        <v xml:space="preserve">          5544 - FREIGHT-IN-ACCESSORIES</v>
      </c>
      <c r="C80" s="12"/>
      <c r="D80" s="3"/>
      <c r="E80" s="3"/>
      <c r="F80" s="20">
        <f t="shared" si="4"/>
        <v>0</v>
      </c>
      <c r="G80" s="3"/>
      <c r="H80" s="3"/>
      <c r="I80" s="3"/>
      <c r="J80" s="20">
        <f t="shared" si="5"/>
        <v>0</v>
      </c>
      <c r="K80" s="3"/>
      <c r="L80" s="3">
        <f t="shared" si="6"/>
        <v>0</v>
      </c>
      <c r="M80" s="3"/>
      <c r="N80" s="20">
        <f t="shared" si="7"/>
        <v>0</v>
      </c>
      <c r="O80" s="12"/>
      <c r="P80" s="3">
        <v>0</v>
      </c>
      <c r="Q80" s="3"/>
      <c r="R80" s="20">
        <f t="shared" si="8"/>
        <v>0</v>
      </c>
      <c r="S80" s="3"/>
      <c r="T80" s="3"/>
      <c r="U80" s="3"/>
      <c r="V80" s="20">
        <f t="shared" si="9"/>
        <v>0</v>
      </c>
      <c r="W80" s="3"/>
      <c r="X80" s="3">
        <f t="shared" si="10"/>
        <v>0</v>
      </c>
      <c r="Y80" s="3"/>
      <c r="Z80" s="20">
        <f t="shared" si="11"/>
        <v>0</v>
      </c>
    </row>
    <row r="81" spans="1:26" s="69" customFormat="1" ht="15" hidden="1" customHeight="1" outlineLevel="1" x14ac:dyDescent="0.3">
      <c r="A81" s="42"/>
      <c r="B81" s="12" t="str">
        <f>CONCATENATE("          ","5545"," - ","FREIGHT-IN-SPECIAL ORDERS")</f>
        <v xml:space="preserve">          5545 - FREIGHT-IN-SPECIAL ORDERS</v>
      </c>
      <c r="C81" s="12"/>
      <c r="D81" s="3"/>
      <c r="E81" s="3"/>
      <c r="F81" s="20">
        <f t="shared" si="4"/>
        <v>0</v>
      </c>
      <c r="G81" s="3"/>
      <c r="H81" s="3">
        <v>168.6</v>
      </c>
      <c r="I81" s="3"/>
      <c r="J81" s="20">
        <f t="shared" si="5"/>
        <v>4.6053780982640208E-4</v>
      </c>
      <c r="K81" s="3"/>
      <c r="L81" s="3">
        <f t="shared" si="6"/>
        <v>-168.6</v>
      </c>
      <c r="M81" s="3"/>
      <c r="N81" s="20">
        <f t="shared" si="7"/>
        <v>-1</v>
      </c>
      <c r="O81" s="12"/>
      <c r="P81" s="3">
        <v>0</v>
      </c>
      <c r="Q81" s="3"/>
      <c r="R81" s="20">
        <f t="shared" si="8"/>
        <v>0</v>
      </c>
      <c r="S81" s="3"/>
      <c r="T81" s="3">
        <v>1434.76</v>
      </c>
      <c r="U81" s="3"/>
      <c r="V81" s="20">
        <f t="shared" si="9"/>
        <v>8.7715958807735729E-4</v>
      </c>
      <c r="W81" s="3"/>
      <c r="X81" s="3">
        <f t="shared" si="10"/>
        <v>-1434.76</v>
      </c>
      <c r="Y81" s="3"/>
      <c r="Z81" s="20">
        <f t="shared" si="11"/>
        <v>-1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288</v>
      </c>
      <c r="C83" s="28"/>
      <c r="D83" s="21">
        <f>D12-D56</f>
        <v>395170.13000000012</v>
      </c>
      <c r="E83" s="15"/>
      <c r="F83" s="23">
        <f>IF(D$12=0,0,D83/D$12)</f>
        <v>0.55968103191228902</v>
      </c>
      <c r="G83" s="15"/>
      <c r="H83" s="21">
        <f>H12-H56</f>
        <v>191634.7199999998</v>
      </c>
      <c r="I83" s="15"/>
      <c r="J83" s="23">
        <f>IF(H$12=0,0,H83/H$12)</f>
        <v>0.52345809155098288</v>
      </c>
      <c r="K83" s="16"/>
      <c r="L83" s="21">
        <f>+D83-H83</f>
        <v>203535.41000000032</v>
      </c>
      <c r="M83" s="16"/>
      <c r="N83" s="23">
        <f>IF(H83=0,0,L83/H83)</f>
        <v>1.0621009073929846</v>
      </c>
      <c r="O83" s="27"/>
      <c r="P83" s="21">
        <f>P12-P56</f>
        <v>1963491.0799999994</v>
      </c>
      <c r="Q83" s="15"/>
      <c r="R83" s="23">
        <f>IF(P$12=0,0,P83/P$12)</f>
        <v>0.53048341775330154</v>
      </c>
      <c r="S83" s="15"/>
      <c r="T83" s="21">
        <f>T12-T56</f>
        <v>720373.12999999931</v>
      </c>
      <c r="U83" s="15"/>
      <c r="V83" s="23">
        <f>IF(T$12=0,0,T83/T$12)</f>
        <v>0.44040968383060303</v>
      </c>
      <c r="W83" s="16"/>
      <c r="X83" s="21">
        <f>+P83-T83</f>
        <v>1243117.9500000002</v>
      </c>
      <c r="Y83" s="16"/>
      <c r="Z83" s="23">
        <f>IF(T83=0,0,X83/T83)</f>
        <v>1.7256584098299188</v>
      </c>
    </row>
    <row r="84" spans="1:26" ht="15" customHeight="1" x14ac:dyDescent="0.3">
      <c r="A84" s="10"/>
      <c r="B84" s="11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3">
      <c r="A85" s="11"/>
      <c r="B85" s="27" t="s">
        <v>289</v>
      </c>
      <c r="C85" s="11"/>
      <c r="D85" s="22" cm="1">
        <f t="array" ref="D85">SUM(OSRRefD22x_0)</f>
        <v>121453.51000000001</v>
      </c>
      <c r="E85" s="22"/>
      <c r="F85" s="32">
        <f t="shared" ref="F85:F116" si="12">IF(D$12=0,0,D85/D$12)</f>
        <v>0.1720150908323195</v>
      </c>
      <c r="G85" s="22"/>
      <c r="H85" s="22" cm="1">
        <f t="array" ref="H85">SUM(OSRRefH22x_0)</f>
        <v>57069</v>
      </c>
      <c r="I85" s="22"/>
      <c r="J85" s="32">
        <f t="shared" ref="J85:J116" si="13">IF(H$12=0,0,H85/H$12)</f>
        <v>0.15588631239017164</v>
      </c>
      <c r="K85" s="5"/>
      <c r="L85" s="22">
        <f t="shared" ref="L85:L116" si="14">+D85-H85</f>
        <v>64384.510000000009</v>
      </c>
      <c r="M85" s="5"/>
      <c r="N85" s="32">
        <f t="shared" ref="N85:N116" si="15">IF(H85=0,0,L85/H85)</f>
        <v>1.1281871068355851</v>
      </c>
      <c r="O85" s="11"/>
      <c r="P85" s="22" cm="1">
        <f t="array" ref="P85">SUM(OSRRefP22x_0)</f>
        <v>863195.91000000027</v>
      </c>
      <c r="Q85" s="22"/>
      <c r="R85" s="32">
        <f t="shared" ref="R85:R116" si="16">IF(P$12=0,0,P85/P$12)</f>
        <v>0.23321273072830642</v>
      </c>
      <c r="S85" s="22"/>
      <c r="T85" s="22" cm="1">
        <f t="array" ref="T85">SUM(OSRRefT22x_0)</f>
        <v>472436.9499999999</v>
      </c>
      <c r="U85" s="22"/>
      <c r="V85" s="32">
        <f t="shared" ref="V85:V116" si="17">IF(T$12=0,0,T85/T$12)</f>
        <v>0.28883060613240052</v>
      </c>
      <c r="W85" s="5"/>
      <c r="X85" s="22">
        <f t="shared" ref="X85:X116" si="18">+P85-T85</f>
        <v>390758.96000000037</v>
      </c>
      <c r="Y85" s="5"/>
      <c r="Z85" s="32">
        <f t="shared" ref="Z85:Z116" si="19">IF(T85=0,0,X85/T85)</f>
        <v>0.82711345926689361</v>
      </c>
    </row>
    <row r="86" spans="1:26" s="68" customFormat="1" ht="15" customHeight="1" outlineLevel="1" collapsed="1" x14ac:dyDescent="0.3">
      <c r="A86" s="25"/>
      <c r="B86" s="14" t="str">
        <f>CONCATENATE("     ","*Benefits                                         ")</f>
        <v xml:space="preserve">     *Benefits                                         </v>
      </c>
      <c r="C86" s="14"/>
      <c r="D86" s="2">
        <f>SUM(OSRRefD22_0x_0)</f>
        <v>12636.570000000002</v>
      </c>
      <c r="E86" s="2"/>
      <c r="F86" s="6">
        <f t="shared" si="12"/>
        <v>1.7897224512975901E-2</v>
      </c>
      <c r="G86" s="2"/>
      <c r="H86" s="2">
        <f>SUM(OSRRefH22_0x_0)</f>
        <v>11502.99</v>
      </c>
      <c r="I86" s="2"/>
      <c r="J86" s="6">
        <f t="shared" si="13"/>
        <v>3.1420888618357089E-2</v>
      </c>
      <c r="K86" s="2"/>
      <c r="L86" s="2">
        <f t="shared" si="14"/>
        <v>1133.5800000000017</v>
      </c>
      <c r="M86" s="2"/>
      <c r="N86" s="6">
        <f t="shared" si="15"/>
        <v>9.8546551809573141E-2</v>
      </c>
      <c r="O86" s="14"/>
      <c r="P86" s="2">
        <f>SUM(OSRRefP22_0x_0)</f>
        <v>133265.07</v>
      </c>
      <c r="Q86" s="2"/>
      <c r="R86" s="6">
        <f t="shared" si="16"/>
        <v>3.6004701279688522E-2</v>
      </c>
      <c r="S86" s="2"/>
      <c r="T86" s="2">
        <f>SUM(OSRRefT22_0x_0)</f>
        <v>102199.01</v>
      </c>
      <c r="U86" s="2"/>
      <c r="V86" s="6">
        <f t="shared" si="17"/>
        <v>6.2480722569289444E-2</v>
      </c>
      <c r="W86" s="2"/>
      <c r="X86" s="2">
        <f t="shared" si="18"/>
        <v>31066.060000000012</v>
      </c>
      <c r="Y86" s="2"/>
      <c r="Z86" s="6">
        <f t="shared" si="19"/>
        <v>0.30397613440678156</v>
      </c>
    </row>
    <row r="87" spans="1:26" s="69" customFormat="1" ht="15" hidden="1" customHeight="1" outlineLevel="2" x14ac:dyDescent="0.3">
      <c r="A87" s="26"/>
      <c r="B87" s="12" t="str">
        <f>CONCATENATE("          ","6111"," - ","F.I.C.A.")</f>
        <v xml:space="preserve">          6111 - F.I.C.A.</v>
      </c>
      <c r="C87" s="12"/>
      <c r="D87" s="8">
        <v>2755.2</v>
      </c>
      <c r="E87" s="3"/>
      <c r="F87" s="7">
        <f t="shared" si="12"/>
        <v>3.9022007536974978E-3</v>
      </c>
      <c r="G87" s="3"/>
      <c r="H87" s="8">
        <v>2781.47</v>
      </c>
      <c r="I87" s="3"/>
      <c r="J87" s="7">
        <f t="shared" si="13"/>
        <v>7.5976992995127075E-3</v>
      </c>
      <c r="K87" s="3"/>
      <c r="L87" s="8">
        <f t="shared" si="14"/>
        <v>-26.269999999999982</v>
      </c>
      <c r="M87" s="3"/>
      <c r="N87" s="7">
        <f t="shared" si="15"/>
        <v>-9.4446461763024528E-3</v>
      </c>
      <c r="O87" s="12"/>
      <c r="P87" s="8">
        <v>24417.46</v>
      </c>
      <c r="Q87" s="3"/>
      <c r="R87" s="7">
        <f t="shared" si="16"/>
        <v>6.5969526246355721E-3</v>
      </c>
      <c r="S87" s="3"/>
      <c r="T87" s="8">
        <v>23006.51</v>
      </c>
      <c r="U87" s="3"/>
      <c r="V87" s="7">
        <f t="shared" si="17"/>
        <v>1.4065335550682763E-2</v>
      </c>
      <c r="W87" s="3"/>
      <c r="X87" s="8">
        <f t="shared" si="18"/>
        <v>1410.9500000000007</v>
      </c>
      <c r="Y87" s="3"/>
      <c r="Z87" s="7">
        <f t="shared" si="19"/>
        <v>6.1328293600376622E-2</v>
      </c>
    </row>
    <row r="88" spans="1:26" s="69" customFormat="1" ht="15" hidden="1" customHeight="1" outlineLevel="2" x14ac:dyDescent="0.3">
      <c r="A88" s="26"/>
      <c r="B88" s="12" t="str">
        <f>CONCATENATE("          ","6112"," - ","COMPENSATION INSURANCE")</f>
        <v xml:space="preserve">          6112 - COMPENSATION INSURANCE</v>
      </c>
      <c r="C88" s="12"/>
      <c r="D88" s="8">
        <v>915.44</v>
      </c>
      <c r="E88" s="3"/>
      <c r="F88" s="7">
        <f t="shared" si="12"/>
        <v>1.2965413247549499E-3</v>
      </c>
      <c r="G88" s="3"/>
      <c r="H88" s="8">
        <v>576.36</v>
      </c>
      <c r="I88" s="3"/>
      <c r="J88" s="7">
        <f t="shared" si="13"/>
        <v>1.5743509612784407E-3</v>
      </c>
      <c r="K88" s="3"/>
      <c r="L88" s="8">
        <f t="shared" si="14"/>
        <v>339.08000000000004</v>
      </c>
      <c r="M88" s="3"/>
      <c r="N88" s="7">
        <f t="shared" si="15"/>
        <v>0.58831286001804428</v>
      </c>
      <c r="O88" s="12"/>
      <c r="P88" s="8">
        <v>8948.16</v>
      </c>
      <c r="Q88" s="3"/>
      <c r="R88" s="7">
        <f t="shared" si="16"/>
        <v>2.4175564369782543E-3</v>
      </c>
      <c r="S88" s="3"/>
      <c r="T88" s="8">
        <v>7733.38</v>
      </c>
      <c r="U88" s="3"/>
      <c r="V88" s="7">
        <f t="shared" si="17"/>
        <v>4.727904607910503E-3</v>
      </c>
      <c r="W88" s="3"/>
      <c r="X88" s="8">
        <f t="shared" si="18"/>
        <v>1214.7799999999997</v>
      </c>
      <c r="Y88" s="3"/>
      <c r="Z88" s="7">
        <f t="shared" si="19"/>
        <v>0.15708267277697457</v>
      </c>
    </row>
    <row r="89" spans="1:26" s="69" customFormat="1" ht="15" hidden="1" customHeight="1" outlineLevel="2" x14ac:dyDescent="0.3">
      <c r="A89" s="26"/>
      <c r="B89" s="12" t="str">
        <f>CONCATENATE("          ","6113"," - ","GROUP INSURANCE")</f>
        <v xml:space="preserve">          6113 - GROUP INSURANCE</v>
      </c>
      <c r="C89" s="12"/>
      <c r="D89" s="8">
        <v>3347.46</v>
      </c>
      <c r="E89" s="3"/>
      <c r="F89" s="7">
        <f t="shared" si="12"/>
        <v>4.7410209549115226E-3</v>
      </c>
      <c r="G89" s="3"/>
      <c r="H89" s="8">
        <v>2823.95</v>
      </c>
      <c r="I89" s="3"/>
      <c r="J89" s="7">
        <f t="shared" si="13"/>
        <v>7.7137351604938797E-3</v>
      </c>
      <c r="K89" s="3"/>
      <c r="L89" s="8">
        <f t="shared" si="14"/>
        <v>523.51000000000022</v>
      </c>
      <c r="M89" s="3"/>
      <c r="N89" s="7">
        <f t="shared" si="15"/>
        <v>0.18538217744648464</v>
      </c>
      <c r="O89" s="12"/>
      <c r="P89" s="8">
        <v>40870.839999999997</v>
      </c>
      <c r="Q89" s="3"/>
      <c r="R89" s="7">
        <f t="shared" si="16"/>
        <v>1.1042221230589115E-2</v>
      </c>
      <c r="S89" s="3"/>
      <c r="T89" s="8">
        <v>29124.85</v>
      </c>
      <c r="U89" s="3"/>
      <c r="V89" s="7">
        <f t="shared" si="17"/>
        <v>1.7805863997333922E-2</v>
      </c>
      <c r="W89" s="3"/>
      <c r="X89" s="8">
        <f t="shared" si="18"/>
        <v>11745.989999999998</v>
      </c>
      <c r="Y89" s="3"/>
      <c r="Z89" s="7">
        <f t="shared" si="19"/>
        <v>0.40329787106199683</v>
      </c>
    </row>
    <row r="90" spans="1:26" s="69" customFormat="1" ht="15" hidden="1" customHeight="1" outlineLevel="2" x14ac:dyDescent="0.3">
      <c r="A90" s="26"/>
      <c r="B90" s="12" t="str">
        <f>CONCATENATE("          ","6114"," - ","STATE UNEMPLOYMENT INSURANCE")</f>
        <v xml:space="preserve">          6114 - STATE UNEMPLOYMENT INSURANCE</v>
      </c>
      <c r="C90" s="12"/>
      <c r="D90" s="8">
        <v>160.82</v>
      </c>
      <c r="E90" s="3"/>
      <c r="F90" s="7">
        <f t="shared" si="12"/>
        <v>2.2777000769803703E-4</v>
      </c>
      <c r="G90" s="3"/>
      <c r="H90" s="8">
        <v>81</v>
      </c>
      <c r="I90" s="3"/>
      <c r="J90" s="7">
        <f t="shared" si="13"/>
        <v>2.2125481966748855E-4</v>
      </c>
      <c r="K90" s="3"/>
      <c r="L90" s="8">
        <f t="shared" si="14"/>
        <v>79.819999999999993</v>
      </c>
      <c r="M90" s="3"/>
      <c r="N90" s="7">
        <f t="shared" si="15"/>
        <v>0.98543209876543203</v>
      </c>
      <c r="O90" s="12"/>
      <c r="P90" s="8">
        <v>1573.13</v>
      </c>
      <c r="Q90" s="3"/>
      <c r="R90" s="7">
        <f t="shared" si="16"/>
        <v>4.2501816660672152E-4</v>
      </c>
      <c r="S90" s="3"/>
      <c r="T90" s="8">
        <v>913.08</v>
      </c>
      <c r="U90" s="3"/>
      <c r="V90" s="7">
        <f t="shared" si="17"/>
        <v>5.5822358908923686E-4</v>
      </c>
      <c r="W90" s="3"/>
      <c r="X90" s="8">
        <f t="shared" si="18"/>
        <v>660.05000000000007</v>
      </c>
      <c r="Y90" s="3"/>
      <c r="Z90" s="7">
        <f t="shared" si="19"/>
        <v>0.7228829894423271</v>
      </c>
    </row>
    <row r="91" spans="1:26" s="69" customFormat="1" ht="15" hidden="1" customHeight="1" outlineLevel="2" x14ac:dyDescent="0.3">
      <c r="A91" s="26"/>
      <c r="B91" s="12" t="str">
        <f>CONCATENATE("          ","6115"," - ","P.E.R.S.")</f>
        <v xml:space="preserve">          6115 - P.E.R.S.</v>
      </c>
      <c r="C91" s="12"/>
      <c r="D91" s="8">
        <v>1440.09</v>
      </c>
      <c r="E91" s="3"/>
      <c r="F91" s="7">
        <f t="shared" si="12"/>
        <v>2.0396052131940439E-3</v>
      </c>
      <c r="G91" s="3"/>
      <c r="H91" s="8">
        <v>1479.39</v>
      </c>
      <c r="I91" s="3"/>
      <c r="J91" s="7">
        <f t="shared" si="13"/>
        <v>4.0410144156529122E-3</v>
      </c>
      <c r="K91" s="3"/>
      <c r="L91" s="8">
        <f t="shared" si="14"/>
        <v>-39.300000000000182</v>
      </c>
      <c r="M91" s="3"/>
      <c r="N91" s="7">
        <f t="shared" si="15"/>
        <v>-2.6565003143187518E-2</v>
      </c>
      <c r="O91" s="12"/>
      <c r="P91" s="8">
        <v>15156.72</v>
      </c>
      <c r="Q91" s="3"/>
      <c r="R91" s="7">
        <f t="shared" si="16"/>
        <v>4.0949453294841665E-3</v>
      </c>
      <c r="S91" s="3"/>
      <c r="T91" s="8">
        <v>16149.79</v>
      </c>
      <c r="U91" s="3"/>
      <c r="V91" s="7">
        <f t="shared" si="17"/>
        <v>9.8733886809890328E-3</v>
      </c>
      <c r="W91" s="3"/>
      <c r="X91" s="8">
        <f t="shared" si="18"/>
        <v>-993.07000000000153</v>
      </c>
      <c r="Y91" s="3"/>
      <c r="Z91" s="7">
        <f t="shared" si="19"/>
        <v>-6.1491202052782204E-2</v>
      </c>
    </row>
    <row r="92" spans="1:26" s="69" customFormat="1" ht="15" hidden="1" customHeight="1" outlineLevel="2" x14ac:dyDescent="0.3">
      <c r="A92" s="26"/>
      <c r="B92" s="12" t="str">
        <f>CONCATENATE("          ","6118"," - ","VACATION")</f>
        <v xml:space="preserve">          6118 - VACATION</v>
      </c>
      <c r="C92" s="12"/>
      <c r="D92" s="8">
        <v>1724.27</v>
      </c>
      <c r="E92" s="3"/>
      <c r="F92" s="7">
        <f t="shared" si="12"/>
        <v>2.4420904811186068E-3</v>
      </c>
      <c r="G92" s="3"/>
      <c r="H92" s="8">
        <v>1935.93</v>
      </c>
      <c r="I92" s="3"/>
      <c r="J92" s="7">
        <f t="shared" si="13"/>
        <v>5.2880721362824831E-3</v>
      </c>
      <c r="K92" s="3"/>
      <c r="L92" s="8">
        <f t="shared" si="14"/>
        <v>-211.66000000000008</v>
      </c>
      <c r="M92" s="3"/>
      <c r="N92" s="7">
        <f t="shared" si="15"/>
        <v>-0.10933246553336126</v>
      </c>
      <c r="O92" s="12"/>
      <c r="P92" s="8">
        <v>18904.16</v>
      </c>
      <c r="Q92" s="3"/>
      <c r="R92" s="7">
        <f t="shared" si="16"/>
        <v>5.1074046165543348E-3</v>
      </c>
      <c r="S92" s="3"/>
      <c r="T92" s="8">
        <v>12928.9</v>
      </c>
      <c r="U92" s="3"/>
      <c r="V92" s="7">
        <f t="shared" si="17"/>
        <v>7.9042547870677646E-3</v>
      </c>
      <c r="W92" s="3"/>
      <c r="X92" s="8">
        <f t="shared" si="18"/>
        <v>5975.26</v>
      </c>
      <c r="Y92" s="3"/>
      <c r="Z92" s="7">
        <f t="shared" si="19"/>
        <v>0.46216306104927724</v>
      </c>
    </row>
    <row r="93" spans="1:26" s="69" customFormat="1" ht="15" hidden="1" customHeight="1" outlineLevel="2" x14ac:dyDescent="0.3">
      <c r="A93" s="26"/>
      <c r="B93" s="12" t="str">
        <f>CONCATENATE("          ","6119"," - ","SICK LEAVE")</f>
        <v xml:space="preserve">          6119 - SICK LEAVE</v>
      </c>
      <c r="C93" s="12"/>
      <c r="D93" s="8">
        <v>1627.12</v>
      </c>
      <c r="E93" s="3"/>
      <c r="F93" s="7">
        <f t="shared" si="12"/>
        <v>2.304496548474257E-3</v>
      </c>
      <c r="G93" s="3"/>
      <c r="H93" s="8">
        <v>1334.31</v>
      </c>
      <c r="I93" s="3"/>
      <c r="J93" s="7">
        <f t="shared" si="13"/>
        <v>3.6447224497595881E-3</v>
      </c>
      <c r="K93" s="3"/>
      <c r="L93" s="8">
        <f t="shared" si="14"/>
        <v>292.80999999999995</v>
      </c>
      <c r="M93" s="3"/>
      <c r="N93" s="7">
        <f t="shared" si="15"/>
        <v>0.21944675525177804</v>
      </c>
      <c r="O93" s="12"/>
      <c r="P93" s="8">
        <v>16711.47</v>
      </c>
      <c r="Q93" s="3"/>
      <c r="R93" s="7">
        <f t="shared" si="16"/>
        <v>4.5149977056589278E-3</v>
      </c>
      <c r="S93" s="3"/>
      <c r="T93" s="8">
        <v>9127.2000000000007</v>
      </c>
      <c r="U93" s="3"/>
      <c r="V93" s="7">
        <f t="shared" si="17"/>
        <v>5.5800349830631302E-3</v>
      </c>
      <c r="W93" s="3"/>
      <c r="X93" s="8">
        <f t="shared" si="18"/>
        <v>7584.27</v>
      </c>
      <c r="Y93" s="3"/>
      <c r="Z93" s="7">
        <f t="shared" si="19"/>
        <v>0.83095253747041808</v>
      </c>
    </row>
    <row r="94" spans="1:26" s="69" customFormat="1" ht="15" hidden="1" customHeight="1" outlineLevel="2" x14ac:dyDescent="0.3">
      <c r="A94" s="26"/>
      <c r="B94" s="12" t="str">
        <f>CONCATENATE("          ","6156"," - ","EMPLOYEE MEALS")</f>
        <v xml:space="preserve">          6156 - EMPLOYEE MEALS</v>
      </c>
      <c r="C94" s="12"/>
      <c r="D94" s="8">
        <v>666.17</v>
      </c>
      <c r="E94" s="3"/>
      <c r="F94" s="7">
        <f t="shared" si="12"/>
        <v>9.4349922912698257E-4</v>
      </c>
      <c r="G94" s="3"/>
      <c r="H94" s="8">
        <v>490.58</v>
      </c>
      <c r="I94" s="3"/>
      <c r="J94" s="7">
        <f t="shared" si="13"/>
        <v>1.3400393757095868E-3</v>
      </c>
      <c r="K94" s="3"/>
      <c r="L94" s="8">
        <f t="shared" si="14"/>
        <v>175.58999999999997</v>
      </c>
      <c r="M94" s="3"/>
      <c r="N94" s="7">
        <f t="shared" si="15"/>
        <v>0.35792327449141831</v>
      </c>
      <c r="O94" s="12"/>
      <c r="P94" s="8">
        <v>6683.13</v>
      </c>
      <c r="Q94" s="3"/>
      <c r="R94" s="7">
        <f t="shared" si="16"/>
        <v>1.8056051691814272E-3</v>
      </c>
      <c r="S94" s="3"/>
      <c r="T94" s="8">
        <v>3215.3</v>
      </c>
      <c r="U94" s="3"/>
      <c r="V94" s="7">
        <f t="shared" si="17"/>
        <v>1.9657163731530898E-3</v>
      </c>
      <c r="W94" s="3"/>
      <c r="X94" s="8">
        <f t="shared" si="18"/>
        <v>3467.83</v>
      </c>
      <c r="Y94" s="3"/>
      <c r="Z94" s="7">
        <f t="shared" si="19"/>
        <v>1.0785401051223835</v>
      </c>
    </row>
    <row r="95" spans="1:26" s="68" customFormat="1" ht="15" customHeight="1" outlineLevel="1" collapsed="1" x14ac:dyDescent="0.3">
      <c r="A95" s="25"/>
      <c r="B95" s="14" t="str">
        <f>CONCATENATE("     ","*Payroll                                          ")</f>
        <v xml:space="preserve">     *Payroll                                          </v>
      </c>
      <c r="C95" s="14"/>
      <c r="D95" s="2">
        <f>SUM(OSRRefD22_1x_0)</f>
        <v>74184.790000000008</v>
      </c>
      <c r="E95" s="2"/>
      <c r="F95" s="6">
        <f t="shared" si="12"/>
        <v>0.10506821408641502</v>
      </c>
      <c r="G95" s="2"/>
      <c r="H95" s="2">
        <f>SUM(OSRRefH22_1x_0)</f>
        <v>35217.1</v>
      </c>
      <c r="I95" s="2"/>
      <c r="J95" s="6">
        <f t="shared" si="13"/>
        <v>9.6196951971751987E-2</v>
      </c>
      <c r="K95" s="2"/>
      <c r="L95" s="2">
        <f t="shared" si="14"/>
        <v>38967.69000000001</v>
      </c>
      <c r="M95" s="2"/>
      <c r="N95" s="6">
        <f t="shared" si="15"/>
        <v>1.1064991154865111</v>
      </c>
      <c r="O95" s="14"/>
      <c r="P95" s="2">
        <f>SUM(OSRRefP22_1x_0)</f>
        <v>600418.5</v>
      </c>
      <c r="Q95" s="2"/>
      <c r="R95" s="6">
        <f t="shared" si="16"/>
        <v>0.16221721667424677</v>
      </c>
      <c r="S95" s="2"/>
      <c r="T95" s="2">
        <f>SUM(OSRRefT22_1x_0)</f>
        <v>305751.37</v>
      </c>
      <c r="U95" s="2"/>
      <c r="V95" s="6">
        <f t="shared" si="17"/>
        <v>0.18692516223151445</v>
      </c>
      <c r="W95" s="2"/>
      <c r="X95" s="2">
        <f t="shared" si="18"/>
        <v>294667.13</v>
      </c>
      <c r="Y95" s="2"/>
      <c r="Z95" s="6">
        <f t="shared" si="19"/>
        <v>0.96374753774611055</v>
      </c>
    </row>
    <row r="96" spans="1:26" s="69" customFormat="1" ht="15" hidden="1" customHeight="1" outlineLevel="2" x14ac:dyDescent="0.3">
      <c r="A96" s="26"/>
      <c r="B96" s="12" t="str">
        <f>CONCATENATE("          ","6002"," - ","STAFF SALARIES")</f>
        <v xml:space="preserve">          6002 - STAFF SALARIES</v>
      </c>
      <c r="C96" s="12"/>
      <c r="D96" s="8">
        <v>12000.17</v>
      </c>
      <c r="E96" s="3"/>
      <c r="F96" s="7">
        <f t="shared" si="12"/>
        <v>1.6995888653636073E-2</v>
      </c>
      <c r="G96" s="3"/>
      <c r="H96" s="8">
        <v>16953.36</v>
      </c>
      <c r="I96" s="3"/>
      <c r="J96" s="7">
        <f t="shared" si="13"/>
        <v>4.6308797648864364E-2</v>
      </c>
      <c r="K96" s="3"/>
      <c r="L96" s="8">
        <f t="shared" si="14"/>
        <v>-4953.1900000000005</v>
      </c>
      <c r="M96" s="3"/>
      <c r="N96" s="7">
        <f t="shared" si="15"/>
        <v>-0.29216568279090399</v>
      </c>
      <c r="O96" s="12"/>
      <c r="P96" s="8">
        <v>144736.87</v>
      </c>
      <c r="Q96" s="3"/>
      <c r="R96" s="7">
        <f t="shared" si="16"/>
        <v>3.9104078574431475E-2</v>
      </c>
      <c r="S96" s="3"/>
      <c r="T96" s="8">
        <v>139122.49</v>
      </c>
      <c r="U96" s="3"/>
      <c r="V96" s="7">
        <f t="shared" si="17"/>
        <v>8.5054382628938816E-2</v>
      </c>
      <c r="W96" s="3"/>
      <c r="X96" s="8">
        <f t="shared" si="18"/>
        <v>5614.3800000000047</v>
      </c>
      <c r="Y96" s="3"/>
      <c r="Z96" s="7">
        <f t="shared" si="19"/>
        <v>4.0355660684336554E-2</v>
      </c>
    </row>
    <row r="97" spans="1:26" s="69" customFormat="1" ht="15" hidden="1" customHeight="1" outlineLevel="2" x14ac:dyDescent="0.3">
      <c r="A97" s="26"/>
      <c r="B97" s="12" t="str">
        <f>CONCATENATE("          ","6004"," - ","STAFF HOURLY")</f>
        <v xml:space="preserve">          6004 - STAFF HOURLY</v>
      </c>
      <c r="C97" s="12"/>
      <c r="D97" s="8">
        <v>19083.689999999999</v>
      </c>
      <c r="E97" s="3"/>
      <c r="F97" s="7">
        <f t="shared" si="12"/>
        <v>2.7028306294036516E-2</v>
      </c>
      <c r="G97" s="3"/>
      <c r="H97" s="8">
        <v>5641.76</v>
      </c>
      <c r="I97" s="3"/>
      <c r="J97" s="7">
        <f t="shared" si="13"/>
        <v>1.5410698659348769E-2</v>
      </c>
      <c r="K97" s="3"/>
      <c r="L97" s="8">
        <f t="shared" si="14"/>
        <v>13441.929999999998</v>
      </c>
      <c r="M97" s="3"/>
      <c r="N97" s="7">
        <f t="shared" si="15"/>
        <v>2.3825774226482515</v>
      </c>
      <c r="O97" s="12"/>
      <c r="P97" s="8">
        <v>98376.5</v>
      </c>
      <c r="Q97" s="3"/>
      <c r="R97" s="7">
        <f t="shared" si="16"/>
        <v>2.657873136179854E-2</v>
      </c>
      <c r="S97" s="3"/>
      <c r="T97" s="8">
        <v>54591.54</v>
      </c>
      <c r="U97" s="3"/>
      <c r="V97" s="7">
        <f t="shared" si="17"/>
        <v>3.3375263276721245E-2</v>
      </c>
      <c r="W97" s="3"/>
      <c r="X97" s="8">
        <f t="shared" si="18"/>
        <v>43784.959999999999</v>
      </c>
      <c r="Y97" s="3"/>
      <c r="Z97" s="7">
        <f t="shared" si="19"/>
        <v>0.80204661747955819</v>
      </c>
    </row>
    <row r="98" spans="1:26" s="69" customFormat="1" ht="15" hidden="1" customHeight="1" outlineLevel="2" x14ac:dyDescent="0.3">
      <c r="A98" s="26"/>
      <c r="B98" s="12" t="str">
        <f>CONCATENATE("          ","6005"," - ","TEMPORARY WAGES-HOURLY")</f>
        <v xml:space="preserve">          6005 - TEMPORARY WAGES-HOURLY</v>
      </c>
      <c r="C98" s="12"/>
      <c r="D98" s="8"/>
      <c r="E98" s="3"/>
      <c r="F98" s="7">
        <f t="shared" si="12"/>
        <v>0</v>
      </c>
      <c r="G98" s="3"/>
      <c r="H98" s="8">
        <v>4923.55</v>
      </c>
      <c r="I98" s="3"/>
      <c r="J98" s="7">
        <f t="shared" si="13"/>
        <v>1.3448878609553868E-2</v>
      </c>
      <c r="K98" s="3"/>
      <c r="L98" s="8">
        <f t="shared" si="14"/>
        <v>-4923.55</v>
      </c>
      <c r="M98" s="3"/>
      <c r="N98" s="7">
        <f t="shared" si="15"/>
        <v>-1</v>
      </c>
      <c r="O98" s="12"/>
      <c r="P98" s="8">
        <v>22430.91</v>
      </c>
      <c r="Q98" s="3"/>
      <c r="R98" s="7">
        <f t="shared" si="16"/>
        <v>6.060239295875341E-3</v>
      </c>
      <c r="S98" s="3"/>
      <c r="T98" s="8">
        <v>42798.96</v>
      </c>
      <c r="U98" s="3"/>
      <c r="V98" s="7">
        <f t="shared" si="17"/>
        <v>2.6165712818686952E-2</v>
      </c>
      <c r="W98" s="3"/>
      <c r="X98" s="8">
        <f t="shared" si="18"/>
        <v>-20368.05</v>
      </c>
      <c r="Y98" s="3"/>
      <c r="Z98" s="7">
        <f t="shared" si="19"/>
        <v>-0.47590058263097978</v>
      </c>
    </row>
    <row r="99" spans="1:26" s="69" customFormat="1" ht="15" hidden="1" customHeight="1" outlineLevel="2" x14ac:dyDescent="0.3">
      <c r="A99" s="26"/>
      <c r="B99" s="12" t="str">
        <f>CONCATENATE("          ","6006"," - ","TEMPORARY PART TIME")</f>
        <v xml:space="preserve">          6006 - TEMPORARY PART TIME</v>
      </c>
      <c r="C99" s="12"/>
      <c r="D99" s="8"/>
      <c r="E99" s="3"/>
      <c r="F99" s="7">
        <f t="shared" si="12"/>
        <v>0</v>
      </c>
      <c r="G99" s="3"/>
      <c r="H99" s="8">
        <v>2003.66</v>
      </c>
      <c r="I99" s="3"/>
      <c r="J99" s="7">
        <f t="shared" si="13"/>
        <v>5.4730794070982731E-3</v>
      </c>
      <c r="K99" s="3"/>
      <c r="L99" s="8">
        <f t="shared" si="14"/>
        <v>-2003.66</v>
      </c>
      <c r="M99" s="3"/>
      <c r="N99" s="7">
        <f t="shared" si="15"/>
        <v>-1</v>
      </c>
      <c r="O99" s="12"/>
      <c r="P99" s="8"/>
      <c r="Q99" s="3"/>
      <c r="R99" s="7">
        <f t="shared" si="16"/>
        <v>0</v>
      </c>
      <c r="S99" s="3"/>
      <c r="T99" s="8">
        <v>4267.12</v>
      </c>
      <c r="U99" s="3"/>
      <c r="V99" s="7">
        <f t="shared" si="17"/>
        <v>2.6087605045280416E-3</v>
      </c>
      <c r="W99" s="3"/>
      <c r="X99" s="8">
        <f t="shared" si="18"/>
        <v>-4267.12</v>
      </c>
      <c r="Y99" s="3"/>
      <c r="Z99" s="7">
        <f t="shared" si="19"/>
        <v>-1</v>
      </c>
    </row>
    <row r="100" spans="1:26" s="69" customFormat="1" ht="15" hidden="1" customHeight="1" outlineLevel="2" x14ac:dyDescent="0.3">
      <c r="A100" s="26"/>
      <c r="B100" s="12" t="str">
        <f>CONCATENATE("          ","6007"," - ","STUDENT HOURLY")</f>
        <v xml:space="preserve">          6007 - STUDENT HOURLY</v>
      </c>
      <c r="C100" s="12"/>
      <c r="D100" s="8">
        <v>29038.11</v>
      </c>
      <c r="E100" s="3"/>
      <c r="F100" s="7">
        <f t="shared" si="12"/>
        <v>4.1126791059796337E-2</v>
      </c>
      <c r="G100" s="3"/>
      <c r="H100" s="8">
        <v>4185.92</v>
      </c>
      <c r="I100" s="3"/>
      <c r="J100" s="7">
        <f t="shared" si="13"/>
        <v>1.1434012033858441E-2</v>
      </c>
      <c r="K100" s="3"/>
      <c r="L100" s="8">
        <f t="shared" si="14"/>
        <v>24852.190000000002</v>
      </c>
      <c r="M100" s="3"/>
      <c r="N100" s="7">
        <f t="shared" si="15"/>
        <v>5.9370914876538494</v>
      </c>
      <c r="O100" s="12"/>
      <c r="P100" s="8">
        <v>257532.19</v>
      </c>
      <c r="Q100" s="3"/>
      <c r="R100" s="7">
        <f t="shared" si="16"/>
        <v>6.9578394179765093E-2</v>
      </c>
      <c r="S100" s="3"/>
      <c r="T100" s="8">
        <v>57937.08</v>
      </c>
      <c r="U100" s="3"/>
      <c r="V100" s="7">
        <f t="shared" si="17"/>
        <v>3.5420603604229904E-2</v>
      </c>
      <c r="W100" s="3"/>
      <c r="X100" s="8">
        <f t="shared" si="18"/>
        <v>199595.11</v>
      </c>
      <c r="Y100" s="3"/>
      <c r="Z100" s="7">
        <f t="shared" si="19"/>
        <v>3.4450322660375701</v>
      </c>
    </row>
    <row r="101" spans="1:26" s="69" customFormat="1" ht="15" hidden="1" customHeight="1" outlineLevel="2" x14ac:dyDescent="0.3">
      <c r="A101" s="26"/>
      <c r="B101" s="12" t="str">
        <f>CONCATENATE("          ","6008"," - ","STUDENT HOURLY-FICA EXEMPT")</f>
        <v xml:space="preserve">          6008 - STUDENT HOURLY-FICA EXEMPT</v>
      </c>
      <c r="C101" s="12"/>
      <c r="D101" s="8">
        <v>14062.82</v>
      </c>
      <c r="E101" s="3"/>
      <c r="F101" s="7">
        <f t="shared" si="12"/>
        <v>1.9917228078946084E-2</v>
      </c>
      <c r="G101" s="3"/>
      <c r="H101" s="8">
        <v>1508.85</v>
      </c>
      <c r="I101" s="3"/>
      <c r="J101" s="7">
        <f t="shared" si="13"/>
        <v>4.1214856130282725E-3</v>
      </c>
      <c r="K101" s="3"/>
      <c r="L101" s="8">
        <f t="shared" si="14"/>
        <v>12553.97</v>
      </c>
      <c r="M101" s="3"/>
      <c r="N101" s="7">
        <f t="shared" si="15"/>
        <v>8.3202240116645125</v>
      </c>
      <c r="O101" s="12"/>
      <c r="P101" s="8">
        <v>77342.03</v>
      </c>
      <c r="Q101" s="3"/>
      <c r="R101" s="7">
        <f t="shared" si="16"/>
        <v>2.0895773262376315E-2</v>
      </c>
      <c r="S101" s="3"/>
      <c r="T101" s="8">
        <v>7034.18</v>
      </c>
      <c r="U101" s="3"/>
      <c r="V101" s="7">
        <f t="shared" si="17"/>
        <v>4.3004393984094804E-3</v>
      </c>
      <c r="W101" s="3"/>
      <c r="X101" s="8">
        <f t="shared" si="18"/>
        <v>70307.850000000006</v>
      </c>
      <c r="Y101" s="3"/>
      <c r="Z101" s="7">
        <f t="shared" si="19"/>
        <v>9.9951735667839046</v>
      </c>
    </row>
    <row r="102" spans="1:26" s="68" customFormat="1" ht="15" customHeight="1" outlineLevel="1" collapsed="1" x14ac:dyDescent="0.3">
      <c r="A102" s="25"/>
      <c r="B102" s="14" t="str">
        <f>CONCATENATE("     ","Advertising/Promo                                 ")</f>
        <v xml:space="preserve">     Advertising/Promo                                 </v>
      </c>
      <c r="C102" s="14"/>
      <c r="D102" s="2">
        <f>SUM(OSRRefD22_2x_0)</f>
        <v>2164.9299999999998</v>
      </c>
      <c r="E102" s="2"/>
      <c r="F102" s="6">
        <f t="shared" si="12"/>
        <v>3.0661989974238983E-3</v>
      </c>
      <c r="G102" s="2"/>
      <c r="H102" s="2">
        <f>SUM(OSRRefH22_2x_0)</f>
        <v>75.62</v>
      </c>
      <c r="I102" s="2"/>
      <c r="J102" s="6">
        <f t="shared" si="13"/>
        <v>2.0655912917599364E-4</v>
      </c>
      <c r="K102" s="2"/>
      <c r="L102" s="2">
        <f t="shared" si="14"/>
        <v>2089.31</v>
      </c>
      <c r="M102" s="2"/>
      <c r="N102" s="6">
        <f t="shared" si="15"/>
        <v>27.629066384554349</v>
      </c>
      <c r="O102" s="14"/>
      <c r="P102" s="2">
        <f>SUM(OSRRefP22_2x_0)</f>
        <v>7157.82</v>
      </c>
      <c r="Q102" s="2"/>
      <c r="R102" s="6">
        <f t="shared" si="16"/>
        <v>1.9338538666867475E-3</v>
      </c>
      <c r="S102" s="2"/>
      <c r="T102" s="2">
        <f>SUM(OSRRefT22_2x_0)</f>
        <v>12893.54</v>
      </c>
      <c r="U102" s="2"/>
      <c r="V102" s="6">
        <f t="shared" si="17"/>
        <v>7.8826369812783539E-3</v>
      </c>
      <c r="W102" s="2"/>
      <c r="X102" s="2">
        <f t="shared" si="18"/>
        <v>-5735.7200000000012</v>
      </c>
      <c r="Y102" s="2"/>
      <c r="Z102" s="6">
        <f t="shared" si="19"/>
        <v>-0.44485222832519239</v>
      </c>
    </row>
    <row r="103" spans="1:26" s="69" customFormat="1" ht="15" hidden="1" customHeight="1" outlineLevel="2" x14ac:dyDescent="0.3">
      <c r="A103" s="26"/>
      <c r="B103" s="12" t="str">
        <f>CONCATENATE("          ","6362"," - ","ADVERTISING EXPENSE")</f>
        <v xml:space="preserve">          6362 - ADVERTISING EXPENSE</v>
      </c>
      <c r="C103" s="12"/>
      <c r="D103" s="8">
        <v>2164.9299999999998</v>
      </c>
      <c r="E103" s="3"/>
      <c r="F103" s="7">
        <f t="shared" si="12"/>
        <v>3.0661989974238983E-3</v>
      </c>
      <c r="G103" s="3"/>
      <c r="H103" s="8">
        <v>75.62</v>
      </c>
      <c r="I103" s="3"/>
      <c r="J103" s="7">
        <f t="shared" si="13"/>
        <v>2.0655912917599364E-4</v>
      </c>
      <c r="K103" s="3"/>
      <c r="L103" s="8">
        <f t="shared" si="14"/>
        <v>2089.31</v>
      </c>
      <c r="M103" s="3"/>
      <c r="N103" s="7">
        <f t="shared" si="15"/>
        <v>27.629066384554349</v>
      </c>
      <c r="O103" s="12"/>
      <c r="P103" s="8">
        <v>7157.82</v>
      </c>
      <c r="Q103" s="3"/>
      <c r="R103" s="7">
        <f t="shared" si="16"/>
        <v>1.9338538666867475E-3</v>
      </c>
      <c r="S103" s="3"/>
      <c r="T103" s="8">
        <v>12893.54</v>
      </c>
      <c r="U103" s="3"/>
      <c r="V103" s="7">
        <f t="shared" si="17"/>
        <v>7.8826369812783539E-3</v>
      </c>
      <c r="W103" s="3"/>
      <c r="X103" s="8">
        <f t="shared" si="18"/>
        <v>-5735.7200000000012</v>
      </c>
      <c r="Y103" s="3"/>
      <c r="Z103" s="7">
        <f t="shared" si="19"/>
        <v>-0.44485222832519239</v>
      </c>
    </row>
    <row r="104" spans="1:26" s="68" customFormat="1" ht="15" customHeight="1" outlineLevel="1" collapsed="1" x14ac:dyDescent="0.3">
      <c r="A104" s="25"/>
      <c r="B104" s="14" t="str">
        <f>CONCATENATE("     ","Discounts and Markdowns                           ")</f>
        <v xml:space="preserve">     Discounts and Markdowns                           </v>
      </c>
      <c r="C104" s="14"/>
      <c r="D104" s="2">
        <f>SUM(OSRRefD22_3x_0)</f>
        <v>0</v>
      </c>
      <c r="E104" s="2"/>
      <c r="F104" s="6">
        <f t="shared" si="12"/>
        <v>0</v>
      </c>
      <c r="G104" s="2"/>
      <c r="H104" s="2">
        <f>SUM(OSRRefH22_3x_0)</f>
        <v>0</v>
      </c>
      <c r="I104" s="2"/>
      <c r="J104" s="6">
        <f t="shared" si="13"/>
        <v>0</v>
      </c>
      <c r="K104" s="2"/>
      <c r="L104" s="2">
        <f t="shared" si="14"/>
        <v>0</v>
      </c>
      <c r="M104" s="2"/>
      <c r="N104" s="6">
        <f t="shared" si="15"/>
        <v>0</v>
      </c>
      <c r="O104" s="14"/>
      <c r="P104" s="2">
        <f>SUM(OSRRefP22_3x_0)</f>
        <v>0</v>
      </c>
      <c r="Q104" s="2"/>
      <c r="R104" s="6">
        <f t="shared" si="16"/>
        <v>0</v>
      </c>
      <c r="S104" s="2"/>
      <c r="T104" s="2">
        <f>SUM(OSRRefT22_3x_0)</f>
        <v>0</v>
      </c>
      <c r="U104" s="2"/>
      <c r="V104" s="6">
        <f t="shared" si="17"/>
        <v>0</v>
      </c>
      <c r="W104" s="2"/>
      <c r="X104" s="2">
        <f t="shared" si="18"/>
        <v>0</v>
      </c>
      <c r="Y104" s="2"/>
      <c r="Z104" s="6">
        <f t="shared" si="19"/>
        <v>0</v>
      </c>
    </row>
    <row r="105" spans="1:26" s="69" customFormat="1" ht="15" hidden="1" customHeight="1" outlineLevel="2" x14ac:dyDescent="0.3">
      <c r="A105" s="26"/>
      <c r="B105" s="12" t="str">
        <f>CONCATENATE("          ","6382"," - ","DISCOUNTS/MARK DOWNS")</f>
        <v xml:space="preserve">          6382 - DISCOUNTS/MARK DOWNS</v>
      </c>
      <c r="C105" s="12"/>
      <c r="D105" s="8"/>
      <c r="E105" s="3"/>
      <c r="F105" s="7">
        <f t="shared" si="12"/>
        <v>0</v>
      </c>
      <c r="G105" s="3"/>
      <c r="H105" s="8">
        <v>0</v>
      </c>
      <c r="I105" s="3"/>
      <c r="J105" s="7">
        <f t="shared" si="13"/>
        <v>0</v>
      </c>
      <c r="K105" s="3"/>
      <c r="L105" s="8">
        <f t="shared" si="14"/>
        <v>0</v>
      </c>
      <c r="M105" s="3"/>
      <c r="N105" s="7">
        <f t="shared" si="15"/>
        <v>0</v>
      </c>
      <c r="O105" s="12"/>
      <c r="P105" s="8"/>
      <c r="Q105" s="3"/>
      <c r="R105" s="7">
        <f t="shared" si="16"/>
        <v>0</v>
      </c>
      <c r="S105" s="3"/>
      <c r="T105" s="8">
        <v>0</v>
      </c>
      <c r="U105" s="3"/>
      <c r="V105" s="7">
        <f t="shared" si="17"/>
        <v>0</v>
      </c>
      <c r="W105" s="3"/>
      <c r="X105" s="8">
        <f t="shared" si="18"/>
        <v>0</v>
      </c>
      <c r="Y105" s="3"/>
      <c r="Z105" s="7">
        <f t="shared" si="19"/>
        <v>0</v>
      </c>
    </row>
    <row r="106" spans="1:26" s="69" customFormat="1" ht="15" hidden="1" customHeight="1" outlineLevel="2" x14ac:dyDescent="0.3">
      <c r="A106" s="26"/>
      <c r="B106" s="12" t="str">
        <f>CONCATENATE("          ","9175"," - ","EARNED DISCOUNTS")</f>
        <v xml:space="preserve">          9175 - EARNED DISCOUNTS</v>
      </c>
      <c r="C106" s="12"/>
      <c r="D106" s="8"/>
      <c r="E106" s="3"/>
      <c r="F106" s="7">
        <f t="shared" si="12"/>
        <v>0</v>
      </c>
      <c r="G106" s="3"/>
      <c r="H106" s="8">
        <v>0</v>
      </c>
      <c r="I106" s="3"/>
      <c r="J106" s="7">
        <f t="shared" si="13"/>
        <v>0</v>
      </c>
      <c r="K106" s="3"/>
      <c r="L106" s="8">
        <f t="shared" si="14"/>
        <v>0</v>
      </c>
      <c r="M106" s="3"/>
      <c r="N106" s="7">
        <f t="shared" si="15"/>
        <v>0</v>
      </c>
      <c r="O106" s="12"/>
      <c r="P106" s="8">
        <v>0</v>
      </c>
      <c r="Q106" s="3"/>
      <c r="R106" s="7">
        <f t="shared" si="16"/>
        <v>0</v>
      </c>
      <c r="S106" s="3"/>
      <c r="T106" s="8">
        <v>0</v>
      </c>
      <c r="U106" s="3"/>
      <c r="V106" s="7">
        <f t="shared" si="17"/>
        <v>0</v>
      </c>
      <c r="W106" s="3"/>
      <c r="X106" s="8">
        <f t="shared" si="18"/>
        <v>0</v>
      </c>
      <c r="Y106" s="3"/>
      <c r="Z106" s="7">
        <f t="shared" si="19"/>
        <v>0</v>
      </c>
    </row>
    <row r="107" spans="1:26" s="68" customFormat="1" ht="15" customHeight="1" outlineLevel="1" collapsed="1" x14ac:dyDescent="0.3">
      <c r="A107" s="25"/>
      <c r="B107" s="14" t="str">
        <f>CONCATENATE("     ","Employees' Appreciation                           ")</f>
        <v xml:space="preserve">     Employees' Appreciation                           </v>
      </c>
      <c r="C107" s="14"/>
      <c r="D107" s="2">
        <f>SUM(OSRRefD22_4x_0)</f>
        <v>0</v>
      </c>
      <c r="E107" s="2"/>
      <c r="F107" s="6">
        <f t="shared" si="12"/>
        <v>0</v>
      </c>
      <c r="G107" s="2"/>
      <c r="H107" s="2">
        <f>SUM(OSRRefH22_4x_0)</f>
        <v>0</v>
      </c>
      <c r="I107" s="2"/>
      <c r="J107" s="6">
        <f t="shared" si="13"/>
        <v>0</v>
      </c>
      <c r="K107" s="2"/>
      <c r="L107" s="2">
        <f t="shared" si="14"/>
        <v>0</v>
      </c>
      <c r="M107" s="2"/>
      <c r="N107" s="6">
        <f t="shared" si="15"/>
        <v>0</v>
      </c>
      <c r="O107" s="14"/>
      <c r="P107" s="2">
        <f>SUM(OSRRefP22_4x_0)</f>
        <v>291.13</v>
      </c>
      <c r="Q107" s="2"/>
      <c r="R107" s="6">
        <f t="shared" si="16"/>
        <v>7.865563484531782E-5</v>
      </c>
      <c r="S107" s="2"/>
      <c r="T107" s="2">
        <f>SUM(OSRRefT22_4x_0)</f>
        <v>0</v>
      </c>
      <c r="U107" s="2"/>
      <c r="V107" s="6">
        <f t="shared" si="17"/>
        <v>0</v>
      </c>
      <c r="W107" s="2"/>
      <c r="X107" s="2">
        <f t="shared" si="18"/>
        <v>291.13</v>
      </c>
      <c r="Y107" s="2"/>
      <c r="Z107" s="6">
        <f t="shared" si="19"/>
        <v>0</v>
      </c>
    </row>
    <row r="108" spans="1:26" s="69" customFormat="1" ht="15" hidden="1" customHeight="1" outlineLevel="2" x14ac:dyDescent="0.3">
      <c r="A108" s="26"/>
      <c r="B108" s="12" t="str">
        <f>CONCATENATE("          ","6277"," - ","EMPLOYEE APPRECIATION")</f>
        <v xml:space="preserve">          6277 - EMPLOYEE APPRECIATION</v>
      </c>
      <c r="C108" s="12"/>
      <c r="D108" s="8"/>
      <c r="E108" s="3"/>
      <c r="F108" s="7">
        <f t="shared" si="12"/>
        <v>0</v>
      </c>
      <c r="G108" s="3"/>
      <c r="H108" s="8"/>
      <c r="I108" s="3"/>
      <c r="J108" s="7">
        <f t="shared" si="13"/>
        <v>0</v>
      </c>
      <c r="K108" s="3"/>
      <c r="L108" s="8">
        <f t="shared" si="14"/>
        <v>0</v>
      </c>
      <c r="M108" s="3"/>
      <c r="N108" s="7">
        <f t="shared" si="15"/>
        <v>0</v>
      </c>
      <c r="O108" s="12"/>
      <c r="P108" s="8">
        <v>291.13</v>
      </c>
      <c r="Q108" s="3"/>
      <c r="R108" s="7">
        <f t="shared" si="16"/>
        <v>7.865563484531782E-5</v>
      </c>
      <c r="S108" s="3"/>
      <c r="T108" s="8"/>
      <c r="U108" s="3"/>
      <c r="V108" s="7">
        <f t="shared" si="17"/>
        <v>0</v>
      </c>
      <c r="W108" s="3"/>
      <c r="X108" s="8">
        <f t="shared" si="18"/>
        <v>291.13</v>
      </c>
      <c r="Y108" s="3"/>
      <c r="Z108" s="7">
        <f t="shared" si="19"/>
        <v>0</v>
      </c>
    </row>
    <row r="109" spans="1:26" s="68" customFormat="1" ht="15" customHeight="1" outlineLevel="1" collapsed="1" x14ac:dyDescent="0.3">
      <c r="A109" s="25"/>
      <c r="B109" s="14" t="str">
        <f>CONCATENATE("     ","Equipment Rental                                  ")</f>
        <v xml:space="preserve">     Equipment Rental                                  </v>
      </c>
      <c r="C109" s="14"/>
      <c r="D109" s="2">
        <f>SUM(OSRRefD22_5x_0)</f>
        <v>0</v>
      </c>
      <c r="E109" s="2"/>
      <c r="F109" s="6">
        <f t="shared" si="12"/>
        <v>0</v>
      </c>
      <c r="G109" s="2"/>
      <c r="H109" s="2">
        <f>SUM(OSRRefH22_5x_0)</f>
        <v>0</v>
      </c>
      <c r="I109" s="2"/>
      <c r="J109" s="6">
        <f t="shared" si="13"/>
        <v>0</v>
      </c>
      <c r="K109" s="2"/>
      <c r="L109" s="2">
        <f t="shared" si="14"/>
        <v>0</v>
      </c>
      <c r="M109" s="2"/>
      <c r="N109" s="6">
        <f t="shared" si="15"/>
        <v>0</v>
      </c>
      <c r="O109" s="14"/>
      <c r="P109" s="2">
        <f>SUM(OSRRefP22_5x_0)</f>
        <v>118.91</v>
      </c>
      <c r="Q109" s="2"/>
      <c r="R109" s="6">
        <f t="shared" si="16"/>
        <v>3.2126340601987915E-5</v>
      </c>
      <c r="S109" s="2"/>
      <c r="T109" s="2">
        <f>SUM(OSRRefT22_5x_0)</f>
        <v>0</v>
      </c>
      <c r="U109" s="2"/>
      <c r="V109" s="6">
        <f t="shared" si="17"/>
        <v>0</v>
      </c>
      <c r="W109" s="2"/>
      <c r="X109" s="2">
        <f t="shared" si="18"/>
        <v>118.91</v>
      </c>
      <c r="Y109" s="2"/>
      <c r="Z109" s="6">
        <f t="shared" si="19"/>
        <v>0</v>
      </c>
    </row>
    <row r="110" spans="1:26" s="69" customFormat="1" ht="15" hidden="1" customHeight="1" outlineLevel="2" x14ac:dyDescent="0.3">
      <c r="A110" s="26"/>
      <c r="B110" s="12" t="str">
        <f>CONCATENATE("          ","6351"," - ","EQUIPMENT RENTAL")</f>
        <v xml:space="preserve">          6351 - EQUIPMENT RENTAL</v>
      </c>
      <c r="C110" s="12"/>
      <c r="D110" s="8"/>
      <c r="E110" s="3"/>
      <c r="F110" s="7">
        <f t="shared" si="12"/>
        <v>0</v>
      </c>
      <c r="G110" s="3"/>
      <c r="H110" s="8"/>
      <c r="I110" s="3"/>
      <c r="J110" s="7">
        <f t="shared" si="13"/>
        <v>0</v>
      </c>
      <c r="K110" s="3"/>
      <c r="L110" s="8">
        <f t="shared" si="14"/>
        <v>0</v>
      </c>
      <c r="M110" s="3"/>
      <c r="N110" s="7">
        <f t="shared" si="15"/>
        <v>0</v>
      </c>
      <c r="O110" s="12"/>
      <c r="P110" s="8">
        <v>118.91</v>
      </c>
      <c r="Q110" s="3"/>
      <c r="R110" s="7">
        <f t="shared" si="16"/>
        <v>3.2126340601987915E-5</v>
      </c>
      <c r="S110" s="3"/>
      <c r="T110" s="8"/>
      <c r="U110" s="3"/>
      <c r="V110" s="7">
        <f t="shared" si="17"/>
        <v>0</v>
      </c>
      <c r="W110" s="3"/>
      <c r="X110" s="8">
        <f t="shared" si="18"/>
        <v>118.91</v>
      </c>
      <c r="Y110" s="3"/>
      <c r="Z110" s="7">
        <f t="shared" si="19"/>
        <v>0</v>
      </c>
    </row>
    <row r="111" spans="1:26" s="68" customFormat="1" ht="15" customHeight="1" outlineLevel="1" collapsed="1" x14ac:dyDescent="0.3">
      <c r="A111" s="25"/>
      <c r="B111" s="14" t="str">
        <f>CONCATENATE("     ","Freight out/Postage                               ")</f>
        <v xml:space="preserve">     Freight out/Postage                               </v>
      </c>
      <c r="C111" s="14"/>
      <c r="D111" s="2">
        <f>SUM(OSRRefD22_6x_0)</f>
        <v>0</v>
      </c>
      <c r="E111" s="2"/>
      <c r="F111" s="6">
        <f t="shared" si="12"/>
        <v>0</v>
      </c>
      <c r="G111" s="2"/>
      <c r="H111" s="2">
        <f>SUM(OSRRefH22_6x_0)</f>
        <v>40.200000000000003</v>
      </c>
      <c r="I111" s="2"/>
      <c r="J111" s="6">
        <f t="shared" si="13"/>
        <v>1.098079475386795E-4</v>
      </c>
      <c r="K111" s="2"/>
      <c r="L111" s="2">
        <f t="shared" si="14"/>
        <v>-40.200000000000003</v>
      </c>
      <c r="M111" s="2"/>
      <c r="N111" s="6">
        <f t="shared" si="15"/>
        <v>-1</v>
      </c>
      <c r="O111" s="14"/>
      <c r="P111" s="2">
        <f>SUM(OSRRefP22_6x_0)</f>
        <v>929.29</v>
      </c>
      <c r="Q111" s="2"/>
      <c r="R111" s="6">
        <f t="shared" si="16"/>
        <v>2.5106960775394291E-4</v>
      </c>
      <c r="S111" s="2"/>
      <c r="T111" s="2">
        <f>SUM(OSRRefT22_6x_0)</f>
        <v>-175.89999999999998</v>
      </c>
      <c r="U111" s="2"/>
      <c r="V111" s="6">
        <f t="shared" si="17"/>
        <v>-1.0753880198974542E-4</v>
      </c>
      <c r="W111" s="2"/>
      <c r="X111" s="2">
        <f t="shared" si="18"/>
        <v>1105.19</v>
      </c>
      <c r="Y111" s="2"/>
      <c r="Z111" s="6">
        <f t="shared" si="19"/>
        <v>-6.2830585559977274</v>
      </c>
    </row>
    <row r="112" spans="1:26" s="69" customFormat="1" ht="15" hidden="1" customHeight="1" outlineLevel="2" x14ac:dyDescent="0.3">
      <c r="A112" s="26"/>
      <c r="B112" s="12" t="str">
        <f>CONCATENATE("          ","6305"," - ","FREIGHT OUT")</f>
        <v xml:space="preserve">          6305 - FREIGHT OUT</v>
      </c>
      <c r="C112" s="12"/>
      <c r="D112" s="8"/>
      <c r="E112" s="3"/>
      <c r="F112" s="7">
        <f t="shared" si="12"/>
        <v>0</v>
      </c>
      <c r="G112" s="3"/>
      <c r="H112" s="8">
        <v>40.200000000000003</v>
      </c>
      <c r="I112" s="3"/>
      <c r="J112" s="7">
        <f t="shared" si="13"/>
        <v>1.098079475386795E-4</v>
      </c>
      <c r="K112" s="3"/>
      <c r="L112" s="8">
        <f t="shared" si="14"/>
        <v>-40.200000000000003</v>
      </c>
      <c r="M112" s="3"/>
      <c r="N112" s="7">
        <f t="shared" si="15"/>
        <v>-1</v>
      </c>
      <c r="O112" s="12"/>
      <c r="P112" s="8">
        <v>893.87</v>
      </c>
      <c r="Q112" s="3"/>
      <c r="R112" s="7">
        <f t="shared" si="16"/>
        <v>2.4150005948952099E-4</v>
      </c>
      <c r="S112" s="3"/>
      <c r="T112" s="8">
        <v>113.44</v>
      </c>
      <c r="U112" s="3"/>
      <c r="V112" s="7">
        <f t="shared" si="17"/>
        <v>6.9353051152454354E-5</v>
      </c>
      <c r="W112" s="3"/>
      <c r="X112" s="8">
        <f t="shared" si="18"/>
        <v>780.43000000000006</v>
      </c>
      <c r="Y112" s="3"/>
      <c r="Z112" s="7">
        <f t="shared" si="19"/>
        <v>6.8796720733427366</v>
      </c>
    </row>
    <row r="113" spans="1:26" s="69" customFormat="1" ht="15" hidden="1" customHeight="1" outlineLevel="2" x14ac:dyDescent="0.3">
      <c r="A113" s="26"/>
      <c r="B113" s="12" t="str">
        <f>CONCATENATE("          ","6307"," - ","POSTAGE")</f>
        <v xml:space="preserve">          6307 - POSTAGE</v>
      </c>
      <c r="C113" s="12"/>
      <c r="D113" s="8"/>
      <c r="E113" s="3"/>
      <c r="F113" s="7">
        <f t="shared" si="12"/>
        <v>0</v>
      </c>
      <c r="G113" s="3"/>
      <c r="H113" s="8"/>
      <c r="I113" s="3"/>
      <c r="J113" s="7">
        <f t="shared" si="13"/>
        <v>0</v>
      </c>
      <c r="K113" s="3"/>
      <c r="L113" s="8">
        <f t="shared" si="14"/>
        <v>0</v>
      </c>
      <c r="M113" s="3"/>
      <c r="N113" s="7">
        <f t="shared" si="15"/>
        <v>0</v>
      </c>
      <c r="O113" s="12"/>
      <c r="P113" s="8">
        <v>35.42</v>
      </c>
      <c r="Q113" s="3"/>
      <c r="R113" s="7">
        <f t="shared" si="16"/>
        <v>9.5695482644219327E-6</v>
      </c>
      <c r="S113" s="3"/>
      <c r="T113" s="8">
        <v>-289.33999999999997</v>
      </c>
      <c r="U113" s="3"/>
      <c r="V113" s="7">
        <f t="shared" si="17"/>
        <v>-1.7689185314219977E-4</v>
      </c>
      <c r="W113" s="3"/>
      <c r="X113" s="8">
        <f t="shared" si="18"/>
        <v>324.76</v>
      </c>
      <c r="Y113" s="3"/>
      <c r="Z113" s="7">
        <f t="shared" si="19"/>
        <v>-1.1224165341812402</v>
      </c>
    </row>
    <row r="114" spans="1:26" s="68" customFormat="1" ht="15" customHeight="1" outlineLevel="1" collapsed="1" x14ac:dyDescent="0.3">
      <c r="A114" s="25"/>
      <c r="B114" s="14" t="str">
        <f>CONCATENATE("     ","General                                           ")</f>
        <v xml:space="preserve">     General                                           </v>
      </c>
      <c r="C114" s="14"/>
      <c r="D114" s="2">
        <f>SUM(OSRRefD22_7x_0)</f>
        <v>-168.94</v>
      </c>
      <c r="E114" s="2"/>
      <c r="F114" s="6">
        <f t="shared" si="12"/>
        <v>-2.3927039609816179E-4</v>
      </c>
      <c r="G114" s="2"/>
      <c r="H114" s="2">
        <f>SUM(OSRRefH22_7x_0)</f>
        <v>0</v>
      </c>
      <c r="I114" s="2"/>
      <c r="J114" s="6">
        <f t="shared" si="13"/>
        <v>0</v>
      </c>
      <c r="K114" s="2"/>
      <c r="L114" s="2">
        <f t="shared" si="14"/>
        <v>-168.94</v>
      </c>
      <c r="M114" s="2"/>
      <c r="N114" s="6">
        <f t="shared" si="15"/>
        <v>0</v>
      </c>
      <c r="O114" s="14"/>
      <c r="P114" s="2">
        <f>SUM(OSRRefP22_7x_0)</f>
        <v>988.17</v>
      </c>
      <c r="Q114" s="2"/>
      <c r="R114" s="6">
        <f t="shared" si="16"/>
        <v>2.6697742824544947E-4</v>
      </c>
      <c r="S114" s="2"/>
      <c r="T114" s="2">
        <f>SUM(OSRRefT22_7x_0)</f>
        <v>0</v>
      </c>
      <c r="U114" s="2"/>
      <c r="V114" s="6">
        <f t="shared" si="17"/>
        <v>0</v>
      </c>
      <c r="W114" s="2"/>
      <c r="X114" s="2">
        <f t="shared" si="18"/>
        <v>988.17</v>
      </c>
      <c r="Y114" s="2"/>
      <c r="Z114" s="6">
        <f t="shared" si="19"/>
        <v>0</v>
      </c>
    </row>
    <row r="115" spans="1:26" s="69" customFormat="1" ht="15" hidden="1" customHeight="1" outlineLevel="2" x14ac:dyDescent="0.3">
      <c r="A115" s="26"/>
      <c r="B115" s="12" t="str">
        <f>CONCATENATE("          ","6279"," - ","GENERAL EXPENSE")</f>
        <v xml:space="preserve">          6279 - GENERAL EXPENSE</v>
      </c>
      <c r="C115" s="12"/>
      <c r="D115" s="8">
        <v>-168.94</v>
      </c>
      <c r="E115" s="3"/>
      <c r="F115" s="7">
        <f t="shared" si="12"/>
        <v>-2.3927039609816179E-4</v>
      </c>
      <c r="G115" s="3"/>
      <c r="H115" s="8"/>
      <c r="I115" s="3"/>
      <c r="J115" s="7">
        <f t="shared" si="13"/>
        <v>0</v>
      </c>
      <c r="K115" s="3"/>
      <c r="L115" s="8">
        <f t="shared" si="14"/>
        <v>-168.94</v>
      </c>
      <c r="M115" s="3"/>
      <c r="N115" s="7">
        <f t="shared" si="15"/>
        <v>0</v>
      </c>
      <c r="O115" s="12"/>
      <c r="P115" s="8">
        <v>988.17</v>
      </c>
      <c r="Q115" s="3"/>
      <c r="R115" s="7">
        <f t="shared" si="16"/>
        <v>2.6697742824544947E-4</v>
      </c>
      <c r="S115" s="3"/>
      <c r="T115" s="8"/>
      <c r="U115" s="3"/>
      <c r="V115" s="7">
        <f t="shared" si="17"/>
        <v>0</v>
      </c>
      <c r="W115" s="3"/>
      <c r="X115" s="8">
        <f t="shared" si="18"/>
        <v>988.17</v>
      </c>
      <c r="Y115" s="3"/>
      <c r="Z115" s="7">
        <f t="shared" si="19"/>
        <v>0</v>
      </c>
    </row>
    <row r="116" spans="1:26" s="68" customFormat="1" ht="15" customHeight="1" outlineLevel="1" collapsed="1" x14ac:dyDescent="0.3">
      <c r="A116" s="25"/>
      <c r="B116" s="14" t="str">
        <f>CONCATENATE("     ","Inventory Adjustment                              ")</f>
        <v xml:space="preserve">     Inventory Adjustment                              </v>
      </c>
      <c r="C116" s="14"/>
      <c r="D116" s="2">
        <f>SUM(OSRRefD22_8x_0)</f>
        <v>3350</v>
      </c>
      <c r="E116" s="2"/>
      <c r="F116" s="6">
        <f t="shared" si="12"/>
        <v>4.7446183670465372E-3</v>
      </c>
      <c r="G116" s="2"/>
      <c r="H116" s="2">
        <f>SUM(OSRRefH22_8x_0)</f>
        <v>1000</v>
      </c>
      <c r="I116" s="2"/>
      <c r="J116" s="6">
        <f t="shared" si="13"/>
        <v>2.7315409835492414E-3</v>
      </c>
      <c r="K116" s="2"/>
      <c r="L116" s="2">
        <f t="shared" si="14"/>
        <v>2350</v>
      </c>
      <c r="M116" s="2"/>
      <c r="N116" s="6">
        <f t="shared" si="15"/>
        <v>2.35</v>
      </c>
      <c r="O116" s="14"/>
      <c r="P116" s="2">
        <f>SUM(OSRRefP22_8x_0)</f>
        <v>33500</v>
      </c>
      <c r="Q116" s="2"/>
      <c r="R116" s="6">
        <f t="shared" si="16"/>
        <v>9.0508149875249792E-3</v>
      </c>
      <c r="S116" s="2"/>
      <c r="T116" s="2">
        <f>SUM(OSRRefT22_8x_0)</f>
        <v>10000</v>
      </c>
      <c r="U116" s="2"/>
      <c r="V116" s="6">
        <f t="shared" si="17"/>
        <v>6.1136328589963288E-3</v>
      </c>
      <c r="W116" s="2"/>
      <c r="X116" s="2">
        <f t="shared" si="18"/>
        <v>23500</v>
      </c>
      <c r="Y116" s="2"/>
      <c r="Z116" s="6">
        <f t="shared" si="19"/>
        <v>2.35</v>
      </c>
    </row>
    <row r="117" spans="1:26" s="69" customFormat="1" ht="15" hidden="1" customHeight="1" outlineLevel="2" x14ac:dyDescent="0.3">
      <c r="A117" s="26"/>
      <c r="B117" s="12" t="str">
        <f>CONCATENATE("          ","6408"," - ","INVENTORY ADJUSTMENT")</f>
        <v xml:space="preserve">          6408 - INVENTORY ADJUSTMENT</v>
      </c>
      <c r="C117" s="12"/>
      <c r="D117" s="8">
        <v>3350</v>
      </c>
      <c r="E117" s="3"/>
      <c r="F117" s="7">
        <f t="shared" ref="F117:F141" si="20">IF(D$12=0,0,D117/D$12)</f>
        <v>4.7446183670465372E-3</v>
      </c>
      <c r="G117" s="3"/>
      <c r="H117" s="8">
        <v>1000</v>
      </c>
      <c r="I117" s="3"/>
      <c r="J117" s="7">
        <f t="shared" ref="J117:J141" si="21">IF(H$12=0,0,H117/H$12)</f>
        <v>2.7315409835492414E-3</v>
      </c>
      <c r="K117" s="3"/>
      <c r="L117" s="8">
        <f t="shared" ref="L117:L141" si="22">+D117-H117</f>
        <v>2350</v>
      </c>
      <c r="M117" s="3"/>
      <c r="N117" s="7">
        <f t="shared" ref="N117:N141" si="23">IF(H117=0,0,L117/H117)</f>
        <v>2.35</v>
      </c>
      <c r="O117" s="12"/>
      <c r="P117" s="8">
        <v>33500</v>
      </c>
      <c r="Q117" s="3"/>
      <c r="R117" s="7">
        <f t="shared" ref="R117:R141" si="24">IF(P$12=0,0,P117/P$12)</f>
        <v>9.0508149875249792E-3</v>
      </c>
      <c r="S117" s="3"/>
      <c r="T117" s="8">
        <v>10000</v>
      </c>
      <c r="U117" s="3"/>
      <c r="V117" s="7">
        <f t="shared" ref="V117:V141" si="25">IF(T$12=0,0,T117/T$12)</f>
        <v>6.1136328589963288E-3</v>
      </c>
      <c r="W117" s="3"/>
      <c r="X117" s="8">
        <f t="shared" ref="X117:X141" si="26">+P117-T117</f>
        <v>23500</v>
      </c>
      <c r="Y117" s="3"/>
      <c r="Z117" s="7">
        <f t="shared" ref="Z117:Z141" si="27">IF(T117=0,0,X117/T117)</f>
        <v>2.35</v>
      </c>
    </row>
    <row r="118" spans="1:26" s="69" customFormat="1" ht="15" hidden="1" customHeight="1" outlineLevel="2" x14ac:dyDescent="0.3">
      <c r="A118" s="26"/>
      <c r="B118" s="12" t="str">
        <f>CONCATENATE("          ","7741"," - ","INV. SHRINKAGE-LOGO GIFTS")</f>
        <v xml:space="preserve">          7741 - INV. SHRINKAGE-LOGO GIFTS</v>
      </c>
      <c r="C118" s="12"/>
      <c r="D118" s="8"/>
      <c r="E118" s="3"/>
      <c r="F118" s="7">
        <f t="shared" si="20"/>
        <v>0</v>
      </c>
      <c r="G118" s="3"/>
      <c r="H118" s="8"/>
      <c r="I118" s="3"/>
      <c r="J118" s="7">
        <f t="shared" si="21"/>
        <v>0</v>
      </c>
      <c r="K118" s="3"/>
      <c r="L118" s="8">
        <f t="shared" si="22"/>
        <v>0</v>
      </c>
      <c r="M118" s="3"/>
      <c r="N118" s="7">
        <f t="shared" si="23"/>
        <v>0</v>
      </c>
      <c r="O118" s="12"/>
      <c r="P118" s="8"/>
      <c r="Q118" s="3"/>
      <c r="R118" s="7">
        <f t="shared" si="24"/>
        <v>0</v>
      </c>
      <c r="S118" s="3"/>
      <c r="T118" s="8">
        <v>0</v>
      </c>
      <c r="U118" s="3"/>
      <c r="V118" s="7">
        <f t="shared" si="25"/>
        <v>0</v>
      </c>
      <c r="W118" s="3"/>
      <c r="X118" s="8">
        <f t="shared" si="26"/>
        <v>0</v>
      </c>
      <c r="Y118" s="3"/>
      <c r="Z118" s="7">
        <f t="shared" si="27"/>
        <v>0</v>
      </c>
    </row>
    <row r="119" spans="1:26" s="68" customFormat="1" ht="15" customHeight="1" outlineLevel="1" collapsed="1" x14ac:dyDescent="0.3">
      <c r="A119" s="25"/>
      <c r="B119" s="14" t="str">
        <f>CONCATENATE("     ","Professional Services                             ")</f>
        <v xml:space="preserve">     Professional Services                             </v>
      </c>
      <c r="C119" s="14"/>
      <c r="D119" s="2">
        <f>SUM(OSRRefD22_9x_0)</f>
        <v>0</v>
      </c>
      <c r="E119" s="2"/>
      <c r="F119" s="6">
        <f t="shared" si="20"/>
        <v>0</v>
      </c>
      <c r="G119" s="2"/>
      <c r="H119" s="2">
        <f>SUM(OSRRefH22_9x_0)</f>
        <v>0</v>
      </c>
      <c r="I119" s="2"/>
      <c r="J119" s="6">
        <f t="shared" si="21"/>
        <v>0</v>
      </c>
      <c r="K119" s="2"/>
      <c r="L119" s="2">
        <f t="shared" si="22"/>
        <v>0</v>
      </c>
      <c r="M119" s="2"/>
      <c r="N119" s="6">
        <f t="shared" si="23"/>
        <v>0</v>
      </c>
      <c r="O119" s="14"/>
      <c r="P119" s="2">
        <f>SUM(OSRRefP22_9x_0)</f>
        <v>1947.64</v>
      </c>
      <c r="Q119" s="2"/>
      <c r="R119" s="6">
        <f t="shared" si="24"/>
        <v>5.2620087469561639E-4</v>
      </c>
      <c r="S119" s="2"/>
      <c r="T119" s="2">
        <f>SUM(OSRRefT22_9x_0)</f>
        <v>0</v>
      </c>
      <c r="U119" s="2"/>
      <c r="V119" s="6">
        <f t="shared" si="25"/>
        <v>0</v>
      </c>
      <c r="W119" s="2"/>
      <c r="X119" s="2">
        <f t="shared" si="26"/>
        <v>1947.64</v>
      </c>
      <c r="Y119" s="2"/>
      <c r="Z119" s="6">
        <f t="shared" si="27"/>
        <v>0</v>
      </c>
    </row>
    <row r="120" spans="1:26" s="69" customFormat="1" ht="15" hidden="1" customHeight="1" outlineLevel="2" x14ac:dyDescent="0.3">
      <c r="A120" s="26"/>
      <c r="B120" s="12" t="str">
        <f>CONCATENATE("          ","6336"," - ","PROFESSIONAL SERVICES")</f>
        <v xml:space="preserve">          6336 - PROFESSIONAL SERVICES</v>
      </c>
      <c r="C120" s="12"/>
      <c r="D120" s="8"/>
      <c r="E120" s="3"/>
      <c r="F120" s="7">
        <f t="shared" si="20"/>
        <v>0</v>
      </c>
      <c r="G120" s="3"/>
      <c r="H120" s="8"/>
      <c r="I120" s="3"/>
      <c r="J120" s="7">
        <f t="shared" si="21"/>
        <v>0</v>
      </c>
      <c r="K120" s="3"/>
      <c r="L120" s="8">
        <f t="shared" si="22"/>
        <v>0</v>
      </c>
      <c r="M120" s="3"/>
      <c r="N120" s="7">
        <f t="shared" si="23"/>
        <v>0</v>
      </c>
      <c r="O120" s="12"/>
      <c r="P120" s="8">
        <v>1947.64</v>
      </c>
      <c r="Q120" s="3"/>
      <c r="R120" s="7">
        <f t="shared" si="24"/>
        <v>5.2620087469561639E-4</v>
      </c>
      <c r="S120" s="3"/>
      <c r="T120" s="8"/>
      <c r="U120" s="3"/>
      <c r="V120" s="7">
        <f t="shared" si="25"/>
        <v>0</v>
      </c>
      <c r="W120" s="3"/>
      <c r="X120" s="8">
        <f t="shared" si="26"/>
        <v>1947.64</v>
      </c>
      <c r="Y120" s="3"/>
      <c r="Z120" s="7">
        <f t="shared" si="27"/>
        <v>0</v>
      </c>
    </row>
    <row r="121" spans="1:26" s="68" customFormat="1" ht="15" customHeight="1" outlineLevel="1" collapsed="1" x14ac:dyDescent="0.3">
      <c r="A121" s="25"/>
      <c r="B121" s="14" t="str">
        <f>CONCATENATE("     ","Repair and Maintenance                            ")</f>
        <v xml:space="preserve">     Repair and Maintenance                            </v>
      </c>
      <c r="C121" s="14"/>
      <c r="D121" s="2">
        <f>SUM(OSRRefD22_10x_0)</f>
        <v>2154.4699999999998</v>
      </c>
      <c r="E121" s="2"/>
      <c r="F121" s="6">
        <f t="shared" si="20"/>
        <v>3.0513844576867915E-3</v>
      </c>
      <c r="G121" s="2"/>
      <c r="H121" s="2">
        <f>SUM(OSRRefH22_10x_0)</f>
        <v>0</v>
      </c>
      <c r="I121" s="2"/>
      <c r="J121" s="6">
        <f t="shared" si="21"/>
        <v>0</v>
      </c>
      <c r="K121" s="2"/>
      <c r="L121" s="2">
        <f t="shared" si="22"/>
        <v>2154.4699999999998</v>
      </c>
      <c r="M121" s="2"/>
      <c r="N121" s="6">
        <f t="shared" si="23"/>
        <v>0</v>
      </c>
      <c r="O121" s="14"/>
      <c r="P121" s="2">
        <f>SUM(OSRRefP22_10x_0)</f>
        <v>3859.0499999999997</v>
      </c>
      <c r="Q121" s="2"/>
      <c r="R121" s="6">
        <f t="shared" si="24"/>
        <v>1.04261336052562E-3</v>
      </c>
      <c r="S121" s="2"/>
      <c r="T121" s="2">
        <f>SUM(OSRRefT22_10x_0)</f>
        <v>0</v>
      </c>
      <c r="U121" s="2"/>
      <c r="V121" s="6">
        <f t="shared" si="25"/>
        <v>0</v>
      </c>
      <c r="W121" s="2"/>
      <c r="X121" s="2">
        <f t="shared" si="26"/>
        <v>3859.0499999999997</v>
      </c>
      <c r="Y121" s="2"/>
      <c r="Z121" s="6">
        <f t="shared" si="27"/>
        <v>0</v>
      </c>
    </row>
    <row r="122" spans="1:26" s="69" customFormat="1" ht="15" hidden="1" customHeight="1" outlineLevel="2" x14ac:dyDescent="0.3">
      <c r="A122" s="26"/>
      <c r="B122" s="12" t="str">
        <f>CONCATENATE("          ","6373"," - ","MAINTENANCE CONTRACTS")</f>
        <v xml:space="preserve">          6373 - MAINTENANCE CONTRACTS</v>
      </c>
      <c r="C122" s="12"/>
      <c r="D122" s="8"/>
      <c r="E122" s="3"/>
      <c r="F122" s="7">
        <f t="shared" si="20"/>
        <v>0</v>
      </c>
      <c r="G122" s="3"/>
      <c r="H122" s="8"/>
      <c r="I122" s="3"/>
      <c r="J122" s="7">
        <f t="shared" si="21"/>
        <v>0</v>
      </c>
      <c r="K122" s="3"/>
      <c r="L122" s="8">
        <f t="shared" si="22"/>
        <v>0</v>
      </c>
      <c r="M122" s="3"/>
      <c r="N122" s="7">
        <f t="shared" si="23"/>
        <v>0</v>
      </c>
      <c r="O122" s="12"/>
      <c r="P122" s="8">
        <v>17.739999999999998</v>
      </c>
      <c r="Q122" s="3"/>
      <c r="R122" s="7">
        <f t="shared" si="24"/>
        <v>4.7928793396624806E-6</v>
      </c>
      <c r="S122" s="3"/>
      <c r="T122" s="8"/>
      <c r="U122" s="3"/>
      <c r="V122" s="7">
        <f t="shared" si="25"/>
        <v>0</v>
      </c>
      <c r="W122" s="3"/>
      <c r="X122" s="8">
        <f t="shared" si="26"/>
        <v>17.739999999999998</v>
      </c>
      <c r="Y122" s="3"/>
      <c r="Z122" s="7">
        <f t="shared" si="27"/>
        <v>0</v>
      </c>
    </row>
    <row r="123" spans="1:26" s="69" customFormat="1" ht="15" hidden="1" customHeight="1" outlineLevel="2" x14ac:dyDescent="0.3">
      <c r="A123" s="26"/>
      <c r="B123" s="12" t="str">
        <f>CONCATENATE("          ","6375"," - ","OUTSIDE REPAIRS &amp; MAINTENANCE")</f>
        <v xml:space="preserve">          6375 - OUTSIDE REPAIRS &amp; MAINTENANCE</v>
      </c>
      <c r="C123" s="12"/>
      <c r="D123" s="8">
        <v>2154.4699999999998</v>
      </c>
      <c r="E123" s="3"/>
      <c r="F123" s="7">
        <f t="shared" si="20"/>
        <v>3.0513844576867915E-3</v>
      </c>
      <c r="G123" s="3"/>
      <c r="H123" s="8"/>
      <c r="I123" s="3"/>
      <c r="J123" s="7">
        <f t="shared" si="21"/>
        <v>0</v>
      </c>
      <c r="K123" s="3"/>
      <c r="L123" s="8">
        <f t="shared" si="22"/>
        <v>2154.4699999999998</v>
      </c>
      <c r="M123" s="3"/>
      <c r="N123" s="7">
        <f t="shared" si="23"/>
        <v>0</v>
      </c>
      <c r="O123" s="12"/>
      <c r="P123" s="8">
        <v>3841.31</v>
      </c>
      <c r="Q123" s="3"/>
      <c r="R123" s="7">
        <f t="shared" si="24"/>
        <v>1.0378204811859575E-3</v>
      </c>
      <c r="S123" s="3"/>
      <c r="T123" s="8"/>
      <c r="U123" s="3"/>
      <c r="V123" s="7">
        <f t="shared" si="25"/>
        <v>0</v>
      </c>
      <c r="W123" s="3"/>
      <c r="X123" s="8">
        <f t="shared" si="26"/>
        <v>3841.31</v>
      </c>
      <c r="Y123" s="3"/>
      <c r="Z123" s="7">
        <f t="shared" si="27"/>
        <v>0</v>
      </c>
    </row>
    <row r="124" spans="1:26" s="68" customFormat="1" ht="15" customHeight="1" outlineLevel="1" collapsed="1" x14ac:dyDescent="0.3">
      <c r="A124" s="25"/>
      <c r="B124" s="14" t="str">
        <f>CONCATENATE("     ","Royalty &amp; Commissions                             ")</f>
        <v xml:space="preserve">     Royalty &amp; Commissions                             </v>
      </c>
      <c r="C124" s="14"/>
      <c r="D124" s="2">
        <f>SUM(OSRRefD22_11x_0)</f>
        <v>26841.57</v>
      </c>
      <c r="E124" s="2"/>
      <c r="F124" s="6">
        <f t="shared" si="20"/>
        <v>3.8015822693243377E-2</v>
      </c>
      <c r="G124" s="2"/>
      <c r="H124" s="2">
        <f>SUM(OSRRefH22_11x_0)</f>
        <v>8961.48</v>
      </c>
      <c r="I124" s="2"/>
      <c r="J124" s="6">
        <f t="shared" si="21"/>
        <v>2.4478649893256856E-2</v>
      </c>
      <c r="K124" s="2"/>
      <c r="L124" s="2">
        <f t="shared" si="22"/>
        <v>17880.09</v>
      </c>
      <c r="M124" s="2"/>
      <c r="N124" s="6">
        <f t="shared" si="23"/>
        <v>1.9952161919682911</v>
      </c>
      <c r="O124" s="14"/>
      <c r="P124" s="2">
        <f>SUM(OSRRefP22_11x_0)</f>
        <v>69571.88</v>
      </c>
      <c r="Q124" s="2"/>
      <c r="R124" s="6">
        <f t="shared" si="24"/>
        <v>1.8796484006396698E-2</v>
      </c>
      <c r="S124" s="2"/>
      <c r="T124" s="2">
        <f>SUM(OSRRefT22_11x_0)</f>
        <v>35159.06</v>
      </c>
      <c r="U124" s="2"/>
      <c r="V124" s="6">
        <f t="shared" si="25"/>
        <v>2.1494958450742348E-2</v>
      </c>
      <c r="W124" s="2"/>
      <c r="X124" s="2">
        <f t="shared" si="26"/>
        <v>34412.820000000007</v>
      </c>
      <c r="Y124" s="2"/>
      <c r="Z124" s="6">
        <f t="shared" si="27"/>
        <v>0.97877531424332764</v>
      </c>
    </row>
    <row r="125" spans="1:26" s="69" customFormat="1" ht="15" hidden="1" customHeight="1" outlineLevel="2" x14ac:dyDescent="0.3">
      <c r="A125" s="26"/>
      <c r="B125" s="12" t="str">
        <f>CONCATENATE("          ","6253"," - ","ROYALTY DUE ATHLETICS-LRG")</f>
        <v xml:space="preserve">          6253 - ROYALTY DUE ATHLETICS-LRG</v>
      </c>
      <c r="C125" s="12"/>
      <c r="D125" s="8">
        <v>15944.33</v>
      </c>
      <c r="E125" s="3"/>
      <c r="F125" s="7">
        <f t="shared" si="20"/>
        <v>2.2582018199477943E-2</v>
      </c>
      <c r="G125" s="3"/>
      <c r="H125" s="8">
        <v>8961.48</v>
      </c>
      <c r="I125" s="3"/>
      <c r="J125" s="7">
        <f t="shared" si="21"/>
        <v>2.4478649893256856E-2</v>
      </c>
      <c r="K125" s="3"/>
      <c r="L125" s="8">
        <f t="shared" si="22"/>
        <v>6982.85</v>
      </c>
      <c r="M125" s="3"/>
      <c r="N125" s="7">
        <f t="shared" si="23"/>
        <v>0.77920722916304008</v>
      </c>
      <c r="O125" s="12"/>
      <c r="P125" s="8">
        <v>55165.49</v>
      </c>
      <c r="Q125" s="3"/>
      <c r="R125" s="7">
        <f t="shared" si="24"/>
        <v>1.4904258020482368E-2</v>
      </c>
      <c r="S125" s="3"/>
      <c r="T125" s="8">
        <v>35159.06</v>
      </c>
      <c r="U125" s="3"/>
      <c r="V125" s="7">
        <f t="shared" si="25"/>
        <v>2.1494958450742348E-2</v>
      </c>
      <c r="W125" s="3"/>
      <c r="X125" s="8">
        <f t="shared" si="26"/>
        <v>20006.43</v>
      </c>
      <c r="Y125" s="3"/>
      <c r="Z125" s="7">
        <f t="shared" si="27"/>
        <v>0.56902630502635743</v>
      </c>
    </row>
    <row r="126" spans="1:26" s="69" customFormat="1" ht="15" hidden="1" customHeight="1" outlineLevel="2" x14ac:dyDescent="0.3">
      <c r="A126" s="26"/>
      <c r="B126" s="12" t="str">
        <f>CONCATENATE("          ","6254"," - ","ROYALTY &amp; COMMISSIONS")</f>
        <v xml:space="preserve">          6254 - ROYALTY &amp; COMMISSIONS</v>
      </c>
      <c r="C126" s="12"/>
      <c r="D126" s="8">
        <v>10897.24</v>
      </c>
      <c r="E126" s="3"/>
      <c r="F126" s="7">
        <f t="shared" si="20"/>
        <v>1.5433804493765434E-2</v>
      </c>
      <c r="G126" s="3"/>
      <c r="H126" s="8"/>
      <c r="I126" s="3"/>
      <c r="J126" s="7">
        <f t="shared" si="21"/>
        <v>0</v>
      </c>
      <c r="K126" s="3"/>
      <c r="L126" s="8">
        <f t="shared" si="22"/>
        <v>10897.24</v>
      </c>
      <c r="M126" s="3"/>
      <c r="N126" s="7">
        <f t="shared" si="23"/>
        <v>0</v>
      </c>
      <c r="O126" s="12"/>
      <c r="P126" s="8">
        <v>14406.39</v>
      </c>
      <c r="Q126" s="3"/>
      <c r="R126" s="7">
        <f t="shared" si="24"/>
        <v>3.8922259859143276E-3</v>
      </c>
      <c r="S126" s="3"/>
      <c r="T126" s="8"/>
      <c r="U126" s="3"/>
      <c r="V126" s="7">
        <f t="shared" si="25"/>
        <v>0</v>
      </c>
      <c r="W126" s="3"/>
      <c r="X126" s="8">
        <f t="shared" si="26"/>
        <v>14406.39</v>
      </c>
      <c r="Y126" s="3"/>
      <c r="Z126" s="7">
        <f t="shared" si="27"/>
        <v>0</v>
      </c>
    </row>
    <row r="127" spans="1:26" s="68" customFormat="1" ht="15" customHeight="1" outlineLevel="1" collapsed="1" x14ac:dyDescent="0.3">
      <c r="A127" s="2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SUM(OSRRefD22_12x_0)</f>
        <v>0</v>
      </c>
      <c r="E127" s="2"/>
      <c r="F127" s="6">
        <f t="shared" si="20"/>
        <v>0</v>
      </c>
      <c r="G127" s="2"/>
      <c r="H127" s="2">
        <f>SUM(OSRRefH22_12x_0)</f>
        <v>0</v>
      </c>
      <c r="I127" s="2"/>
      <c r="J127" s="6">
        <f t="shared" si="21"/>
        <v>0</v>
      </c>
      <c r="K127" s="2"/>
      <c r="L127" s="2">
        <f t="shared" si="22"/>
        <v>0</v>
      </c>
      <c r="M127" s="2"/>
      <c r="N127" s="6">
        <f t="shared" si="23"/>
        <v>0</v>
      </c>
      <c r="O127" s="14"/>
      <c r="P127" s="2">
        <f>SUM(OSRRefP22_12x_0)</f>
        <v>125</v>
      </c>
      <c r="Q127" s="2"/>
      <c r="R127" s="6">
        <f t="shared" si="24"/>
        <v>3.3771697714645444E-5</v>
      </c>
      <c r="S127" s="2"/>
      <c r="T127" s="2">
        <f>SUM(OSRRefT22_12x_0)</f>
        <v>-231.57</v>
      </c>
      <c r="U127" s="2"/>
      <c r="V127" s="6">
        <f t="shared" si="25"/>
        <v>-1.4157339611577799E-4</v>
      </c>
      <c r="W127" s="2"/>
      <c r="X127" s="2">
        <f t="shared" si="26"/>
        <v>356.57</v>
      </c>
      <c r="Y127" s="2"/>
      <c r="Z127" s="6">
        <f t="shared" si="27"/>
        <v>-1.539793582933886</v>
      </c>
    </row>
    <row r="128" spans="1:26" s="69" customFormat="1" ht="15" hidden="1" customHeight="1" outlineLevel="2" x14ac:dyDescent="0.3">
      <c r="A128" s="26"/>
      <c r="B128" s="12" t="str">
        <f>CONCATENATE("          ","6258"," - ","MEMBERSHIP DUES")</f>
        <v xml:space="preserve">          6258 - MEMBERSHIP DUES</v>
      </c>
      <c r="C128" s="12"/>
      <c r="D128" s="8"/>
      <c r="E128" s="3"/>
      <c r="F128" s="7">
        <f t="shared" si="20"/>
        <v>0</v>
      </c>
      <c r="G128" s="3"/>
      <c r="H128" s="8"/>
      <c r="I128" s="3"/>
      <c r="J128" s="7">
        <f t="shared" si="21"/>
        <v>0</v>
      </c>
      <c r="K128" s="3"/>
      <c r="L128" s="8">
        <f t="shared" si="22"/>
        <v>0</v>
      </c>
      <c r="M128" s="3"/>
      <c r="N128" s="7">
        <f t="shared" si="23"/>
        <v>0</v>
      </c>
      <c r="O128" s="12"/>
      <c r="P128" s="8">
        <v>125</v>
      </c>
      <c r="Q128" s="3"/>
      <c r="R128" s="7">
        <f t="shared" si="24"/>
        <v>3.3771697714645444E-5</v>
      </c>
      <c r="S128" s="3"/>
      <c r="T128" s="8">
        <v>-307.3</v>
      </c>
      <c r="U128" s="3"/>
      <c r="V128" s="7">
        <f t="shared" si="25"/>
        <v>-1.878719377569572E-4</v>
      </c>
      <c r="W128" s="3"/>
      <c r="X128" s="8">
        <f t="shared" si="26"/>
        <v>432.3</v>
      </c>
      <c r="Y128" s="3"/>
      <c r="Z128" s="7">
        <f t="shared" si="27"/>
        <v>-1.406768630003254</v>
      </c>
    </row>
    <row r="129" spans="1:26" s="69" customFormat="1" ht="15" hidden="1" customHeight="1" outlineLevel="2" x14ac:dyDescent="0.3">
      <c r="A129" s="26"/>
      <c r="B129" s="12" t="str">
        <f>CONCATENATE("          ","6275"," - ","SUBSCRIPTIONS")</f>
        <v xml:space="preserve">          6275 - SUBSCRIPTIONS</v>
      </c>
      <c r="C129" s="12"/>
      <c r="D129" s="8"/>
      <c r="E129" s="3"/>
      <c r="F129" s="7">
        <f t="shared" si="20"/>
        <v>0</v>
      </c>
      <c r="G129" s="3"/>
      <c r="H129" s="8"/>
      <c r="I129" s="3"/>
      <c r="J129" s="7">
        <f t="shared" si="21"/>
        <v>0</v>
      </c>
      <c r="K129" s="3"/>
      <c r="L129" s="8">
        <f t="shared" si="22"/>
        <v>0</v>
      </c>
      <c r="M129" s="3"/>
      <c r="N129" s="7">
        <f t="shared" si="23"/>
        <v>0</v>
      </c>
      <c r="O129" s="12"/>
      <c r="P129" s="8"/>
      <c r="Q129" s="3"/>
      <c r="R129" s="7">
        <f t="shared" si="24"/>
        <v>0</v>
      </c>
      <c r="S129" s="3"/>
      <c r="T129" s="8">
        <v>75.73</v>
      </c>
      <c r="U129" s="3"/>
      <c r="V129" s="7">
        <f t="shared" si="25"/>
        <v>4.6298541641179204E-5</v>
      </c>
      <c r="W129" s="3"/>
      <c r="X129" s="8">
        <f t="shared" si="26"/>
        <v>-75.73</v>
      </c>
      <c r="Y129" s="3"/>
      <c r="Z129" s="7">
        <f t="shared" si="27"/>
        <v>-1</v>
      </c>
    </row>
    <row r="130" spans="1:26" s="68" customFormat="1" ht="15" customHeight="1" outlineLevel="1" collapsed="1" x14ac:dyDescent="0.3">
      <c r="A130" s="25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SUM(OSRRefD22_13x_0)</f>
        <v>-83.679999999999993</v>
      </c>
      <c r="E130" s="2"/>
      <c r="F130" s="6">
        <f t="shared" si="20"/>
        <v>-1.1851631789685199E-4</v>
      </c>
      <c r="G130" s="2"/>
      <c r="H130" s="2">
        <f>SUM(OSRRefH22_13x_0)</f>
        <v>129.86000000000001</v>
      </c>
      <c r="I130" s="2"/>
      <c r="J130" s="6">
        <f t="shared" si="21"/>
        <v>3.5471791212370453E-4</v>
      </c>
      <c r="K130" s="2"/>
      <c r="L130" s="2">
        <f t="shared" si="22"/>
        <v>-213.54000000000002</v>
      </c>
      <c r="M130" s="2"/>
      <c r="N130" s="6">
        <f t="shared" si="23"/>
        <v>-1.644386262128446</v>
      </c>
      <c r="O130" s="14"/>
      <c r="P130" s="2">
        <f>SUM(OSRRefP22_13x_0)</f>
        <v>8394.01</v>
      </c>
      <c r="Q130" s="2"/>
      <c r="R130" s="6">
        <f t="shared" si="24"/>
        <v>2.2678397466696881E-3</v>
      </c>
      <c r="S130" s="2"/>
      <c r="T130" s="2">
        <f>SUM(OSRRefT22_13x_0)</f>
        <v>3759.8300000000004</v>
      </c>
      <c r="U130" s="2"/>
      <c r="V130" s="6">
        <f t="shared" si="25"/>
        <v>2.2986220232240171E-3</v>
      </c>
      <c r="W130" s="2"/>
      <c r="X130" s="2">
        <f t="shared" si="26"/>
        <v>4634.18</v>
      </c>
      <c r="Y130" s="2"/>
      <c r="Z130" s="6">
        <f t="shared" si="27"/>
        <v>1.2325504078641853</v>
      </c>
    </row>
    <row r="131" spans="1:26" s="69" customFormat="1" ht="15" hidden="1" customHeight="1" outlineLevel="2" x14ac:dyDescent="0.3">
      <c r="A131" s="26"/>
      <c r="B131" s="12" t="str">
        <f>CONCATENATE("          ","6234"," - ","EXPENDABLE SUPPLIES &amp; EQUIPMEN")</f>
        <v xml:space="preserve">          6234 - EXPENDABLE SUPPLIES &amp; EQUIPMEN</v>
      </c>
      <c r="C131" s="12"/>
      <c r="D131" s="8"/>
      <c r="E131" s="3"/>
      <c r="F131" s="7">
        <f t="shared" si="20"/>
        <v>0</v>
      </c>
      <c r="G131" s="3"/>
      <c r="H131" s="8">
        <v>53</v>
      </c>
      <c r="I131" s="3"/>
      <c r="J131" s="7">
        <f t="shared" si="21"/>
        <v>1.4477167212810979E-4</v>
      </c>
      <c r="K131" s="3"/>
      <c r="L131" s="8">
        <f t="shared" si="22"/>
        <v>-53</v>
      </c>
      <c r="M131" s="3"/>
      <c r="N131" s="7">
        <f t="shared" si="23"/>
        <v>-1</v>
      </c>
      <c r="O131" s="12"/>
      <c r="P131" s="8"/>
      <c r="Q131" s="3"/>
      <c r="R131" s="7">
        <f t="shared" si="24"/>
        <v>0</v>
      </c>
      <c r="S131" s="3"/>
      <c r="T131" s="8">
        <v>449.5</v>
      </c>
      <c r="U131" s="3"/>
      <c r="V131" s="7">
        <f t="shared" si="25"/>
        <v>2.74807797011885E-4</v>
      </c>
      <c r="W131" s="3"/>
      <c r="X131" s="8">
        <f t="shared" si="26"/>
        <v>-449.5</v>
      </c>
      <c r="Y131" s="3"/>
      <c r="Z131" s="7">
        <f t="shared" si="27"/>
        <v>-1</v>
      </c>
    </row>
    <row r="132" spans="1:26" s="69" customFormat="1" ht="15" hidden="1" customHeight="1" outlineLevel="2" x14ac:dyDescent="0.3">
      <c r="A132" s="26"/>
      <c r="B132" s="12" t="str">
        <f>CONCATENATE("          ","6235"," - ","COVID-19 EXPENSES")</f>
        <v xml:space="preserve">          6235 - COVID-19 EXPENSES</v>
      </c>
      <c r="C132" s="12"/>
      <c r="D132" s="8"/>
      <c r="E132" s="3"/>
      <c r="F132" s="7">
        <f t="shared" si="20"/>
        <v>0</v>
      </c>
      <c r="G132" s="3"/>
      <c r="H132" s="8"/>
      <c r="I132" s="3"/>
      <c r="J132" s="7">
        <f t="shared" si="21"/>
        <v>0</v>
      </c>
      <c r="K132" s="3"/>
      <c r="L132" s="8">
        <f t="shared" si="22"/>
        <v>0</v>
      </c>
      <c r="M132" s="3"/>
      <c r="N132" s="7">
        <f t="shared" si="23"/>
        <v>0</v>
      </c>
      <c r="O132" s="12"/>
      <c r="P132" s="8"/>
      <c r="Q132" s="3"/>
      <c r="R132" s="7">
        <f t="shared" si="24"/>
        <v>0</v>
      </c>
      <c r="S132" s="3"/>
      <c r="T132" s="8">
        <v>1026.43</v>
      </c>
      <c r="U132" s="3"/>
      <c r="V132" s="7">
        <f t="shared" si="25"/>
        <v>6.2752161754596025E-4</v>
      </c>
      <c r="W132" s="3"/>
      <c r="X132" s="8">
        <f t="shared" si="26"/>
        <v>-1026.43</v>
      </c>
      <c r="Y132" s="3"/>
      <c r="Z132" s="7">
        <f t="shared" si="27"/>
        <v>-1</v>
      </c>
    </row>
    <row r="133" spans="1:26" s="69" customFormat="1" ht="15" hidden="1" customHeight="1" outlineLevel="2" x14ac:dyDescent="0.3">
      <c r="A133" s="26"/>
      <c r="B133" s="12" t="str">
        <f>CONCATENATE("          ","6241"," - ","OFFICE EXPENSE")</f>
        <v xml:space="preserve">          6241 - OFFICE EXPENSE</v>
      </c>
      <c r="C133" s="12"/>
      <c r="D133" s="8">
        <v>25.89</v>
      </c>
      <c r="E133" s="3"/>
      <c r="F133" s="7">
        <f t="shared" si="20"/>
        <v>3.6668110305323837E-5</v>
      </c>
      <c r="G133" s="3"/>
      <c r="H133" s="8">
        <v>76.86</v>
      </c>
      <c r="I133" s="3"/>
      <c r="J133" s="7">
        <f t="shared" si="21"/>
        <v>2.0994623999559469E-4</v>
      </c>
      <c r="K133" s="3"/>
      <c r="L133" s="8">
        <f t="shared" si="22"/>
        <v>-50.97</v>
      </c>
      <c r="M133" s="3"/>
      <c r="N133" s="7">
        <f t="shared" si="23"/>
        <v>-0.66315378610460574</v>
      </c>
      <c r="O133" s="12"/>
      <c r="P133" s="8">
        <v>1942.89</v>
      </c>
      <c r="Q133" s="3"/>
      <c r="R133" s="7">
        <f t="shared" si="24"/>
        <v>5.2491755018245988E-4</v>
      </c>
      <c r="S133" s="3"/>
      <c r="T133" s="8">
        <v>1173.67</v>
      </c>
      <c r="U133" s="3"/>
      <c r="V133" s="7">
        <f t="shared" si="25"/>
        <v>7.1753874776182217E-4</v>
      </c>
      <c r="W133" s="3"/>
      <c r="X133" s="8">
        <f t="shared" si="26"/>
        <v>769.22</v>
      </c>
      <c r="Y133" s="3"/>
      <c r="Z133" s="7">
        <f t="shared" si="27"/>
        <v>0.65539717297025568</v>
      </c>
    </row>
    <row r="134" spans="1:26" s="69" customFormat="1" ht="15" hidden="1" customHeight="1" outlineLevel="2" x14ac:dyDescent="0.3">
      <c r="A134" s="26"/>
      <c r="B134" s="12" t="str">
        <f>CONCATENATE("          ","6245"," - ","PRINTING")</f>
        <v xml:space="preserve">          6245 - PRINTING</v>
      </c>
      <c r="C134" s="12"/>
      <c r="D134" s="8"/>
      <c r="E134" s="3"/>
      <c r="F134" s="7">
        <f t="shared" si="20"/>
        <v>0</v>
      </c>
      <c r="G134" s="3"/>
      <c r="H134" s="8"/>
      <c r="I134" s="3"/>
      <c r="J134" s="7">
        <f t="shared" si="21"/>
        <v>0</v>
      </c>
      <c r="K134" s="3"/>
      <c r="L134" s="8">
        <f t="shared" si="22"/>
        <v>0</v>
      </c>
      <c r="M134" s="3"/>
      <c r="N134" s="7">
        <f t="shared" si="23"/>
        <v>0</v>
      </c>
      <c r="O134" s="12"/>
      <c r="P134" s="8">
        <v>35.549999999999997</v>
      </c>
      <c r="Q134" s="3"/>
      <c r="R134" s="7">
        <f t="shared" si="24"/>
        <v>9.6046708300451638E-6</v>
      </c>
      <c r="S134" s="3"/>
      <c r="T134" s="8"/>
      <c r="U134" s="3"/>
      <c r="V134" s="7">
        <f t="shared" si="25"/>
        <v>0</v>
      </c>
      <c r="W134" s="3"/>
      <c r="X134" s="8">
        <f t="shared" si="26"/>
        <v>35.549999999999997</v>
      </c>
      <c r="Y134" s="3"/>
      <c r="Z134" s="7">
        <f t="shared" si="27"/>
        <v>0</v>
      </c>
    </row>
    <row r="135" spans="1:26" s="69" customFormat="1" ht="15" hidden="1" customHeight="1" outlineLevel="2" x14ac:dyDescent="0.3">
      <c r="A135" s="26"/>
      <c r="B135" s="12" t="str">
        <f>CONCATENATE("          ","6247"," - ","STORE SUPPLIES")</f>
        <v xml:space="preserve">          6247 - STORE SUPPLIES</v>
      </c>
      <c r="C135" s="12"/>
      <c r="D135" s="8">
        <v>-109.57</v>
      </c>
      <c r="E135" s="3"/>
      <c r="F135" s="7">
        <f t="shared" si="20"/>
        <v>-1.5518442820217584E-4</v>
      </c>
      <c r="G135" s="3"/>
      <c r="H135" s="8"/>
      <c r="I135" s="3"/>
      <c r="J135" s="7">
        <f t="shared" si="21"/>
        <v>0</v>
      </c>
      <c r="K135" s="3"/>
      <c r="L135" s="8">
        <f t="shared" si="22"/>
        <v>-109.57</v>
      </c>
      <c r="M135" s="3"/>
      <c r="N135" s="7">
        <f t="shared" si="23"/>
        <v>0</v>
      </c>
      <c r="O135" s="12"/>
      <c r="P135" s="8">
        <v>6415.57</v>
      </c>
      <c r="Q135" s="3"/>
      <c r="R135" s="7">
        <f t="shared" si="24"/>
        <v>1.7333175256571828E-3</v>
      </c>
      <c r="S135" s="3"/>
      <c r="T135" s="8">
        <v>1110.23</v>
      </c>
      <c r="U135" s="3"/>
      <c r="V135" s="7">
        <f t="shared" si="25"/>
        <v>6.7875386090434948E-4</v>
      </c>
      <c r="W135" s="3"/>
      <c r="X135" s="8">
        <f t="shared" si="26"/>
        <v>5305.34</v>
      </c>
      <c r="Y135" s="3"/>
      <c r="Z135" s="7">
        <f t="shared" si="27"/>
        <v>4.7785954261729549</v>
      </c>
    </row>
    <row r="136" spans="1:26" s="68" customFormat="1" ht="15" customHeight="1" outlineLevel="1" collapsed="1" x14ac:dyDescent="0.3">
      <c r="A136" s="25"/>
      <c r="B136" s="14" t="str">
        <f>CONCATENATE("     ","Telephone/Data Lines                              ")</f>
        <v xml:space="preserve">     Telephone/Data Lines                              </v>
      </c>
      <c r="C136" s="14"/>
      <c r="D136" s="2">
        <f>SUM(OSRRefD22_14x_0)</f>
        <v>373.8</v>
      </c>
      <c r="E136" s="2"/>
      <c r="F136" s="6">
        <f t="shared" si="20"/>
        <v>5.2941443152298377E-4</v>
      </c>
      <c r="G136" s="2"/>
      <c r="H136" s="2">
        <f>SUM(OSRRefH22_14x_0)</f>
        <v>97.85</v>
      </c>
      <c r="I136" s="2"/>
      <c r="J136" s="6">
        <f t="shared" si="21"/>
        <v>2.6728128524029326E-4</v>
      </c>
      <c r="K136" s="2"/>
      <c r="L136" s="2">
        <f t="shared" si="22"/>
        <v>275.95000000000005</v>
      </c>
      <c r="M136" s="2"/>
      <c r="N136" s="6">
        <f t="shared" si="23"/>
        <v>2.8201328564128776</v>
      </c>
      <c r="O136" s="14"/>
      <c r="P136" s="2">
        <f>SUM(OSRRefP22_14x_0)</f>
        <v>2252.0500000000002</v>
      </c>
      <c r="Q136" s="2"/>
      <c r="R136" s="6">
        <f t="shared" si="24"/>
        <v>6.0844441470613822E-4</v>
      </c>
      <c r="S136" s="2"/>
      <c r="T136" s="2">
        <f>SUM(OSRRefT22_14x_0)</f>
        <v>2967.79</v>
      </c>
      <c r="U136" s="2"/>
      <c r="V136" s="6">
        <f t="shared" si="25"/>
        <v>1.8143978462600715E-3</v>
      </c>
      <c r="W136" s="2"/>
      <c r="X136" s="2">
        <f t="shared" si="26"/>
        <v>-715.73999999999978</v>
      </c>
      <c r="Y136" s="2"/>
      <c r="Z136" s="6">
        <f t="shared" si="27"/>
        <v>-0.24116935497457698</v>
      </c>
    </row>
    <row r="137" spans="1:26" s="69" customFormat="1" ht="15" hidden="1" customHeight="1" outlineLevel="2" x14ac:dyDescent="0.3">
      <c r="A137" s="26"/>
      <c r="B137" s="12" t="str">
        <f>CONCATENATE("          ","6309"," - ","TELEPHONE")</f>
        <v xml:space="preserve">          6309 - TELEPHONE</v>
      </c>
      <c r="C137" s="12"/>
      <c r="D137" s="8">
        <v>373.8</v>
      </c>
      <c r="E137" s="3"/>
      <c r="F137" s="7">
        <f t="shared" si="20"/>
        <v>5.2941443152298377E-4</v>
      </c>
      <c r="G137" s="3"/>
      <c r="H137" s="8">
        <v>97.85</v>
      </c>
      <c r="I137" s="3"/>
      <c r="J137" s="7">
        <f t="shared" si="21"/>
        <v>2.6728128524029326E-4</v>
      </c>
      <c r="K137" s="3"/>
      <c r="L137" s="8">
        <f t="shared" si="22"/>
        <v>275.95000000000005</v>
      </c>
      <c r="M137" s="3"/>
      <c r="N137" s="7">
        <f t="shared" si="23"/>
        <v>2.8201328564128776</v>
      </c>
      <c r="O137" s="12"/>
      <c r="P137" s="8">
        <v>2252.0500000000002</v>
      </c>
      <c r="Q137" s="3"/>
      <c r="R137" s="7">
        <f t="shared" si="24"/>
        <v>6.0844441470613822E-4</v>
      </c>
      <c r="S137" s="3"/>
      <c r="T137" s="8">
        <v>2967.79</v>
      </c>
      <c r="U137" s="3"/>
      <c r="V137" s="7">
        <f t="shared" si="25"/>
        <v>1.8143978462600715E-3</v>
      </c>
      <c r="W137" s="3"/>
      <c r="X137" s="8">
        <f t="shared" si="26"/>
        <v>-715.73999999999978</v>
      </c>
      <c r="Y137" s="3"/>
      <c r="Z137" s="7">
        <f t="shared" si="27"/>
        <v>-0.24116935497457698</v>
      </c>
    </row>
    <row r="138" spans="1:26" s="68" customFormat="1" ht="15" customHeight="1" outlineLevel="1" collapsed="1" x14ac:dyDescent="0.3">
      <c r="A138" s="25"/>
      <c r="B138" s="14" t="str">
        <f>CONCATENATE("     ","Training                                          ")</f>
        <v xml:space="preserve">     Training                                          </v>
      </c>
      <c r="C138" s="14"/>
      <c r="D138" s="2">
        <f>SUM(OSRRefD22_15x_0)</f>
        <v>0</v>
      </c>
      <c r="E138" s="2"/>
      <c r="F138" s="6">
        <f t="shared" si="20"/>
        <v>0</v>
      </c>
      <c r="G138" s="2"/>
      <c r="H138" s="2">
        <f>SUM(OSRRefH22_15x_0)</f>
        <v>0</v>
      </c>
      <c r="I138" s="2"/>
      <c r="J138" s="6">
        <f t="shared" si="21"/>
        <v>0</v>
      </c>
      <c r="K138" s="2"/>
      <c r="L138" s="2">
        <f t="shared" si="22"/>
        <v>0</v>
      </c>
      <c r="M138" s="2"/>
      <c r="N138" s="6">
        <f t="shared" si="23"/>
        <v>0</v>
      </c>
      <c r="O138" s="14"/>
      <c r="P138" s="2">
        <f>SUM(OSRRefP22_15x_0)</f>
        <v>300</v>
      </c>
      <c r="Q138" s="2"/>
      <c r="R138" s="6">
        <f t="shared" si="24"/>
        <v>8.1052074515149065E-5</v>
      </c>
      <c r="S138" s="2"/>
      <c r="T138" s="2">
        <f>SUM(OSRRefT22_15x_0)</f>
        <v>0</v>
      </c>
      <c r="U138" s="2"/>
      <c r="V138" s="6">
        <f t="shared" si="25"/>
        <v>0</v>
      </c>
      <c r="W138" s="2"/>
      <c r="X138" s="2">
        <f t="shared" si="26"/>
        <v>300</v>
      </c>
      <c r="Y138" s="2"/>
      <c r="Z138" s="6">
        <f t="shared" si="27"/>
        <v>0</v>
      </c>
    </row>
    <row r="139" spans="1:26" s="69" customFormat="1" ht="15" hidden="1" customHeight="1" outlineLevel="2" x14ac:dyDescent="0.3">
      <c r="A139" s="26"/>
      <c r="B139" s="12" t="str">
        <f>CONCATENATE("          ","6376"," - ","TRAINING")</f>
        <v xml:space="preserve">          6376 - TRAINING</v>
      </c>
      <c r="C139" s="12"/>
      <c r="D139" s="8"/>
      <c r="E139" s="3"/>
      <c r="F139" s="7">
        <f t="shared" si="20"/>
        <v>0</v>
      </c>
      <c r="G139" s="3"/>
      <c r="H139" s="8"/>
      <c r="I139" s="3"/>
      <c r="J139" s="7">
        <f t="shared" si="21"/>
        <v>0</v>
      </c>
      <c r="K139" s="3"/>
      <c r="L139" s="8">
        <f t="shared" si="22"/>
        <v>0</v>
      </c>
      <c r="M139" s="3"/>
      <c r="N139" s="7">
        <f t="shared" si="23"/>
        <v>0</v>
      </c>
      <c r="O139" s="12"/>
      <c r="P139" s="8">
        <v>300</v>
      </c>
      <c r="Q139" s="3"/>
      <c r="R139" s="7">
        <f t="shared" si="24"/>
        <v>8.1052074515149065E-5</v>
      </c>
      <c r="S139" s="3"/>
      <c r="T139" s="8"/>
      <c r="U139" s="3"/>
      <c r="V139" s="7">
        <f t="shared" si="25"/>
        <v>0</v>
      </c>
      <c r="W139" s="3"/>
      <c r="X139" s="8">
        <f t="shared" si="26"/>
        <v>300</v>
      </c>
      <c r="Y139" s="3"/>
      <c r="Z139" s="7">
        <f t="shared" si="27"/>
        <v>0</v>
      </c>
    </row>
    <row r="140" spans="1:26" s="68" customFormat="1" ht="15" customHeight="1" outlineLevel="1" collapsed="1" x14ac:dyDescent="0.3">
      <c r="A140" s="25"/>
      <c r="B140" s="14" t="str">
        <f>CONCATENATE("     ","Travel                                            ")</f>
        <v xml:space="preserve">     Travel                                            </v>
      </c>
      <c r="C140" s="14"/>
      <c r="D140" s="2">
        <f>SUM(OSRRefD22_16x_0)</f>
        <v>0</v>
      </c>
      <c r="E140" s="2"/>
      <c r="F140" s="6">
        <f t="shared" si="20"/>
        <v>0</v>
      </c>
      <c r="G140" s="2"/>
      <c r="H140" s="2">
        <f>SUM(OSRRefH22_16x_0)</f>
        <v>43.9</v>
      </c>
      <c r="I140" s="2"/>
      <c r="J140" s="6">
        <f t="shared" si="21"/>
        <v>1.1991464917781169E-4</v>
      </c>
      <c r="K140" s="2"/>
      <c r="L140" s="2">
        <f t="shared" si="22"/>
        <v>-43.9</v>
      </c>
      <c r="M140" s="2"/>
      <c r="N140" s="6">
        <f t="shared" si="23"/>
        <v>-1</v>
      </c>
      <c r="O140" s="14"/>
      <c r="P140" s="2">
        <f>SUM(OSRRefP22_16x_0)</f>
        <v>77.39</v>
      </c>
      <c r="Q140" s="2"/>
      <c r="R140" s="6">
        <f t="shared" si="24"/>
        <v>2.0908733489091286E-5</v>
      </c>
      <c r="S140" s="2"/>
      <c r="T140" s="2">
        <f>SUM(OSRRefT22_16x_0)</f>
        <v>113.82</v>
      </c>
      <c r="U140" s="2"/>
      <c r="V140" s="6">
        <f t="shared" si="25"/>
        <v>6.9585369201096214E-5</v>
      </c>
      <c r="W140" s="2"/>
      <c r="X140" s="2">
        <f t="shared" si="26"/>
        <v>-36.429999999999993</v>
      </c>
      <c r="Y140" s="2"/>
      <c r="Z140" s="6">
        <f t="shared" si="27"/>
        <v>-0.32006677209629236</v>
      </c>
    </row>
    <row r="141" spans="1:26" s="69" customFormat="1" ht="15" hidden="1" customHeight="1" outlineLevel="2" x14ac:dyDescent="0.3">
      <c r="A141" s="26"/>
      <c r="B141" s="12" t="str">
        <f>CONCATENATE("          ","6294"," - ","TRAVEL OPERATIONAL")</f>
        <v xml:space="preserve">          6294 - TRAVEL OPERATIONAL</v>
      </c>
      <c r="C141" s="12"/>
      <c r="D141" s="8"/>
      <c r="E141" s="3"/>
      <c r="F141" s="7">
        <f t="shared" si="20"/>
        <v>0</v>
      </c>
      <c r="G141" s="3"/>
      <c r="H141" s="8">
        <v>43.9</v>
      </c>
      <c r="I141" s="3"/>
      <c r="J141" s="7">
        <f t="shared" si="21"/>
        <v>1.1991464917781169E-4</v>
      </c>
      <c r="K141" s="3"/>
      <c r="L141" s="8">
        <f t="shared" si="22"/>
        <v>-43.9</v>
      </c>
      <c r="M141" s="3"/>
      <c r="N141" s="7">
        <f t="shared" si="23"/>
        <v>-1</v>
      </c>
      <c r="O141" s="12"/>
      <c r="P141" s="8">
        <v>77.39</v>
      </c>
      <c r="Q141" s="3"/>
      <c r="R141" s="7">
        <f t="shared" si="24"/>
        <v>2.0908733489091286E-5</v>
      </c>
      <c r="S141" s="3"/>
      <c r="T141" s="8">
        <v>113.82</v>
      </c>
      <c r="U141" s="3"/>
      <c r="V141" s="7">
        <f t="shared" si="25"/>
        <v>6.9585369201096214E-5</v>
      </c>
      <c r="W141" s="3"/>
      <c r="X141" s="8">
        <f t="shared" si="26"/>
        <v>-36.429999999999993</v>
      </c>
      <c r="Y141" s="3"/>
      <c r="Z141" s="7">
        <f t="shared" si="27"/>
        <v>-0.32006677209629236</v>
      </c>
    </row>
    <row r="142" spans="1:26" s="64" customFormat="1" ht="15" customHeight="1" x14ac:dyDescent="0.3">
      <c r="A142" s="36"/>
      <c r="B142" s="36"/>
      <c r="C142" s="36"/>
      <c r="D142" s="2"/>
      <c r="E142" s="2"/>
      <c r="F142" s="6"/>
      <c r="G142" s="2"/>
      <c r="H142" s="2"/>
      <c r="I142" s="2"/>
      <c r="J142" s="6"/>
      <c r="K142" s="2"/>
      <c r="L142" s="2"/>
      <c r="M142" s="2"/>
      <c r="N142" s="6"/>
      <c r="O142" s="36"/>
      <c r="P142" s="2"/>
      <c r="Q142" s="2"/>
      <c r="R142" s="6"/>
      <c r="S142" s="2"/>
      <c r="T142" s="2"/>
      <c r="U142" s="2"/>
      <c r="V142" s="6"/>
      <c r="W142" s="2"/>
      <c r="X142" s="2"/>
      <c r="Y142" s="2"/>
      <c r="Z142" s="6"/>
    </row>
    <row r="143" spans="1:26" s="62" customFormat="1" ht="15" customHeight="1" collapsed="1" x14ac:dyDescent="0.3">
      <c r="A143" s="11"/>
      <c r="B143" s="27" t="s">
        <v>290</v>
      </c>
      <c r="C143" s="11"/>
      <c r="D143" s="5">
        <f>SUM(OSRRefD25x_0)</f>
        <v>33877.660000000003</v>
      </c>
      <c r="E143" s="5"/>
      <c r="F143" s="13">
        <f>IF(D$12=0,0,D143/D$12)</f>
        <v>4.7981065035390388E-2</v>
      </c>
      <c r="G143" s="5"/>
      <c r="H143" s="5">
        <f>SUM(OSRRefH25x_0)</f>
        <v>18017.009999999998</v>
      </c>
      <c r="I143" s="5"/>
      <c r="J143" s="13">
        <f>IF(H$12=0,0,H143/H$12)</f>
        <v>4.9214201216016509E-2</v>
      </c>
      <c r="K143" s="5"/>
      <c r="L143" s="5">
        <f>+D143-H143</f>
        <v>15860.650000000005</v>
      </c>
      <c r="M143" s="5"/>
      <c r="N143" s="13">
        <f>IF(H143=0,0,L143/H143)</f>
        <v>0.88031532424081504</v>
      </c>
      <c r="O143" s="11"/>
      <c r="P143" s="5">
        <f>SUM(OSRRefP25x_0)</f>
        <v>367580.03</v>
      </c>
      <c r="Q143" s="5"/>
      <c r="R143" s="13">
        <f>IF(P$12=0,0,P143/P$12)</f>
        <v>9.9310413272802434E-2</v>
      </c>
      <c r="S143" s="5"/>
      <c r="T143" s="5">
        <f>SUM(OSRRefT25x_0)</f>
        <v>410824.77999999997</v>
      </c>
      <c r="U143" s="5"/>
      <c r="V143" s="13">
        <f>IF(T$12=0,0,T143/T$12)</f>
        <v>0.25116318742979377</v>
      </c>
      <c r="W143" s="5"/>
      <c r="X143" s="5">
        <f>+P143-T143</f>
        <v>-43244.749999999942</v>
      </c>
      <c r="Y143" s="5"/>
      <c r="Z143" s="13">
        <f>IF(T143=0,0,X143/T143)</f>
        <v>-0.10526324629200787</v>
      </c>
    </row>
    <row r="144" spans="1:26" s="69" customFormat="1" ht="15" hidden="1" customHeight="1" outlineLevel="1" x14ac:dyDescent="0.3">
      <c r="A144" s="42"/>
      <c r="B144" s="12" t="str">
        <f>CONCATENATE("          ","4098"," - ","TAXABLE SALES-GRAD RENTALS")</f>
        <v xml:space="preserve">          4098 - TAXABLE SALES-GRAD RENTALS</v>
      </c>
      <c r="C144" s="12"/>
      <c r="D144" s="3">
        <f>0</f>
        <v>0</v>
      </c>
      <c r="E144" s="3"/>
      <c r="F144" s="20">
        <f>IF(D$12=0,0,D144/D$12)</f>
        <v>0</v>
      </c>
      <c r="G144" s="3"/>
      <c r="H144" s="3">
        <f>--49.95</f>
        <v>49.95</v>
      </c>
      <c r="I144" s="3"/>
      <c r="J144" s="20">
        <f>IF(H$12=0,0,H144/H$12)</f>
        <v>1.3644047212828462E-4</v>
      </c>
      <c r="K144" s="3"/>
      <c r="L144" s="3">
        <f>+D144-H144</f>
        <v>-49.95</v>
      </c>
      <c r="M144" s="3"/>
      <c r="N144" s="20">
        <f>IF(H144=0,0,L144/H144)</f>
        <v>-1</v>
      </c>
      <c r="O144" s="12"/>
      <c r="P144" s="3">
        <f>0</f>
        <v>0</v>
      </c>
      <c r="Q144" s="3"/>
      <c r="R144" s="20">
        <f>IF(P$12=0,0,P144/P$12)</f>
        <v>0</v>
      </c>
      <c r="S144" s="3"/>
      <c r="T144" s="3">
        <f>--49.95</f>
        <v>49.95</v>
      </c>
      <c r="U144" s="3"/>
      <c r="V144" s="20">
        <f>IF(T$12=0,0,T144/T$12)</f>
        <v>3.0537596130686667E-5</v>
      </c>
      <c r="W144" s="3"/>
      <c r="X144" s="3">
        <f>+P144-T144</f>
        <v>-49.95</v>
      </c>
      <c r="Y144" s="3"/>
      <c r="Z144" s="20">
        <f>IF(T144=0,0,X144/T144)</f>
        <v>-1</v>
      </c>
    </row>
    <row r="145" spans="1:26" s="69" customFormat="1" ht="15" hidden="1" customHeight="1" outlineLevel="1" x14ac:dyDescent="0.3">
      <c r="A145" s="42"/>
      <c r="B145" s="12" t="str">
        <f>CONCATENATE("          ","9150"," - ","MISC. INCOME")</f>
        <v xml:space="preserve">          9150 - MISC. INCOME</v>
      </c>
      <c r="C145" s="12"/>
      <c r="D145" s="3">
        <f>--31888.66</f>
        <v>31888.66</v>
      </c>
      <c r="E145" s="3"/>
      <c r="F145" s="20">
        <f>IF(D$12=0,0,D145/D$12)</f>
        <v>4.5164036398955887E-2</v>
      </c>
      <c r="G145" s="3"/>
      <c r="H145" s="3">
        <f>--17922.96</f>
        <v>17922.96</v>
      </c>
      <c r="I145" s="3"/>
      <c r="J145" s="20">
        <f>IF(H$12=0,0,H145/H$12)</f>
        <v>4.8957299786513711E-2</v>
      </c>
      <c r="K145" s="3"/>
      <c r="L145" s="3">
        <f>+D145-H145</f>
        <v>13965.7</v>
      </c>
      <c r="M145" s="3"/>
      <c r="N145" s="20">
        <f>IF(H145=0,0,L145/H145)</f>
        <v>0.77920722916304008</v>
      </c>
      <c r="O145" s="12"/>
      <c r="P145" s="3">
        <f>--110760.33</f>
        <v>110760.33</v>
      </c>
      <c r="Q145" s="3"/>
      <c r="R145" s="20">
        <f>IF(P$12=0,0,P145/P$12)</f>
        <v>2.9924515068275002E-2</v>
      </c>
      <c r="S145" s="3"/>
      <c r="T145" s="3">
        <f>--64296.27</f>
        <v>64296.27</v>
      </c>
      <c r="U145" s="3"/>
      <c r="V145" s="20">
        <f>IF(T$12=0,0,T145/T$12)</f>
        <v>3.9308378898289989E-2</v>
      </c>
      <c r="W145" s="3"/>
      <c r="X145" s="3">
        <f>+P145-T145</f>
        <v>46464.060000000005</v>
      </c>
      <c r="Y145" s="3"/>
      <c r="Z145" s="20">
        <f>IF(T145=0,0,X145/T145)</f>
        <v>0.72265560661606043</v>
      </c>
    </row>
    <row r="146" spans="1:26" s="69" customFormat="1" ht="15" hidden="1" customHeight="1" outlineLevel="1" x14ac:dyDescent="0.3">
      <c r="A146" s="42"/>
      <c r="B146" s="12" t="str">
        <f>CONCATENATE("          ","9163"," - ","MISC. INCOME")</f>
        <v xml:space="preserve">          9163 - MISC. INCOME</v>
      </c>
      <c r="C146" s="12"/>
      <c r="D146" s="3">
        <f>--1989</f>
        <v>1989</v>
      </c>
      <c r="E146" s="3"/>
      <c r="F146" s="20">
        <f>IF(D$12=0,0,D146/D$12)</f>
        <v>2.8170286364344963E-3</v>
      </c>
      <c r="G146" s="3"/>
      <c r="H146" s="3">
        <f>--44.1</f>
        <v>44.1</v>
      </c>
      <c r="I146" s="3"/>
      <c r="J146" s="20">
        <f>IF(H$12=0,0,H146/H$12)</f>
        <v>1.2046095737452155E-4</v>
      </c>
      <c r="K146" s="3"/>
      <c r="L146" s="3">
        <f>+D146-H146</f>
        <v>1944.9</v>
      </c>
      <c r="M146" s="3"/>
      <c r="N146" s="20">
        <f>IF(H146=0,0,L146/H146)</f>
        <v>44.102040816326529</v>
      </c>
      <c r="O146" s="12"/>
      <c r="P146" s="3">
        <f>--256819.7</f>
        <v>256819.7</v>
      </c>
      <c r="Q146" s="3"/>
      <c r="R146" s="20">
        <f>IF(P$12=0,0,P146/P$12)</f>
        <v>6.9385898204527424E-2</v>
      </c>
      <c r="S146" s="3"/>
      <c r="T146" s="3">
        <f>--346478.56</f>
        <v>346478.56</v>
      </c>
      <c r="U146" s="3"/>
      <c r="V146" s="20">
        <f>IF(T$12=0,0,T146/T$12)</f>
        <v>0.21182427093537312</v>
      </c>
      <c r="W146" s="3"/>
      <c r="X146" s="3">
        <f>+P146-T146</f>
        <v>-89658.859999999986</v>
      </c>
      <c r="Y146" s="3"/>
      <c r="Z146" s="20">
        <f>IF(T146=0,0,X146/T146)</f>
        <v>-0.25877174045054907</v>
      </c>
    </row>
    <row r="147" spans="1:26" ht="15" customHeight="1" x14ac:dyDescent="0.3">
      <c r="A147" s="10"/>
      <c r="B147" s="11"/>
      <c r="C147" s="11"/>
      <c r="D147" s="4"/>
      <c r="E147" s="4"/>
      <c r="F147" s="9"/>
      <c r="G147" s="4"/>
      <c r="H147" s="4"/>
      <c r="I147" s="4"/>
      <c r="J147" s="9"/>
      <c r="K147" s="4"/>
      <c r="L147" s="4"/>
      <c r="M147" s="4"/>
      <c r="N147" s="9"/>
      <c r="O147" s="11"/>
      <c r="P147" s="4"/>
      <c r="Q147" s="4"/>
      <c r="R147" s="9"/>
      <c r="S147" s="4"/>
      <c r="T147" s="4"/>
      <c r="U147" s="4"/>
      <c r="V147" s="9"/>
      <c r="W147" s="4"/>
      <c r="X147" s="4"/>
      <c r="Y147" s="4"/>
      <c r="Z147" s="9"/>
    </row>
    <row r="148" spans="1:26" s="62" customFormat="1" ht="15" customHeight="1" x14ac:dyDescent="0.3">
      <c r="A148" s="11"/>
      <c r="B148" s="28" t="s">
        <v>291</v>
      </c>
      <c r="C148" s="28"/>
      <c r="D148" s="21">
        <f>+D83-D85+D143</f>
        <v>307594.28000000014</v>
      </c>
      <c r="E148" s="15"/>
      <c r="F148" s="23">
        <f>IF(D$12=0,0,D148/D$12)</f>
        <v>0.43564700611536</v>
      </c>
      <c r="G148" s="15"/>
      <c r="H148" s="21">
        <f>+H83-H85+H143</f>
        <v>152582.72999999981</v>
      </c>
      <c r="I148" s="15"/>
      <c r="J148" s="23">
        <f>IF(H$12=0,0,H148/H$12)</f>
        <v>0.41678598037682779</v>
      </c>
      <c r="K148" s="16"/>
      <c r="L148" s="21">
        <f>+D148-H148</f>
        <v>155011.55000000034</v>
      </c>
      <c r="M148" s="16"/>
      <c r="N148" s="23">
        <f>IF(H148=0,0,L148/H148)</f>
        <v>1.0159180531112566</v>
      </c>
      <c r="O148" s="27"/>
      <c r="P148" s="21">
        <f>+P83-P85+P143</f>
        <v>1467875.199999999</v>
      </c>
      <c r="Q148" s="15"/>
      <c r="R148" s="23">
        <f>IF(P$12=0,0,P148/P$12)</f>
        <v>0.39658110029779753</v>
      </c>
      <c r="S148" s="15"/>
      <c r="T148" s="21">
        <f>+T83-T85+T143</f>
        <v>658760.95999999938</v>
      </c>
      <c r="U148" s="15"/>
      <c r="V148" s="23">
        <f>IF(T$12=0,0,T148/T$12)</f>
        <v>0.40274226512799627</v>
      </c>
      <c r="W148" s="16"/>
      <c r="X148" s="21">
        <f>+P148-T148</f>
        <v>809114.23999999964</v>
      </c>
      <c r="Y148" s="16"/>
      <c r="Z148" s="23">
        <f>IF(T148=0,0,X148/T148)</f>
        <v>1.2282364759441731</v>
      </c>
    </row>
    <row r="149" spans="1:26" ht="15" customHeight="1" x14ac:dyDescent="0.3">
      <c r="A149" s="10"/>
      <c r="B149" s="11"/>
      <c r="C149" s="10"/>
      <c r="D149" s="4"/>
      <c r="E149" s="4"/>
      <c r="F149" s="9"/>
      <c r="G149" s="4"/>
      <c r="H149" s="4"/>
      <c r="I149" s="4"/>
      <c r="J149" s="9"/>
      <c r="K149" s="4"/>
      <c r="L149" s="4"/>
      <c r="M149" s="4"/>
      <c r="N149" s="9"/>
      <c r="P149" s="4"/>
      <c r="Q149" s="4"/>
      <c r="R149" s="9"/>
      <c r="S149" s="4"/>
      <c r="T149" s="4"/>
      <c r="U149" s="4"/>
      <c r="V149" s="9"/>
      <c r="W149" s="4"/>
      <c r="X149" s="4"/>
      <c r="Y149" s="4"/>
      <c r="Z149" s="9"/>
    </row>
    <row r="150" spans="1:26" s="62" customFormat="1" ht="15" customHeight="1" x14ac:dyDescent="0.3">
      <c r="A150" s="48"/>
      <c r="B150" s="11" t="s">
        <v>292</v>
      </c>
      <c r="C150" s="11"/>
      <c r="D150" s="5">
        <v>61823.3</v>
      </c>
      <c r="E150" s="5"/>
      <c r="F150" s="13">
        <f>IF(D$12=0,0,D150/D$12)</f>
        <v>8.7560586475053187E-2</v>
      </c>
      <c r="G150" s="5"/>
      <c r="H150" s="5">
        <v>80539.97</v>
      </c>
      <c r="I150" s="5"/>
      <c r="J150" s="13">
        <f>IF(H$12=0,0,H150/H$12)</f>
        <v>0.21999822886882639</v>
      </c>
      <c r="K150" s="5"/>
      <c r="L150" s="5">
        <f>+D150-H150</f>
        <v>-18716.669999999998</v>
      </c>
      <c r="M150" s="5"/>
      <c r="N150" s="13">
        <f>IF(H150=0,0,L150/H150)</f>
        <v>-0.23238983078836506</v>
      </c>
      <c r="O150" s="11"/>
      <c r="P150" s="5">
        <v>419300.36</v>
      </c>
      <c r="Q150" s="5"/>
      <c r="R150" s="13">
        <f>IF(P$12=0,0,P150/P$12)</f>
        <v>0.11328388007649609</v>
      </c>
      <c r="S150" s="5"/>
      <c r="T150" s="5">
        <v>342192.71</v>
      </c>
      <c r="U150" s="5"/>
      <c r="V150" s="13">
        <f>IF(T$12=0,0,T150/T$12)</f>
        <v>0.20920405959650018</v>
      </c>
      <c r="W150" s="5"/>
      <c r="X150" s="5">
        <f>+P150-T150</f>
        <v>77107.649999999965</v>
      </c>
      <c r="Y150" s="5"/>
      <c r="Z150" s="13">
        <f>IF(T150=0,0,X150/T150)</f>
        <v>0.22533399381886293</v>
      </c>
    </row>
    <row r="151" spans="1:26" ht="15" customHeight="1" x14ac:dyDescent="0.3">
      <c r="A151" s="10"/>
      <c r="B151" s="11"/>
      <c r="C151" s="11"/>
      <c r="D151" s="4"/>
      <c r="E151" s="4"/>
      <c r="F151" s="9"/>
      <c r="G151" s="4"/>
      <c r="H151" s="4"/>
      <c r="I151" s="4"/>
      <c r="J151" s="9"/>
      <c r="K151" s="4"/>
      <c r="L151" s="4"/>
      <c r="M151" s="4"/>
      <c r="N151" s="9"/>
      <c r="O151" s="11"/>
      <c r="P151" s="4"/>
      <c r="Q151" s="4"/>
      <c r="R151" s="9"/>
      <c r="S151" s="4"/>
      <c r="T151" s="4"/>
      <c r="U151" s="4"/>
      <c r="V151" s="9"/>
      <c r="W151" s="4"/>
      <c r="X151" s="4"/>
      <c r="Y151" s="4"/>
      <c r="Z151" s="9"/>
    </row>
    <row r="152" spans="1:26" s="62" customFormat="1" ht="15" customHeight="1" x14ac:dyDescent="0.3">
      <c r="A152" s="11"/>
      <c r="B152" s="28" t="s">
        <v>293</v>
      </c>
      <c r="C152" s="28"/>
      <c r="D152" s="34">
        <f>+D148-D150</f>
        <v>245770.98000000016</v>
      </c>
      <c r="E152" s="15"/>
      <c r="F152" s="30">
        <f>IF(D$12=0,0,D152/D$12)</f>
        <v>0.34808641964030684</v>
      </c>
      <c r="G152" s="15"/>
      <c r="H152" s="34">
        <f>+H148-H150</f>
        <v>72042.759999999806</v>
      </c>
      <c r="I152" s="15"/>
      <c r="J152" s="30">
        <f>IF(H$12=0,0,H152/H$12)</f>
        <v>0.1967877515080014</v>
      </c>
      <c r="K152" s="16"/>
      <c r="L152" s="34">
        <f>D152-H152</f>
        <v>173728.22000000035</v>
      </c>
      <c r="M152" s="16"/>
      <c r="N152" s="30">
        <f>IF(H152=0,0,L152/H152)</f>
        <v>2.4114598052601095</v>
      </c>
      <c r="O152" s="27"/>
      <c r="P152" s="34">
        <f>+P148-P150</f>
        <v>1048574.839999999</v>
      </c>
      <c r="Q152" s="15"/>
      <c r="R152" s="30">
        <f>IF(P$12=0,0,P152/P$12)</f>
        <v>0.28329722022130144</v>
      </c>
      <c r="S152" s="15"/>
      <c r="T152" s="34">
        <f>+T148-T150</f>
        <v>316568.24999999936</v>
      </c>
      <c r="U152" s="15"/>
      <c r="V152" s="30">
        <f>IF(T$12=0,0,T152/T$12)</f>
        <v>0.19353820553149609</v>
      </c>
      <c r="W152" s="16"/>
      <c r="X152" s="34">
        <f>P152-T152</f>
        <v>732006.58999999962</v>
      </c>
      <c r="Y152" s="16"/>
      <c r="Z152" s="30">
        <f>IF(T152=0,0,X152/T152)</f>
        <v>2.3123184021139238</v>
      </c>
    </row>
    <row r="153" spans="1:26" ht="15" customHeight="1" x14ac:dyDescent="0.3">
      <c r="A153" s="10"/>
      <c r="B153" s="10"/>
      <c r="C153" s="10"/>
      <c r="D153" s="4"/>
      <c r="E153" s="4"/>
      <c r="F153" s="9"/>
      <c r="G153" s="4"/>
      <c r="H153" s="4"/>
      <c r="I153" s="4"/>
      <c r="J153" s="9"/>
      <c r="K153" s="4"/>
      <c r="L153" s="4"/>
      <c r="M153" s="4"/>
      <c r="N153" s="9"/>
      <c r="P153" s="4"/>
      <c r="Q153" s="4"/>
      <c r="R153" s="9"/>
      <c r="S153" s="4"/>
      <c r="T153" s="4"/>
      <c r="U153" s="4"/>
      <c r="V153" s="9"/>
      <c r="W153" s="4"/>
      <c r="X153" s="4"/>
      <c r="Y153" s="4"/>
      <c r="Z153" s="9"/>
    </row>
    <row r="154" spans="1:26" ht="15" customHeight="1" x14ac:dyDescent="0.3">
      <c r="A154" s="10"/>
      <c r="B154" s="10"/>
      <c r="C154" s="10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2" customFormat="1" ht="15" customHeight="1" x14ac:dyDescent="0.3">
      <c r="A155" s="11"/>
      <c r="B155" s="28" t="s">
        <v>296</v>
      </c>
      <c r="C155" s="28"/>
      <c r="D155" s="29">
        <f>SUM(D152:D154)</f>
        <v>245770.98000000016</v>
      </c>
      <c r="E155" s="15"/>
      <c r="F155" s="35">
        <f>IF(D$12=0,0,D155/D$12)</f>
        <v>0.34808641964030684</v>
      </c>
      <c r="G155" s="15"/>
      <c r="H155" s="29">
        <f>SUM(H152:H154)</f>
        <v>72042.759999999806</v>
      </c>
      <c r="I155" s="15"/>
      <c r="J155" s="35">
        <f>IF(H$12=0,0,H155/H$12)</f>
        <v>0.1967877515080014</v>
      </c>
      <c r="K155" s="16"/>
      <c r="L155" s="29">
        <f>+D155-H155</f>
        <v>173728.22000000035</v>
      </c>
      <c r="M155" s="16"/>
      <c r="N155" s="35">
        <f>IF(H155=0,0,L155/H155)</f>
        <v>2.4114598052601095</v>
      </c>
      <c r="O155" s="27"/>
      <c r="P155" s="29">
        <f>SUM(P152:P154)</f>
        <v>1048574.839999999</v>
      </c>
      <c r="Q155" s="15"/>
      <c r="R155" s="35">
        <f>IF(P$12=0,0,P155/P$12)</f>
        <v>0.28329722022130144</v>
      </c>
      <c r="S155" s="15"/>
      <c r="T155" s="29">
        <f>SUM(T152:T154)</f>
        <v>316568.24999999936</v>
      </c>
      <c r="U155" s="15"/>
      <c r="V155" s="35">
        <f>IF(T$12=0,0,T155/T$12)</f>
        <v>0.19353820553149609</v>
      </c>
      <c r="W155" s="16"/>
      <c r="X155" s="29">
        <f>+P155-T155</f>
        <v>732006.58999999962</v>
      </c>
      <c r="Y155" s="16"/>
      <c r="Z155" s="35">
        <f>IF(T155=0,0,X155/T155)</f>
        <v>2.3123184021139238</v>
      </c>
    </row>
    <row r="156" spans="1:26" ht="15" customHeight="1" x14ac:dyDescent="0.3">
      <c r="A156" s="10"/>
      <c r="C156" s="10"/>
      <c r="D156" s="18"/>
      <c r="E156" s="18"/>
      <c r="G156" s="18"/>
      <c r="H156" s="18"/>
      <c r="I156" s="18"/>
      <c r="J156" s="40"/>
      <c r="K156" s="18"/>
      <c r="L156" s="18"/>
      <c r="M156" s="18"/>
      <c r="P156" s="18"/>
      <c r="Q156" s="18"/>
      <c r="R156" s="40"/>
      <c r="S156" s="18"/>
      <c r="T156" s="18"/>
      <c r="U156" s="18"/>
      <c r="V156" s="40"/>
      <c r="W156" s="18"/>
      <c r="X156" s="18"/>
    </row>
    <row r="157" spans="1:26" ht="15" customHeight="1" x14ac:dyDescent="0.3">
      <c r="A157" s="10"/>
      <c r="B157" s="56">
        <v>44694.890829479169</v>
      </c>
      <c r="D157" s="18"/>
      <c r="E157" s="18"/>
      <c r="G157" s="18"/>
      <c r="H157" s="18"/>
      <c r="I157" s="18"/>
      <c r="J157" s="40"/>
      <c r="K157" s="18"/>
      <c r="L157" s="18"/>
      <c r="M157" s="18"/>
      <c r="P157" s="18"/>
      <c r="Q157" s="18"/>
      <c r="R157" s="40"/>
      <c r="S157" s="18"/>
      <c r="T157" s="18"/>
      <c r="U157" s="18"/>
      <c r="V157" s="40"/>
      <c r="W157" s="18"/>
      <c r="X157" s="18"/>
    </row>
    <row r="158" spans="1:26" ht="15" customHeight="1" x14ac:dyDescent="0.3">
      <c r="A158" s="10"/>
      <c r="B158" s="52" t="s">
        <v>297</v>
      </c>
      <c r="D158" s="18"/>
      <c r="E158" s="18"/>
      <c r="G158" s="18"/>
      <c r="H158" s="18"/>
      <c r="I158" s="18"/>
      <c r="J158" s="40"/>
      <c r="K158" s="18"/>
      <c r="L158" s="18"/>
      <c r="M158" s="18"/>
      <c r="P158" s="18"/>
      <c r="Q158" s="18"/>
      <c r="R158" s="40"/>
      <c r="S158" s="18"/>
      <c r="T158" s="18"/>
      <c r="U158" s="18"/>
      <c r="V158" s="40"/>
      <c r="W158" s="18"/>
      <c r="X158" s="18"/>
    </row>
    <row r="159" spans="1:26" ht="15" customHeight="1" x14ac:dyDescent="0.3">
      <c r="A159" s="10"/>
      <c r="B159" s="58"/>
      <c r="D159" s="18"/>
      <c r="E159" s="18"/>
      <c r="G159" s="18"/>
      <c r="H159" s="18"/>
      <c r="I159" s="18"/>
      <c r="J159" s="40"/>
      <c r="K159" s="18"/>
      <c r="L159" s="18"/>
      <c r="M159" s="18"/>
      <c r="P159" s="18"/>
      <c r="Q159" s="18"/>
      <c r="R159" s="40"/>
      <c r="S159" s="18"/>
      <c r="T159" s="18"/>
      <c r="U159" s="18"/>
      <c r="V159" s="40"/>
      <c r="W159" s="18"/>
      <c r="X159" s="18"/>
    </row>
    <row r="160" spans="1:26" ht="15" customHeight="1" x14ac:dyDescent="0.3">
      <c r="D160" s="18"/>
      <c r="E160" s="18"/>
      <c r="G160" s="18"/>
      <c r="H160" s="18"/>
      <c r="I160" s="18"/>
      <c r="J160" s="40"/>
      <c r="K160" s="18"/>
      <c r="L160" s="18"/>
      <c r="M160" s="18"/>
      <c r="P160" s="18"/>
      <c r="Q160" s="18"/>
      <c r="R160" s="40"/>
      <c r="S160" s="18"/>
      <c r="T160" s="18"/>
      <c r="U160" s="18"/>
      <c r="V160" s="40"/>
      <c r="W160" s="18"/>
      <c r="X16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AE07F-649B-F653-A6AD-A82B6B005EE5}">
  <sheetPr>
    <tabColor rgb="FF92D050"/>
    <outlinePr summaryBelow="0" summaryRight="0"/>
  </sheetPr>
  <dimension ref="A2:Z12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","326"," - ","2nd Street Store")</f>
        <v>Department 326 - 2nd Street Store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45642.609999999993</v>
      </c>
      <c r="E12" s="5"/>
      <c r="F12" s="13"/>
      <c r="G12" s="5"/>
      <c r="H12" s="5">
        <f>SUM(OSRRefH13x_0)</f>
        <v>43018.909999999996</v>
      </c>
      <c r="I12" s="5"/>
      <c r="J12" s="13"/>
      <c r="K12" s="5"/>
      <c r="L12" s="5">
        <f t="shared" ref="L12:L36" si="0">+D12-H12</f>
        <v>2623.6999999999971</v>
      </c>
      <c r="M12" s="5"/>
      <c r="N12" s="13">
        <f t="shared" ref="N12:N36" si="1">IF(H12=0,0,L12/H12)</f>
        <v>6.0989457891889809E-2</v>
      </c>
      <c r="O12" s="11"/>
      <c r="P12" s="5">
        <f>SUM(OSRRefP13x_0)</f>
        <v>336416.93000000005</v>
      </c>
      <c r="Q12" s="5"/>
      <c r="R12" s="13"/>
      <c r="S12" s="5"/>
      <c r="T12" s="5">
        <f>SUM(OSRRefT13x_0)</f>
        <v>251304.83</v>
      </c>
      <c r="U12" s="5"/>
      <c r="V12" s="13"/>
      <c r="W12" s="5"/>
      <c r="X12" s="5">
        <f t="shared" ref="X12:X36" si="2">+P12-T12</f>
        <v>85112.100000000064</v>
      </c>
      <c r="Y12" s="5"/>
      <c r="Z12" s="13">
        <f t="shared" ref="Z12:Z36" si="3">IF(T12=0,0,X12/T12)</f>
        <v>0.33868071696035473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--48634.38</f>
        <v>48634.38</v>
      </c>
      <c r="E13" s="3"/>
      <c r="F13" s="20"/>
      <c r="G13" s="3"/>
      <c r="H13" s="3">
        <f>-489.98</f>
        <v>-489.98</v>
      </c>
      <c r="I13" s="3"/>
      <c r="J13" s="20"/>
      <c r="K13" s="3"/>
      <c r="L13" s="3">
        <f t="shared" si="0"/>
        <v>49124.36</v>
      </c>
      <c r="M13" s="3"/>
      <c r="N13" s="20">
        <f t="shared" si="1"/>
        <v>-100.25788807706437</v>
      </c>
      <c r="O13" s="12"/>
      <c r="P13" s="3">
        <f>--357164.03</f>
        <v>357164.03</v>
      </c>
      <c r="Q13" s="3"/>
      <c r="R13" s="20"/>
      <c r="S13" s="3"/>
      <c r="T13" s="3">
        <f>-5992.49</f>
        <v>-5992.49</v>
      </c>
      <c r="U13" s="3"/>
      <c r="V13" s="20"/>
      <c r="W13" s="3"/>
      <c r="X13" s="3">
        <f t="shared" si="2"/>
        <v>363156.52</v>
      </c>
      <c r="Y13" s="3"/>
      <c r="Z13" s="20">
        <f t="shared" si="3"/>
        <v>-60.601940095018939</v>
      </c>
    </row>
    <row r="14" spans="1:26" s="69" customFormat="1" ht="15" hidden="1" customHeight="1" outlineLevel="1" x14ac:dyDescent="0.3">
      <c r="A14" s="42"/>
      <c r="B14" s="12" t="str">
        <f>CONCATENATE("          ","4026"," - ","TAXABLE SALES-WRITING INSTRUME")</f>
        <v xml:space="preserve">          4026 - TAXABLE SALES-WRITING INSTRUME</v>
      </c>
      <c r="C14" s="12"/>
      <c r="D14" s="3">
        <f>0</f>
        <v>0</v>
      </c>
      <c r="E14" s="3"/>
      <c r="F14" s="20"/>
      <c r="G14" s="3"/>
      <c r="H14" s="3">
        <f>--21.42</f>
        <v>21.42</v>
      </c>
      <c r="I14" s="3"/>
      <c r="J14" s="20"/>
      <c r="K14" s="3"/>
      <c r="L14" s="3">
        <f t="shared" si="0"/>
        <v>-21.42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--246.67</f>
        <v>246.67</v>
      </c>
      <c r="U14" s="3"/>
      <c r="V14" s="20"/>
      <c r="W14" s="3"/>
      <c r="X14" s="3">
        <f t="shared" si="2"/>
        <v>-246.67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","4027"," - ","TAXABLE SALES-SCHOOL SUPPLIES")</f>
        <v xml:space="preserve">          4027 - TAXABLE SALES-SCHOOL SUPPLIES</v>
      </c>
      <c r="C15" s="12"/>
      <c r="D15" s="3">
        <f>0</f>
        <v>0</v>
      </c>
      <c r="E15" s="3"/>
      <c r="F15" s="20"/>
      <c r="G15" s="3"/>
      <c r="H15" s="3">
        <f>--20.87</f>
        <v>20.87</v>
      </c>
      <c r="I15" s="3"/>
      <c r="J15" s="20"/>
      <c r="K15" s="3"/>
      <c r="L15" s="3">
        <f t="shared" si="0"/>
        <v>-20.87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--413.92</f>
        <v>413.92</v>
      </c>
      <c r="U15" s="3"/>
      <c r="V15" s="20"/>
      <c r="W15" s="3"/>
      <c r="X15" s="3">
        <f t="shared" si="2"/>
        <v>-413.92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","4028"," - ","TAXABLE SALES-ART/TECH")</f>
        <v xml:space="preserve">          4028 - TAXABLE SALES-ART/TECH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--29.24</f>
        <v>29.24</v>
      </c>
      <c r="U16" s="3"/>
      <c r="V16" s="20"/>
      <c r="W16" s="3"/>
      <c r="X16" s="3">
        <f t="shared" si="2"/>
        <v>-29.24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","4040"," - ","TAXABLE SALES-LOGO CLOTHING")</f>
        <v xml:space="preserve">          4040 - TAXABLE SALES-LOGO CLOTHING</v>
      </c>
      <c r="C17" s="12"/>
      <c r="D17" s="3">
        <f>0</f>
        <v>0</v>
      </c>
      <c r="E17" s="3"/>
      <c r="F17" s="20"/>
      <c r="G17" s="3"/>
      <c r="H17" s="3">
        <f>--38261.94</f>
        <v>38261.94</v>
      </c>
      <c r="I17" s="3"/>
      <c r="J17" s="20"/>
      <c r="K17" s="3"/>
      <c r="L17" s="3">
        <f t="shared" si="0"/>
        <v>-38261.94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--211719.58</f>
        <v>211719.58</v>
      </c>
      <c r="U17" s="3"/>
      <c r="V17" s="20"/>
      <c r="W17" s="3"/>
      <c r="X17" s="3">
        <f t="shared" si="2"/>
        <v>-211719.58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","4041"," - ","TAXABLE SALES-LOGO GIFTS")</f>
        <v xml:space="preserve">          4041 - TAXABLE SALES-LOGO GIFTS</v>
      </c>
      <c r="C18" s="12"/>
      <c r="D18" s="3">
        <f>0</f>
        <v>0</v>
      </c>
      <c r="E18" s="3"/>
      <c r="F18" s="20"/>
      <c r="G18" s="3"/>
      <c r="H18" s="3">
        <f>--4675.99</f>
        <v>4675.99</v>
      </c>
      <c r="I18" s="3"/>
      <c r="J18" s="20"/>
      <c r="K18" s="3"/>
      <c r="L18" s="3">
        <f t="shared" si="0"/>
        <v>-4675.99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--31513.33</f>
        <v>31513.33</v>
      </c>
      <c r="U18" s="3"/>
      <c r="V18" s="20"/>
      <c r="W18" s="3"/>
      <c r="X18" s="3">
        <f t="shared" si="2"/>
        <v>-31513.33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","4042"," - ","TAXABLE SALES-EVERYDAY GIFTS")</f>
        <v xml:space="preserve">          4042 - TAXABLE SALES-EVERYDAY GIFTS</v>
      </c>
      <c r="C19" s="12"/>
      <c r="D19" s="3">
        <f>0</f>
        <v>0</v>
      </c>
      <c r="E19" s="3"/>
      <c r="F19" s="20"/>
      <c r="G19" s="3"/>
      <c r="H19" s="3">
        <f>--972.22</f>
        <v>972.22</v>
      </c>
      <c r="I19" s="3"/>
      <c r="J19" s="20"/>
      <c r="K19" s="3"/>
      <c r="L19" s="3">
        <f t="shared" si="0"/>
        <v>-972.22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--9191.25</f>
        <v>9191.25</v>
      </c>
      <c r="U19" s="3"/>
      <c r="V19" s="20"/>
      <c r="W19" s="3"/>
      <c r="X19" s="3">
        <f t="shared" si="2"/>
        <v>-9191.25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","4043"," - ","TAXABLE SALES-CARDS")</f>
        <v xml:space="preserve">          4043 - TAXABLE SALES-CARDS</v>
      </c>
      <c r="C20" s="12"/>
      <c r="D20" s="3">
        <f>0</f>
        <v>0</v>
      </c>
      <c r="E20" s="3"/>
      <c r="F20" s="20"/>
      <c r="G20" s="3"/>
      <c r="H20" s="3">
        <f>--257.35</f>
        <v>257.35000000000002</v>
      </c>
      <c r="I20" s="3"/>
      <c r="J20" s="20"/>
      <c r="K20" s="3"/>
      <c r="L20" s="3">
        <f t="shared" si="0"/>
        <v>-257.35000000000002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--10947.25</f>
        <v>10947.25</v>
      </c>
      <c r="U20" s="3"/>
      <c r="V20" s="20"/>
      <c r="W20" s="3"/>
      <c r="X20" s="3">
        <f t="shared" si="2"/>
        <v>-10947.25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","4044"," - ","TAXABLE SALES-ACCESSORIES")</f>
        <v xml:space="preserve">          4044 - TAXABLE SALES-ACCESSORIES</v>
      </c>
      <c r="C21" s="12"/>
      <c r="D21" s="3">
        <f>0</f>
        <v>0</v>
      </c>
      <c r="E21" s="3"/>
      <c r="F21" s="20"/>
      <c r="G21" s="3"/>
      <c r="H21" s="3">
        <f>--489.86</f>
        <v>489.86</v>
      </c>
      <c r="I21" s="3"/>
      <c r="J21" s="20"/>
      <c r="K21" s="3"/>
      <c r="L21" s="3">
        <f t="shared" si="0"/>
        <v>-489.86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--2801.25</f>
        <v>2801.25</v>
      </c>
      <c r="U21" s="3"/>
      <c r="V21" s="20"/>
      <c r="W21" s="3"/>
      <c r="X21" s="3">
        <f t="shared" si="2"/>
        <v>-2801.25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","4045"," - ","TAXABLE SALES-SPECIAL ORDERS")</f>
        <v xml:space="preserve">          4045 - TAXABLE SALES-SPECIAL ORDERS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--326.37</f>
        <v>326.37</v>
      </c>
      <c r="U22" s="3"/>
      <c r="V22" s="20"/>
      <c r="W22" s="3"/>
      <c r="X22" s="3">
        <f t="shared" si="2"/>
        <v>-326.37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","4100"," - ","NON-TAXABLE SALES")</f>
        <v xml:space="preserve">          4100 - NON-TAXABLE SALES</v>
      </c>
      <c r="C23" s="12"/>
      <c r="D23" s="3">
        <f>--31.89</f>
        <v>31.89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31.89</v>
      </c>
      <c r="M23" s="3"/>
      <c r="N23" s="20">
        <f t="shared" si="1"/>
        <v>0</v>
      </c>
      <c r="O23" s="12"/>
      <c r="P23" s="3">
        <f>--260.89</f>
        <v>260.89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260.89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","4131"," - ","NON-TAXABLE SALES-FOOD")</f>
        <v xml:space="preserve">          4131 - NON-TAXABLE SALES-FOOD</v>
      </c>
      <c r="C24" s="12"/>
      <c r="D24" s="3">
        <f>0</f>
        <v>0</v>
      </c>
      <c r="E24" s="3"/>
      <c r="F24" s="20"/>
      <c r="G24" s="3"/>
      <c r="H24" s="3">
        <f>--15</f>
        <v>15</v>
      </c>
      <c r="I24" s="3"/>
      <c r="J24" s="20"/>
      <c r="K24" s="3"/>
      <c r="L24" s="3">
        <f t="shared" si="0"/>
        <v>-15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--60</f>
        <v>60</v>
      </c>
      <c r="U24" s="3"/>
      <c r="V24" s="20"/>
      <c r="W24" s="3"/>
      <c r="X24" s="3">
        <f t="shared" si="2"/>
        <v>-60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","4137"," - ","NON-TAXABLE SALES-WATER")</f>
        <v xml:space="preserve">          4137 - NON-TAXABLE SALES-WATER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--9</f>
        <v>9</v>
      </c>
      <c r="U25" s="3"/>
      <c r="V25" s="20"/>
      <c r="W25" s="3"/>
      <c r="X25" s="3">
        <f t="shared" si="2"/>
        <v>-9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","4140"," - ","NON-TAXABLE SALES-LOGO CLOTHIN")</f>
        <v xml:space="preserve">          4140 - NON-TAXABLE SALES-LOGO CLOTHIN</v>
      </c>
      <c r="C26" s="12"/>
      <c r="D26" s="3">
        <f>0</f>
        <v>0</v>
      </c>
      <c r="E26" s="3"/>
      <c r="F26" s="20"/>
      <c r="G26" s="3"/>
      <c r="H26" s="3">
        <f>--124.85</f>
        <v>124.85</v>
      </c>
      <c r="I26" s="3"/>
      <c r="J26" s="20"/>
      <c r="K26" s="3"/>
      <c r="L26" s="3">
        <f t="shared" si="0"/>
        <v>-124.85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--324.34</f>
        <v>324.33999999999997</v>
      </c>
      <c r="U26" s="3"/>
      <c r="V26" s="20"/>
      <c r="W26" s="3"/>
      <c r="X26" s="3">
        <f t="shared" si="2"/>
        <v>-324.33999999999997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","4145"," - ","NON-TAXABLE SALES-SPECIAL ORDE")</f>
        <v xml:space="preserve">          4145 - NON-TAXABLE SALES-SPECIAL ORDE</v>
      </c>
      <c r="C27" s="12"/>
      <c r="D27" s="3">
        <f>0</f>
        <v>0</v>
      </c>
      <c r="E27" s="3"/>
      <c r="F27" s="20"/>
      <c r="G27" s="3"/>
      <c r="H27" s="3">
        <f>0</f>
        <v>0</v>
      </c>
      <c r="I27" s="3"/>
      <c r="J27" s="20"/>
      <c r="K27" s="3"/>
      <c r="L27" s="3">
        <f t="shared" si="0"/>
        <v>0</v>
      </c>
      <c r="M27" s="3"/>
      <c r="N27" s="20">
        <f t="shared" si="1"/>
        <v>0</v>
      </c>
      <c r="O27" s="12"/>
      <c r="P27" s="3">
        <f>0</f>
        <v>0</v>
      </c>
      <c r="Q27" s="3"/>
      <c r="R27" s="20"/>
      <c r="S27" s="3"/>
      <c r="T27" s="3">
        <f>--7</f>
        <v>7</v>
      </c>
      <c r="U27" s="3"/>
      <c r="V27" s="20"/>
      <c r="W27" s="3"/>
      <c r="X27" s="3">
        <f t="shared" si="2"/>
        <v>-7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","4200"," - ","TAXABLE RETURNS")</f>
        <v xml:space="preserve">          4200 - TAXABLE RETURNS</v>
      </c>
      <c r="C28" s="12"/>
      <c r="D28" s="3">
        <f>-2417.98</f>
        <v>-2417.98</v>
      </c>
      <c r="E28" s="3"/>
      <c r="F28" s="20"/>
      <c r="G28" s="3"/>
      <c r="H28" s="3">
        <f>0</f>
        <v>0</v>
      </c>
      <c r="I28" s="3"/>
      <c r="J28" s="20"/>
      <c r="K28" s="3"/>
      <c r="L28" s="3">
        <f t="shared" si="0"/>
        <v>-2417.98</v>
      </c>
      <c r="M28" s="3"/>
      <c r="N28" s="20">
        <f t="shared" si="1"/>
        <v>0</v>
      </c>
      <c r="O28" s="12"/>
      <c r="P28" s="3">
        <f>-14216.89</f>
        <v>-14216.89</v>
      </c>
      <c r="Q28" s="3"/>
      <c r="R28" s="20"/>
      <c r="S28" s="3"/>
      <c r="T28" s="3">
        <f>0</f>
        <v>0</v>
      </c>
      <c r="U28" s="3"/>
      <c r="V28" s="20"/>
      <c r="W28" s="3"/>
      <c r="X28" s="3">
        <f t="shared" si="2"/>
        <v>-14216.89</v>
      </c>
      <c r="Y28" s="3"/>
      <c r="Z28" s="20">
        <f t="shared" si="3"/>
        <v>0</v>
      </c>
    </row>
    <row r="29" spans="1:26" s="69" customFormat="1" ht="15" hidden="1" customHeight="1" outlineLevel="1" x14ac:dyDescent="0.3">
      <c r="A29" s="42"/>
      <c r="B29" s="12" t="str">
        <f>CONCATENATE("          ","4226"," - ","SALES RETURN TAXABLE-WRITING I")</f>
        <v xml:space="preserve">          4226 - SALES RETURN TAXABLE-WRITING I</v>
      </c>
      <c r="C29" s="12"/>
      <c r="D29" s="3">
        <f>0</f>
        <v>0</v>
      </c>
      <c r="E29" s="3"/>
      <c r="F29" s="20"/>
      <c r="G29" s="3"/>
      <c r="H29" s="3">
        <f>0</f>
        <v>0</v>
      </c>
      <c r="I29" s="3"/>
      <c r="J29" s="20"/>
      <c r="K29" s="3"/>
      <c r="L29" s="3">
        <f t="shared" si="0"/>
        <v>0</v>
      </c>
      <c r="M29" s="3"/>
      <c r="N29" s="20">
        <f t="shared" si="1"/>
        <v>0</v>
      </c>
      <c r="O29" s="12"/>
      <c r="P29" s="3">
        <f>0</f>
        <v>0</v>
      </c>
      <c r="Q29" s="3"/>
      <c r="R29" s="20"/>
      <c r="S29" s="3"/>
      <c r="T29" s="3">
        <f>-27.85</f>
        <v>-27.85</v>
      </c>
      <c r="U29" s="3"/>
      <c r="V29" s="20"/>
      <c r="W29" s="3"/>
      <c r="X29" s="3">
        <f t="shared" si="2"/>
        <v>27.85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","4227"," - ","SALES RETURN TAXABLE-SCHOOL SU")</f>
        <v xml:space="preserve">          4227 - SALES RETURN TAXABLE-SCHOOL SU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-43.21</f>
        <v>-43.21</v>
      </c>
      <c r="U30" s="3"/>
      <c r="V30" s="20"/>
      <c r="W30" s="3"/>
      <c r="X30" s="3">
        <f t="shared" si="2"/>
        <v>43.21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","4240"," - ","SALES RETURN TAXABLE-LOGO CLOT")</f>
        <v xml:space="preserve">          4240 - SALES RETURN TAXABLE-LOGO CLOT</v>
      </c>
      <c r="C31" s="12"/>
      <c r="D31" s="3">
        <f>0</f>
        <v>0</v>
      </c>
      <c r="E31" s="3"/>
      <c r="F31" s="20"/>
      <c r="G31" s="3"/>
      <c r="H31" s="3">
        <f>-1244.91</f>
        <v>-1244.9100000000001</v>
      </c>
      <c r="I31" s="3"/>
      <c r="J31" s="20"/>
      <c r="K31" s="3"/>
      <c r="L31" s="3">
        <f t="shared" si="0"/>
        <v>1244.9100000000001</v>
      </c>
      <c r="M31" s="3"/>
      <c r="N31" s="20">
        <f t="shared" si="1"/>
        <v>-1</v>
      </c>
      <c r="O31" s="12"/>
      <c r="P31" s="3">
        <f>0</f>
        <v>0</v>
      </c>
      <c r="Q31" s="3"/>
      <c r="R31" s="20"/>
      <c r="S31" s="3"/>
      <c r="T31" s="3">
        <f>-9196.23</f>
        <v>-9196.23</v>
      </c>
      <c r="U31" s="3"/>
      <c r="V31" s="20"/>
      <c r="W31" s="3"/>
      <c r="X31" s="3">
        <f t="shared" si="2"/>
        <v>9196.23</v>
      </c>
      <c r="Y31" s="3"/>
      <c r="Z31" s="20">
        <f t="shared" si="3"/>
        <v>-1</v>
      </c>
    </row>
    <row r="32" spans="1:26" s="69" customFormat="1" ht="15" hidden="1" customHeight="1" outlineLevel="1" x14ac:dyDescent="0.3">
      <c r="A32" s="42"/>
      <c r="B32" s="12" t="str">
        <f>CONCATENATE("          ","4241"," - ","SALES RETURN TAXABLE-LOGO GIFT")</f>
        <v xml:space="preserve">          4241 - SALES RETURN TAXABLE-LOGO GIFT</v>
      </c>
      <c r="C32" s="12"/>
      <c r="D32" s="3">
        <f>0</f>
        <v>0</v>
      </c>
      <c r="E32" s="3"/>
      <c r="F32" s="20"/>
      <c r="G32" s="3"/>
      <c r="H32" s="3">
        <f>-85.7</f>
        <v>-85.7</v>
      </c>
      <c r="I32" s="3"/>
      <c r="J32" s="20"/>
      <c r="K32" s="3"/>
      <c r="L32" s="3">
        <f t="shared" si="0"/>
        <v>85.7</v>
      </c>
      <c r="M32" s="3"/>
      <c r="N32" s="20">
        <f t="shared" si="1"/>
        <v>-1</v>
      </c>
      <c r="O32" s="12"/>
      <c r="P32" s="3">
        <f>0</f>
        <v>0</v>
      </c>
      <c r="Q32" s="3"/>
      <c r="R32" s="20"/>
      <c r="S32" s="3"/>
      <c r="T32" s="3">
        <f>-648.65</f>
        <v>-648.65</v>
      </c>
      <c r="U32" s="3"/>
      <c r="V32" s="20"/>
      <c r="W32" s="3"/>
      <c r="X32" s="3">
        <f t="shared" si="2"/>
        <v>648.65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","4242"," - ","SALES RETURN TAXABLE-EVERYDAY")</f>
        <v xml:space="preserve">          4242 - SALES RETURN TAXABLE-EVERYDAY</v>
      </c>
      <c r="C33" s="12"/>
      <c r="D33" s="3">
        <f>0</f>
        <v>0</v>
      </c>
      <c r="E33" s="3"/>
      <c r="F33" s="20"/>
      <c r="G33" s="3"/>
      <c r="H33" s="3">
        <f>0</f>
        <v>0</v>
      </c>
      <c r="I33" s="3"/>
      <c r="J33" s="20"/>
      <c r="K33" s="3"/>
      <c r="L33" s="3">
        <f t="shared" si="0"/>
        <v>0</v>
      </c>
      <c r="M33" s="3"/>
      <c r="N33" s="20">
        <f t="shared" si="1"/>
        <v>0</v>
      </c>
      <c r="O33" s="12"/>
      <c r="P33" s="3">
        <f>0</f>
        <v>0</v>
      </c>
      <c r="Q33" s="3"/>
      <c r="R33" s="20"/>
      <c r="S33" s="3"/>
      <c r="T33" s="3">
        <f>-326.06</f>
        <v>-326.06</v>
      </c>
      <c r="U33" s="3"/>
      <c r="V33" s="20"/>
      <c r="W33" s="3"/>
      <c r="X33" s="3">
        <f t="shared" si="2"/>
        <v>326.06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","4244"," - ","SALES RETURN TAXABLE-ACCESSORI")</f>
        <v xml:space="preserve">          4244 - SALES RETURN TAXABLE-ACCESSORI</v>
      </c>
      <c r="C34" s="12"/>
      <c r="D34" s="3">
        <f>0</f>
        <v>0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0</v>
      </c>
      <c r="M34" s="3"/>
      <c r="N34" s="20">
        <f t="shared" si="1"/>
        <v>0</v>
      </c>
      <c r="O34" s="12"/>
      <c r="P34" s="3">
        <f>0</f>
        <v>0</v>
      </c>
      <c r="Q34" s="3"/>
      <c r="R34" s="20"/>
      <c r="S34" s="3"/>
      <c r="T34" s="3">
        <f>-42.88</f>
        <v>-42.88</v>
      </c>
      <c r="U34" s="3"/>
      <c r="V34" s="20"/>
      <c r="W34" s="3"/>
      <c r="X34" s="3">
        <f t="shared" si="2"/>
        <v>42.88</v>
      </c>
      <c r="Y34" s="3"/>
      <c r="Z34" s="20">
        <f t="shared" si="3"/>
        <v>-1</v>
      </c>
    </row>
    <row r="35" spans="1:26" s="69" customFormat="1" ht="15" hidden="1" customHeight="1" outlineLevel="1" x14ac:dyDescent="0.3">
      <c r="A35" s="42"/>
      <c r="B35" s="12" t="str">
        <f>CONCATENATE("          ","4245"," - ","SALES RETURN TAXABLE-SPECIAL O")</f>
        <v xml:space="preserve">          4245 - SALES RETURN TAXABLE-SPECIAL O</v>
      </c>
      <c r="C35" s="12"/>
      <c r="D35" s="3">
        <f>0</f>
        <v>0</v>
      </c>
      <c r="E35" s="3"/>
      <c r="F35" s="20"/>
      <c r="G35" s="3"/>
      <c r="H35" s="3">
        <f>0</f>
        <v>0</v>
      </c>
      <c r="I35" s="3"/>
      <c r="J35" s="20"/>
      <c r="K35" s="3"/>
      <c r="L35" s="3">
        <f t="shared" si="0"/>
        <v>0</v>
      </c>
      <c r="M35" s="3"/>
      <c r="N35" s="20">
        <f t="shared" si="1"/>
        <v>0</v>
      </c>
      <c r="O35" s="12"/>
      <c r="P35" s="3">
        <f>0</f>
        <v>0</v>
      </c>
      <c r="Q35" s="3"/>
      <c r="R35" s="20"/>
      <c r="S35" s="3"/>
      <c r="T35" s="3">
        <f>-7</f>
        <v>-7</v>
      </c>
      <c r="U35" s="3"/>
      <c r="V35" s="20"/>
      <c r="W35" s="3"/>
      <c r="X35" s="3">
        <f t="shared" si="2"/>
        <v>7</v>
      </c>
      <c r="Y35" s="3"/>
      <c r="Z35" s="20">
        <f t="shared" si="3"/>
        <v>-1</v>
      </c>
    </row>
    <row r="36" spans="1:26" s="69" customFormat="1" ht="15" hidden="1" customHeight="1" outlineLevel="1" x14ac:dyDescent="0.3">
      <c r="A36" s="42"/>
      <c r="B36" s="12" t="str">
        <f>CONCATENATE("          ","4500"," - ","SALES DISCOUNT")</f>
        <v xml:space="preserve">          4500 - SALES DISCOUNT</v>
      </c>
      <c r="C36" s="12"/>
      <c r="D36" s="3">
        <f>-605.68</f>
        <v>-605.67999999999995</v>
      </c>
      <c r="E36" s="3"/>
      <c r="F36" s="20"/>
      <c r="G36" s="3"/>
      <c r="H36" s="3">
        <f>0</f>
        <v>0</v>
      </c>
      <c r="I36" s="3"/>
      <c r="J36" s="20"/>
      <c r="K36" s="3"/>
      <c r="L36" s="3">
        <f t="shared" si="0"/>
        <v>-605.67999999999995</v>
      </c>
      <c r="M36" s="3"/>
      <c r="N36" s="20">
        <f t="shared" si="1"/>
        <v>0</v>
      </c>
      <c r="O36" s="12"/>
      <c r="P36" s="3">
        <f>-6791.1</f>
        <v>-6791.1</v>
      </c>
      <c r="Q36" s="3"/>
      <c r="R36" s="20"/>
      <c r="S36" s="3"/>
      <c r="T36" s="3">
        <f>0</f>
        <v>0</v>
      </c>
      <c r="U36" s="3"/>
      <c r="V36" s="20"/>
      <c r="W36" s="3"/>
      <c r="X36" s="3">
        <f t="shared" si="2"/>
        <v>-6791.1</v>
      </c>
      <c r="Y36" s="3"/>
      <c r="Z36" s="20">
        <f t="shared" si="3"/>
        <v>0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collapsed="1" x14ac:dyDescent="0.3">
      <c r="A38" s="11"/>
      <c r="B38" s="27" t="s">
        <v>287</v>
      </c>
      <c r="C38" s="11"/>
      <c r="D38" s="5">
        <f>SUM(OSRRefD16x_0)</f>
        <v>20811.73</v>
      </c>
      <c r="E38" s="5"/>
      <c r="F38" s="13">
        <f t="shared" ref="F38:F46" si="4">IF(D$12=0,0,D38/D$12)</f>
        <v>0.45597151433715122</v>
      </c>
      <c r="G38" s="5"/>
      <c r="H38" s="5">
        <f>SUM(OSRRefH16x_0)</f>
        <v>17435</v>
      </c>
      <c r="I38" s="5"/>
      <c r="J38" s="13">
        <f t="shared" ref="J38:J46" si="5">IF(H$12=0,0,H38/H$12)</f>
        <v>0.4052868843027404</v>
      </c>
      <c r="K38" s="5"/>
      <c r="L38" s="5">
        <f t="shared" ref="L38:L46" si="6">+D38-H38</f>
        <v>3376.7299999999996</v>
      </c>
      <c r="M38" s="5"/>
      <c r="N38" s="13">
        <f t="shared" ref="N38:N46" si="7">IF(H38=0,0,L38/H38)</f>
        <v>0.19367536564381987</v>
      </c>
      <c r="O38" s="11"/>
      <c r="P38" s="5">
        <f>SUM(OSRRefP16x_0)</f>
        <v>154422.71</v>
      </c>
      <c r="Q38" s="5"/>
      <c r="R38" s="13">
        <f t="shared" ref="R38:R46" si="8">IF(P$12=0,0,P38/P$12)</f>
        <v>0.45902181557866295</v>
      </c>
      <c r="S38" s="5"/>
      <c r="T38" s="5">
        <f>SUM(OSRRefT16x_0)</f>
        <v>110530</v>
      </c>
      <c r="U38" s="5"/>
      <c r="V38" s="13">
        <f t="shared" ref="V38:V46" si="9">IF(T$12=0,0,T38/T$12)</f>
        <v>0.43982441563100877</v>
      </c>
      <c r="W38" s="5"/>
      <c r="X38" s="5">
        <f t="shared" ref="X38:X46" si="10">+P38-T38</f>
        <v>43892.709999999992</v>
      </c>
      <c r="Y38" s="5"/>
      <c r="Z38" s="13">
        <f t="shared" ref="Z38:Z46" si="11">IF(T38=0,0,X38/T38)</f>
        <v>0.39711128200488549</v>
      </c>
    </row>
    <row r="39" spans="1:26" s="69" customFormat="1" ht="15" hidden="1" customHeight="1" outlineLevel="1" x14ac:dyDescent="0.3">
      <c r="A39" s="42"/>
      <c r="B39" s="12" t="str">
        <f>CONCATENATE("          ","5000"," - ","PURCHASES @ COST")</f>
        <v xml:space="preserve">          5000 - PURCHASES @ COST</v>
      </c>
      <c r="C39" s="12"/>
      <c r="D39" s="3">
        <v>172.75</v>
      </c>
      <c r="E39" s="3"/>
      <c r="F39" s="20">
        <f t="shared" si="4"/>
        <v>3.784840525114581E-3</v>
      </c>
      <c r="G39" s="3"/>
      <c r="H39" s="3"/>
      <c r="I39" s="3"/>
      <c r="J39" s="20">
        <f t="shared" si="5"/>
        <v>0</v>
      </c>
      <c r="K39" s="3"/>
      <c r="L39" s="3">
        <f t="shared" si="6"/>
        <v>172.75</v>
      </c>
      <c r="M39" s="3"/>
      <c r="N39" s="20">
        <f t="shared" si="7"/>
        <v>0</v>
      </c>
      <c r="O39" s="12"/>
      <c r="P39" s="3">
        <v>5561.65</v>
      </c>
      <c r="Q39" s="3"/>
      <c r="R39" s="20">
        <f t="shared" si="8"/>
        <v>1.6532015793616565E-2</v>
      </c>
      <c r="S39" s="3"/>
      <c r="T39" s="3"/>
      <c r="U39" s="3"/>
      <c r="V39" s="20">
        <f t="shared" si="9"/>
        <v>0</v>
      </c>
      <c r="W39" s="3"/>
      <c r="X39" s="3">
        <f t="shared" si="10"/>
        <v>5561.65</v>
      </c>
      <c r="Y39" s="3"/>
      <c r="Z39" s="20">
        <f t="shared" si="11"/>
        <v>0</v>
      </c>
    </row>
    <row r="40" spans="1:26" s="69" customFormat="1" ht="15" hidden="1" customHeight="1" outlineLevel="1" x14ac:dyDescent="0.3">
      <c r="A40" s="42"/>
      <c r="B40" s="12" t="str">
        <f>CONCATENATE("          ","5040"," - ","PURCHASES @ COST-LOGO CLOTHING")</f>
        <v xml:space="preserve">          5040 - PURCHASES @ COST-LOGO CLOTHING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/>
      <c r="Q40" s="3"/>
      <c r="R40" s="20">
        <f t="shared" si="8"/>
        <v>0</v>
      </c>
      <c r="S40" s="3"/>
      <c r="T40" s="3">
        <v>0</v>
      </c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69" customFormat="1" ht="15" hidden="1" customHeight="1" outlineLevel="1" x14ac:dyDescent="0.3">
      <c r="A41" s="42"/>
      <c r="B41" s="12" t="str">
        <f>CONCATENATE("          ","5041"," - ","PURCHASES @ COST-LOGO GIFTS")</f>
        <v xml:space="preserve">          5041 - PURCHASES @ COST-LOGO GIFTS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/>
      <c r="Q41" s="3"/>
      <c r="R41" s="20">
        <f t="shared" si="8"/>
        <v>0</v>
      </c>
      <c r="S41" s="3"/>
      <c r="T41" s="3">
        <v>207.6</v>
      </c>
      <c r="U41" s="3"/>
      <c r="V41" s="20">
        <f t="shared" si="9"/>
        <v>8.2608838039443968E-4</v>
      </c>
      <c r="W41" s="3"/>
      <c r="X41" s="3">
        <f t="shared" si="10"/>
        <v>-207.6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","5042"," - ","PURCHASES @ COST-EVERYDAY GIFT")</f>
        <v xml:space="preserve">          5042 - PURCHASES @ COST-EVERYDAY GIFT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/>
      <c r="Q42" s="3"/>
      <c r="R42" s="20">
        <f t="shared" si="8"/>
        <v>0</v>
      </c>
      <c r="S42" s="3"/>
      <c r="T42" s="3">
        <v>7946.04</v>
      </c>
      <c r="U42" s="3"/>
      <c r="V42" s="20">
        <f t="shared" si="9"/>
        <v>3.1619129644265095E-2</v>
      </c>
      <c r="W42" s="3"/>
      <c r="X42" s="3">
        <f t="shared" si="10"/>
        <v>-7946.04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","5086"," - ","PURCHASES @ COST-COMPUTER SUPP")</f>
        <v xml:space="preserve">          5086 - PURCHASES @ COST-COMPUTER SUPP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/>
      <c r="Q43" s="3"/>
      <c r="R43" s="20">
        <f t="shared" si="8"/>
        <v>0</v>
      </c>
      <c r="S43" s="3"/>
      <c r="T43" s="3">
        <v>13.21</v>
      </c>
      <c r="U43" s="3"/>
      <c r="V43" s="20">
        <f t="shared" si="9"/>
        <v>5.2565643087719411E-5</v>
      </c>
      <c r="W43" s="3"/>
      <c r="X43" s="3">
        <f t="shared" si="10"/>
        <v>-13.21</v>
      </c>
      <c r="Y43" s="3"/>
      <c r="Z43" s="20">
        <f t="shared" si="11"/>
        <v>-1</v>
      </c>
    </row>
    <row r="44" spans="1:26" s="69" customFormat="1" ht="15" hidden="1" customHeight="1" outlineLevel="1" x14ac:dyDescent="0.3">
      <c r="A44" s="42"/>
      <c r="B44" s="12" t="str">
        <f>CONCATENATE("          ","5200"," - ","PURCHASES OFFSET")</f>
        <v xml:space="preserve">          5200 - PURCHASES OFFSET</v>
      </c>
      <c r="C44" s="12"/>
      <c r="D44" s="3">
        <v>-172.75</v>
      </c>
      <c r="E44" s="3"/>
      <c r="F44" s="20">
        <f t="shared" si="4"/>
        <v>-3.784840525114581E-3</v>
      </c>
      <c r="G44" s="3"/>
      <c r="H44" s="3"/>
      <c r="I44" s="3"/>
      <c r="J44" s="20">
        <f t="shared" si="5"/>
        <v>0</v>
      </c>
      <c r="K44" s="3"/>
      <c r="L44" s="3">
        <f t="shared" si="6"/>
        <v>-172.75</v>
      </c>
      <c r="M44" s="3"/>
      <c r="N44" s="20">
        <f t="shared" si="7"/>
        <v>0</v>
      </c>
      <c r="O44" s="12"/>
      <c r="P44" s="3">
        <v>-5654.64</v>
      </c>
      <c r="Q44" s="3"/>
      <c r="R44" s="20">
        <f t="shared" si="8"/>
        <v>-1.6808428755354255E-2</v>
      </c>
      <c r="S44" s="3"/>
      <c r="T44" s="3">
        <v>-8166.85</v>
      </c>
      <c r="U44" s="3"/>
      <c r="V44" s="20">
        <f t="shared" si="9"/>
        <v>-3.2497783667747256E-2</v>
      </c>
      <c r="W44" s="3"/>
      <c r="X44" s="3">
        <f t="shared" si="10"/>
        <v>2512.21</v>
      </c>
      <c r="Y44" s="3"/>
      <c r="Z44" s="20">
        <f t="shared" si="11"/>
        <v>-0.30761064547530564</v>
      </c>
    </row>
    <row r="45" spans="1:26" s="69" customFormat="1" ht="15" hidden="1" customHeight="1" outlineLevel="1" x14ac:dyDescent="0.3">
      <c r="A45" s="42"/>
      <c r="B45" s="12" t="str">
        <f>CONCATENATE("          ","5300"," - ","COG$ OFFSET")</f>
        <v xml:space="preserve">          5300 - COG$ OFFSET</v>
      </c>
      <c r="C45" s="12"/>
      <c r="D45" s="3">
        <v>20811.73</v>
      </c>
      <c r="E45" s="3"/>
      <c r="F45" s="20">
        <f t="shared" si="4"/>
        <v>0.45597151433715122</v>
      </c>
      <c r="G45" s="3"/>
      <c r="H45" s="3">
        <v>17435</v>
      </c>
      <c r="I45" s="3"/>
      <c r="J45" s="20">
        <f t="shared" si="5"/>
        <v>0.4052868843027404</v>
      </c>
      <c r="K45" s="3"/>
      <c r="L45" s="3">
        <f t="shared" si="6"/>
        <v>3376.7299999999996</v>
      </c>
      <c r="M45" s="3"/>
      <c r="N45" s="20">
        <f t="shared" si="7"/>
        <v>0.19367536564381987</v>
      </c>
      <c r="O45" s="12"/>
      <c r="P45" s="3">
        <v>154422.71</v>
      </c>
      <c r="Q45" s="3"/>
      <c r="R45" s="20">
        <f t="shared" si="8"/>
        <v>0.45902181557866295</v>
      </c>
      <c r="S45" s="3"/>
      <c r="T45" s="3">
        <v>110530</v>
      </c>
      <c r="U45" s="3"/>
      <c r="V45" s="20">
        <f t="shared" si="9"/>
        <v>0.43982441563100877</v>
      </c>
      <c r="W45" s="3"/>
      <c r="X45" s="3">
        <f t="shared" si="10"/>
        <v>43892.709999999992</v>
      </c>
      <c r="Y45" s="3"/>
      <c r="Z45" s="20">
        <f t="shared" si="11"/>
        <v>0.39711128200488549</v>
      </c>
    </row>
    <row r="46" spans="1:26" s="69" customFormat="1" ht="15" hidden="1" customHeight="1" outlineLevel="1" x14ac:dyDescent="0.3">
      <c r="A46" s="42"/>
      <c r="B46" s="12" t="str">
        <f>CONCATENATE("          ","5500"," - ","FREIGHT-IN")</f>
        <v xml:space="preserve">          5500 - FREIGHT-IN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92.99</v>
      </c>
      <c r="Q46" s="3"/>
      <c r="R46" s="20">
        <f t="shared" si="8"/>
        <v>2.7641296173768658E-4</v>
      </c>
      <c r="S46" s="3"/>
      <c r="T46" s="3"/>
      <c r="U46" s="3"/>
      <c r="V46" s="20">
        <f t="shared" si="9"/>
        <v>0</v>
      </c>
      <c r="W46" s="3"/>
      <c r="X46" s="3">
        <f t="shared" si="10"/>
        <v>92.99</v>
      </c>
      <c r="Y46" s="3"/>
      <c r="Z46" s="20">
        <f t="shared" si="11"/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288</v>
      </c>
      <c r="C48" s="28"/>
      <c r="D48" s="21">
        <f>D12-D38</f>
        <v>24830.879999999994</v>
      </c>
      <c r="E48" s="15"/>
      <c r="F48" s="23">
        <f>IF(D$12=0,0,D48/D$12)</f>
        <v>0.54402848566284878</v>
      </c>
      <c r="G48" s="15"/>
      <c r="H48" s="21">
        <f>H12-H38</f>
        <v>25583.909999999996</v>
      </c>
      <c r="I48" s="15"/>
      <c r="J48" s="23">
        <f>IF(H$12=0,0,H48/H$12)</f>
        <v>0.5947131156972596</v>
      </c>
      <c r="K48" s="16"/>
      <c r="L48" s="21">
        <f>+D48-H48</f>
        <v>-753.03000000000247</v>
      </c>
      <c r="M48" s="16"/>
      <c r="N48" s="23">
        <f>IF(H48=0,0,L48/H48)</f>
        <v>-2.9433733936681399E-2</v>
      </c>
      <c r="O48" s="27"/>
      <c r="P48" s="21">
        <f>P12-P38</f>
        <v>181994.22000000006</v>
      </c>
      <c r="Q48" s="15"/>
      <c r="R48" s="23">
        <f>IF(P$12=0,0,P48/P$12)</f>
        <v>0.54097818442133705</v>
      </c>
      <c r="S48" s="15"/>
      <c r="T48" s="21">
        <f>T12-T38</f>
        <v>140774.82999999999</v>
      </c>
      <c r="U48" s="15"/>
      <c r="V48" s="23">
        <f>IF(T$12=0,0,T48/T$12)</f>
        <v>0.56017558436899118</v>
      </c>
      <c r="W48" s="16"/>
      <c r="X48" s="21">
        <f>+P48-T48</f>
        <v>41219.390000000072</v>
      </c>
      <c r="Y48" s="16"/>
      <c r="Z48" s="23">
        <f>IF(T48=0,0,X48/T48)</f>
        <v>0.29280369225095193</v>
      </c>
    </row>
    <row r="49" spans="1:26" ht="15" customHeight="1" x14ac:dyDescent="0.3">
      <c r="A49" s="10"/>
      <c r="B49" s="11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3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62" customFormat="1" ht="15" customHeight="1" x14ac:dyDescent="0.3">
      <c r="A50" s="11"/>
      <c r="B50" s="27" t="s">
        <v>289</v>
      </c>
      <c r="C50" s="11"/>
      <c r="D50" s="22" cm="1">
        <f t="array" ref="D50">SUM(OSRRefD22x_0)</f>
        <v>21324.579999999998</v>
      </c>
      <c r="E50" s="22"/>
      <c r="F50" s="32">
        <f t="shared" ref="F50:F81" si="12">IF(D$12=0,0,D50/D$12)</f>
        <v>0.46720772541272293</v>
      </c>
      <c r="G50" s="22"/>
      <c r="H50" s="22" cm="1">
        <f t="array" ref="H50">SUM(OSRRefH22x_0)</f>
        <v>24362.67</v>
      </c>
      <c r="I50" s="22"/>
      <c r="J50" s="32">
        <f t="shared" ref="J50:J81" si="13">IF(H$12=0,0,H50/H$12)</f>
        <v>0.56632466977894136</v>
      </c>
      <c r="K50" s="5"/>
      <c r="L50" s="22">
        <f t="shared" ref="L50:L81" si="14">+D50-H50</f>
        <v>-3038.09</v>
      </c>
      <c r="M50" s="5"/>
      <c r="N50" s="32">
        <f t="shared" ref="N50:N81" si="15">IF(H50=0,0,L50/H50)</f>
        <v>-0.12470267010963906</v>
      </c>
      <c r="O50" s="11"/>
      <c r="P50" s="22" cm="1">
        <f t="array" ref="P50">SUM(OSRRefP22x_0)</f>
        <v>176802.34000000011</v>
      </c>
      <c r="Q50" s="22"/>
      <c r="R50" s="32">
        <f t="shared" ref="R50:R81" si="16">IF(P$12=0,0,P50/P$12)</f>
        <v>0.52554531069527355</v>
      </c>
      <c r="S50" s="22"/>
      <c r="T50" s="22" cm="1">
        <f t="array" ref="T50">SUM(OSRRefT22x_0)</f>
        <v>217150.51</v>
      </c>
      <c r="U50" s="22"/>
      <c r="V50" s="32">
        <f t="shared" ref="V50:V81" si="17">IF(T$12=0,0,T50/T$12)</f>
        <v>0.86409206699290264</v>
      </c>
      <c r="W50" s="5"/>
      <c r="X50" s="22">
        <f t="shared" ref="X50:X81" si="18">+P50-T50</f>
        <v>-40348.169999999896</v>
      </c>
      <c r="Y50" s="5"/>
      <c r="Z50" s="32">
        <f t="shared" ref="Z50:Z81" si="19">IF(T50=0,0,X50/T50)</f>
        <v>-0.18580739230131163</v>
      </c>
    </row>
    <row r="51" spans="1:26" s="68" customFormat="1" ht="15" customHeight="1" outlineLevel="1" collapsed="1" x14ac:dyDescent="0.3">
      <c r="A51" s="25"/>
      <c r="B51" s="14" t="str">
        <f>CONCATENATE("     ","*Benefits                                         ")</f>
        <v xml:space="preserve">     *Benefits                                         </v>
      </c>
      <c r="C51" s="14"/>
      <c r="D51" s="2">
        <f>SUM(OSRRefD22_0x_0)</f>
        <v>1264.8999999999999</v>
      </c>
      <c r="E51" s="2"/>
      <c r="F51" s="6">
        <f t="shared" si="12"/>
        <v>2.7713139104008296E-2</v>
      </c>
      <c r="G51" s="2"/>
      <c r="H51" s="2">
        <f>SUM(OSRRefH22_0x_0)</f>
        <v>4210.9799999999996</v>
      </c>
      <c r="I51" s="2"/>
      <c r="J51" s="6">
        <f t="shared" si="13"/>
        <v>9.7886720049392237E-2</v>
      </c>
      <c r="K51" s="2"/>
      <c r="L51" s="2">
        <f t="shared" si="14"/>
        <v>-2946.08</v>
      </c>
      <c r="M51" s="2"/>
      <c r="N51" s="6">
        <f t="shared" si="15"/>
        <v>-0.69961861609411591</v>
      </c>
      <c r="O51" s="14"/>
      <c r="P51" s="2">
        <f>SUM(OSRRefP22_0x_0)</f>
        <v>12857.070000000002</v>
      </c>
      <c r="Q51" s="2"/>
      <c r="R51" s="6">
        <f t="shared" si="16"/>
        <v>3.8217666393899972E-2</v>
      </c>
      <c r="S51" s="2"/>
      <c r="T51" s="2">
        <f>SUM(OSRRefT22_0x_0)</f>
        <v>47489.73000000001</v>
      </c>
      <c r="U51" s="2"/>
      <c r="V51" s="6">
        <f t="shared" si="17"/>
        <v>0.18897261146950503</v>
      </c>
      <c r="W51" s="2"/>
      <c r="X51" s="2">
        <f t="shared" si="18"/>
        <v>-34632.660000000011</v>
      </c>
      <c r="Y51" s="2"/>
      <c r="Z51" s="6">
        <f t="shared" si="19"/>
        <v>-0.72926630663092851</v>
      </c>
    </row>
    <row r="52" spans="1:26" s="69" customFormat="1" ht="15" hidden="1" customHeight="1" outlineLevel="2" x14ac:dyDescent="0.3">
      <c r="A52" s="26"/>
      <c r="B52" s="12" t="str">
        <f>CONCATENATE("          ","6111"," - ","F.I.C.A.")</f>
        <v xml:space="preserve">          6111 - F.I.C.A.</v>
      </c>
      <c r="C52" s="12"/>
      <c r="D52" s="8">
        <v>217.59</v>
      </c>
      <c r="E52" s="3"/>
      <c r="F52" s="7">
        <f t="shared" si="12"/>
        <v>4.7672558602586497E-3</v>
      </c>
      <c r="G52" s="3"/>
      <c r="H52" s="8">
        <v>764.89</v>
      </c>
      <c r="I52" s="3"/>
      <c r="J52" s="7">
        <f t="shared" si="13"/>
        <v>1.7780320328897224E-2</v>
      </c>
      <c r="K52" s="3"/>
      <c r="L52" s="8">
        <f t="shared" si="14"/>
        <v>-547.29999999999995</v>
      </c>
      <c r="M52" s="3"/>
      <c r="N52" s="7">
        <f t="shared" si="15"/>
        <v>-0.71552772294055345</v>
      </c>
      <c r="O52" s="12"/>
      <c r="P52" s="8">
        <v>2415.84</v>
      </c>
      <c r="Q52" s="3"/>
      <c r="R52" s="7">
        <f t="shared" si="16"/>
        <v>7.1810892513643702E-3</v>
      </c>
      <c r="S52" s="3"/>
      <c r="T52" s="8">
        <v>6862.14</v>
      </c>
      <c r="U52" s="3"/>
      <c r="V52" s="7">
        <f t="shared" si="17"/>
        <v>2.7306041033910891E-2</v>
      </c>
      <c r="W52" s="3"/>
      <c r="X52" s="8">
        <f t="shared" si="18"/>
        <v>-4446.3</v>
      </c>
      <c r="Y52" s="3"/>
      <c r="Z52" s="7">
        <f t="shared" si="19"/>
        <v>-0.64794655894516873</v>
      </c>
    </row>
    <row r="53" spans="1:26" s="69" customFormat="1" ht="15" hidden="1" customHeight="1" outlineLevel="2" x14ac:dyDescent="0.3">
      <c r="A53" s="26"/>
      <c r="B53" s="12" t="str">
        <f>CONCATENATE("          ","6112"," - ","COMPENSATION INSURANCE")</f>
        <v xml:space="preserve">          6112 - COMPENSATION INSURANCE</v>
      </c>
      <c r="C53" s="12"/>
      <c r="D53" s="8">
        <v>98.51</v>
      </c>
      <c r="E53" s="3"/>
      <c r="F53" s="7">
        <f t="shared" si="12"/>
        <v>2.1582902467672206E-3</v>
      </c>
      <c r="G53" s="3"/>
      <c r="H53" s="8">
        <v>118.89</v>
      </c>
      <c r="I53" s="3"/>
      <c r="J53" s="7">
        <f t="shared" si="13"/>
        <v>2.7636683495699918E-3</v>
      </c>
      <c r="K53" s="3"/>
      <c r="L53" s="8">
        <f t="shared" si="14"/>
        <v>-20.379999999999995</v>
      </c>
      <c r="M53" s="3"/>
      <c r="N53" s="7">
        <f t="shared" si="15"/>
        <v>-0.17141895870132051</v>
      </c>
      <c r="O53" s="12"/>
      <c r="P53" s="8">
        <v>668.32</v>
      </c>
      <c r="Q53" s="3"/>
      <c r="R53" s="7">
        <f t="shared" si="16"/>
        <v>1.9865825420855008E-3</v>
      </c>
      <c r="S53" s="3"/>
      <c r="T53" s="8">
        <v>2192.7399999999998</v>
      </c>
      <c r="U53" s="3"/>
      <c r="V53" s="7">
        <f t="shared" si="17"/>
        <v>8.725419244827089E-3</v>
      </c>
      <c r="W53" s="3"/>
      <c r="X53" s="8">
        <f t="shared" si="18"/>
        <v>-1524.4199999999996</v>
      </c>
      <c r="Y53" s="3"/>
      <c r="Z53" s="7">
        <f t="shared" si="19"/>
        <v>-0.69521238268102914</v>
      </c>
    </row>
    <row r="54" spans="1:26" s="69" customFormat="1" ht="15" hidden="1" customHeight="1" outlineLevel="2" x14ac:dyDescent="0.3">
      <c r="A54" s="26"/>
      <c r="B54" s="12" t="str">
        <f>CONCATENATE("          ","6113"," - ","GROUP INSURANCE")</f>
        <v xml:space="preserve">          6113 - GROUP INSURANCE</v>
      </c>
      <c r="C54" s="12"/>
      <c r="D54" s="8">
        <v>487.33</v>
      </c>
      <c r="E54" s="3"/>
      <c r="F54" s="7">
        <f t="shared" si="12"/>
        <v>1.0677084417389805E-2</v>
      </c>
      <c r="G54" s="3"/>
      <c r="H54" s="8">
        <v>1998.43</v>
      </c>
      <c r="I54" s="3"/>
      <c r="J54" s="7">
        <f t="shared" si="13"/>
        <v>4.6454687020196471E-2</v>
      </c>
      <c r="K54" s="3"/>
      <c r="L54" s="8">
        <f t="shared" si="14"/>
        <v>-1511.1000000000001</v>
      </c>
      <c r="M54" s="3"/>
      <c r="N54" s="7">
        <f t="shared" si="15"/>
        <v>-0.75614357270457311</v>
      </c>
      <c r="O54" s="12"/>
      <c r="P54" s="8">
        <v>5120.7700000000004</v>
      </c>
      <c r="Q54" s="3"/>
      <c r="R54" s="7">
        <f t="shared" si="16"/>
        <v>1.522149910826426E-2</v>
      </c>
      <c r="S54" s="3"/>
      <c r="T54" s="8">
        <v>24287.33</v>
      </c>
      <c r="U54" s="3"/>
      <c r="V54" s="7">
        <f t="shared" si="17"/>
        <v>9.664489934395612E-2</v>
      </c>
      <c r="W54" s="3"/>
      <c r="X54" s="8">
        <f t="shared" si="18"/>
        <v>-19166.560000000001</v>
      </c>
      <c r="Y54" s="3"/>
      <c r="Z54" s="7">
        <f t="shared" si="19"/>
        <v>-0.78915879184743654</v>
      </c>
    </row>
    <row r="55" spans="1:26" s="69" customFormat="1" ht="15" hidden="1" customHeight="1" outlineLevel="2" x14ac:dyDescent="0.3">
      <c r="A55" s="26"/>
      <c r="B55" s="12" t="str">
        <f>CONCATENATE("          ","6114"," - ","STATE UNEMPLOYMENT INSURANCE")</f>
        <v xml:space="preserve">          6114 - STATE UNEMPLOYMENT INSURANCE</v>
      </c>
      <c r="C55" s="12"/>
      <c r="D55" s="8">
        <v>17.309999999999999</v>
      </c>
      <c r="E55" s="3"/>
      <c r="F55" s="7">
        <f t="shared" si="12"/>
        <v>3.792508798247953E-4</v>
      </c>
      <c r="G55" s="3"/>
      <c r="H55" s="8">
        <v>16.71</v>
      </c>
      <c r="I55" s="3"/>
      <c r="J55" s="7">
        <f t="shared" si="13"/>
        <v>3.8843383061077101E-4</v>
      </c>
      <c r="K55" s="3"/>
      <c r="L55" s="8">
        <f t="shared" si="14"/>
        <v>0.59999999999999787</v>
      </c>
      <c r="M55" s="3"/>
      <c r="N55" s="7">
        <f t="shared" si="15"/>
        <v>3.5906642728904717E-2</v>
      </c>
      <c r="O55" s="12"/>
      <c r="P55" s="8">
        <v>117.41</v>
      </c>
      <c r="Q55" s="3"/>
      <c r="R55" s="7">
        <f t="shared" si="16"/>
        <v>3.4900146077666182E-4</v>
      </c>
      <c r="S55" s="3"/>
      <c r="T55" s="8">
        <v>281.83</v>
      </c>
      <c r="U55" s="3"/>
      <c r="V55" s="7">
        <f t="shared" si="17"/>
        <v>1.1214667063900044E-3</v>
      </c>
      <c r="W55" s="3"/>
      <c r="X55" s="8">
        <f t="shared" si="18"/>
        <v>-164.42</v>
      </c>
      <c r="Y55" s="3"/>
      <c r="Z55" s="7">
        <f t="shared" si="19"/>
        <v>-0.58340134123407728</v>
      </c>
    </row>
    <row r="56" spans="1:26" s="69" customFormat="1" ht="15" hidden="1" customHeight="1" outlineLevel="2" x14ac:dyDescent="0.3">
      <c r="A56" s="26"/>
      <c r="B56" s="12" t="str">
        <f>CONCATENATE("          ","6115"," - ","P.E.R.S.")</f>
        <v xml:space="preserve">          6115 - P.E.R.S.</v>
      </c>
      <c r="C56" s="12"/>
      <c r="D56" s="8">
        <v>109.82</v>
      </c>
      <c r="E56" s="3"/>
      <c r="F56" s="7">
        <f t="shared" si="12"/>
        <v>2.4060850157342013E-3</v>
      </c>
      <c r="G56" s="3"/>
      <c r="H56" s="8">
        <v>362.12</v>
      </c>
      <c r="I56" s="3"/>
      <c r="J56" s="7">
        <f t="shared" si="13"/>
        <v>8.4176935212909865E-3</v>
      </c>
      <c r="K56" s="3"/>
      <c r="L56" s="8">
        <f t="shared" si="14"/>
        <v>-252.3</v>
      </c>
      <c r="M56" s="3"/>
      <c r="N56" s="7">
        <f t="shared" si="15"/>
        <v>-0.69673036562465485</v>
      </c>
      <c r="O56" s="12"/>
      <c r="P56" s="8">
        <v>978.17</v>
      </c>
      <c r="Q56" s="3"/>
      <c r="R56" s="7">
        <f t="shared" si="16"/>
        <v>2.9076122893101717E-3</v>
      </c>
      <c r="S56" s="3"/>
      <c r="T56" s="8">
        <v>3856.57</v>
      </c>
      <c r="U56" s="3"/>
      <c r="V56" s="7">
        <f t="shared" si="17"/>
        <v>1.5346183358274493E-2</v>
      </c>
      <c r="W56" s="3"/>
      <c r="X56" s="8">
        <f t="shared" si="18"/>
        <v>-2878.4</v>
      </c>
      <c r="Y56" s="3"/>
      <c r="Z56" s="7">
        <f t="shared" si="19"/>
        <v>-0.74636270053441267</v>
      </c>
    </row>
    <row r="57" spans="1:26" s="69" customFormat="1" ht="15" hidden="1" customHeight="1" outlineLevel="2" x14ac:dyDescent="0.3">
      <c r="A57" s="26"/>
      <c r="B57" s="12" t="str">
        <f>CONCATENATE("          ","6118"," - ","VACATION")</f>
        <v xml:space="preserve">          6118 - VACATION</v>
      </c>
      <c r="C57" s="12"/>
      <c r="D57" s="8">
        <v>144.28</v>
      </c>
      <c r="E57" s="3"/>
      <c r="F57" s="7">
        <f t="shared" si="12"/>
        <v>3.1610812790942504E-3</v>
      </c>
      <c r="G57" s="3"/>
      <c r="H57" s="8">
        <v>513.84</v>
      </c>
      <c r="I57" s="3"/>
      <c r="J57" s="7">
        <f t="shared" si="13"/>
        <v>1.1944514633215953E-2</v>
      </c>
      <c r="K57" s="3"/>
      <c r="L57" s="8">
        <f t="shared" si="14"/>
        <v>-369.56000000000006</v>
      </c>
      <c r="M57" s="3"/>
      <c r="N57" s="7">
        <f t="shared" si="15"/>
        <v>-0.71921220613420522</v>
      </c>
      <c r="O57" s="12"/>
      <c r="P57" s="8">
        <v>1211.42</v>
      </c>
      <c r="Q57" s="3"/>
      <c r="R57" s="7">
        <f t="shared" si="16"/>
        <v>3.6009483827107035E-3</v>
      </c>
      <c r="S57" s="3"/>
      <c r="T57" s="8">
        <v>4783.46</v>
      </c>
      <c r="U57" s="3"/>
      <c r="V57" s="7">
        <f t="shared" si="17"/>
        <v>1.9034492890566409E-2</v>
      </c>
      <c r="W57" s="3"/>
      <c r="X57" s="8">
        <f t="shared" si="18"/>
        <v>-3572.04</v>
      </c>
      <c r="Y57" s="3"/>
      <c r="Z57" s="7">
        <f t="shared" si="19"/>
        <v>-0.74674816973487812</v>
      </c>
    </row>
    <row r="58" spans="1:26" s="69" customFormat="1" ht="15" hidden="1" customHeight="1" outlineLevel="2" x14ac:dyDescent="0.3">
      <c r="A58" s="26"/>
      <c r="B58" s="12" t="str">
        <f>CONCATENATE("          ","6119"," - ","SICK LEAVE")</f>
        <v xml:space="preserve">          6119 - SICK LEAVE</v>
      </c>
      <c r="C58" s="12"/>
      <c r="D58" s="8">
        <v>91.01</v>
      </c>
      <c r="E58" s="3"/>
      <c r="F58" s="7">
        <f t="shared" si="12"/>
        <v>1.9939701081949524E-3</v>
      </c>
      <c r="G58" s="3"/>
      <c r="H58" s="8">
        <v>324.12</v>
      </c>
      <c r="I58" s="3"/>
      <c r="J58" s="7">
        <f t="shared" si="13"/>
        <v>7.5343610519187964E-3</v>
      </c>
      <c r="K58" s="3"/>
      <c r="L58" s="8">
        <f t="shared" si="14"/>
        <v>-233.11</v>
      </c>
      <c r="M58" s="3"/>
      <c r="N58" s="7">
        <f t="shared" si="15"/>
        <v>-0.7192089349623596</v>
      </c>
      <c r="O58" s="12"/>
      <c r="P58" s="8">
        <v>844.54</v>
      </c>
      <c r="Q58" s="3"/>
      <c r="R58" s="7">
        <f t="shared" si="16"/>
        <v>2.5103968459613485E-3</v>
      </c>
      <c r="S58" s="3"/>
      <c r="T58" s="8">
        <v>3767.87</v>
      </c>
      <c r="U58" s="3"/>
      <c r="V58" s="7">
        <f t="shared" si="17"/>
        <v>1.499322555798072E-2</v>
      </c>
      <c r="W58" s="3"/>
      <c r="X58" s="8">
        <f t="shared" si="18"/>
        <v>-2923.33</v>
      </c>
      <c r="Y58" s="3"/>
      <c r="Z58" s="7">
        <f t="shared" si="19"/>
        <v>-0.77585744731108031</v>
      </c>
    </row>
    <row r="59" spans="1:26" s="69" customFormat="1" ht="15" hidden="1" customHeight="1" outlineLevel="2" x14ac:dyDescent="0.3">
      <c r="A59" s="26"/>
      <c r="B59" s="12" t="str">
        <f>CONCATENATE("          ","6156"," - ","EMPLOYEE MEALS")</f>
        <v xml:space="preserve">          6156 - EMPLOYEE MEALS</v>
      </c>
      <c r="C59" s="12"/>
      <c r="D59" s="8">
        <v>99.05</v>
      </c>
      <c r="E59" s="3"/>
      <c r="F59" s="7">
        <f t="shared" si="12"/>
        <v>2.1701212967444239E-3</v>
      </c>
      <c r="G59" s="3"/>
      <c r="H59" s="8">
        <v>111.98</v>
      </c>
      <c r="I59" s="3"/>
      <c r="J59" s="7">
        <f t="shared" si="13"/>
        <v>2.6030413136920488E-3</v>
      </c>
      <c r="K59" s="3"/>
      <c r="L59" s="8">
        <f t="shared" si="14"/>
        <v>-12.930000000000007</v>
      </c>
      <c r="M59" s="3"/>
      <c r="N59" s="7">
        <f t="shared" si="15"/>
        <v>-0.11546704768708704</v>
      </c>
      <c r="O59" s="12"/>
      <c r="P59" s="8">
        <v>1500.6</v>
      </c>
      <c r="Q59" s="3"/>
      <c r="R59" s="7">
        <f t="shared" si="16"/>
        <v>4.4605365134269539E-3</v>
      </c>
      <c r="S59" s="3"/>
      <c r="T59" s="8">
        <v>1457.79</v>
      </c>
      <c r="U59" s="3"/>
      <c r="V59" s="7">
        <f t="shared" si="17"/>
        <v>5.800883333599279E-3</v>
      </c>
      <c r="W59" s="3"/>
      <c r="X59" s="8">
        <f t="shared" si="18"/>
        <v>42.809999999999945</v>
      </c>
      <c r="Y59" s="3"/>
      <c r="Z59" s="7">
        <f t="shared" si="19"/>
        <v>2.9366369641717908E-2</v>
      </c>
    </row>
    <row r="60" spans="1:26" s="68" customFormat="1" ht="15" customHeight="1" outlineLevel="1" collapsed="1" x14ac:dyDescent="0.3">
      <c r="A60" s="25"/>
      <c r="B60" s="14" t="str">
        <f>CONCATENATE("     ","*Payroll                                          ")</f>
        <v xml:space="preserve">     *Payroll                                          </v>
      </c>
      <c r="C60" s="14"/>
      <c r="D60" s="2">
        <f>SUM(OSRRefD22_1x_0)</f>
        <v>10577.109999999999</v>
      </c>
      <c r="E60" s="2"/>
      <c r="F60" s="6">
        <f t="shared" si="12"/>
        <v>0.23173762411921667</v>
      </c>
      <c r="G60" s="2"/>
      <c r="H60" s="2">
        <f>SUM(OSRRefH22_1x_0)</f>
        <v>8738.17</v>
      </c>
      <c r="I60" s="2"/>
      <c r="J60" s="6">
        <f t="shared" si="13"/>
        <v>0.20312392852352606</v>
      </c>
      <c r="K60" s="2"/>
      <c r="L60" s="2">
        <f t="shared" si="14"/>
        <v>1838.9399999999987</v>
      </c>
      <c r="M60" s="2"/>
      <c r="N60" s="6">
        <f t="shared" si="15"/>
        <v>0.21044909860989186</v>
      </c>
      <c r="O60" s="14"/>
      <c r="P60" s="2">
        <f>SUM(OSRRefP22_1x_0)</f>
        <v>73170.950000000012</v>
      </c>
      <c r="Q60" s="2"/>
      <c r="R60" s="6">
        <f t="shared" si="16"/>
        <v>0.21750079581310014</v>
      </c>
      <c r="S60" s="2"/>
      <c r="T60" s="2">
        <f>SUM(OSRRefT22_1x_0)</f>
        <v>83188.22</v>
      </c>
      <c r="U60" s="2"/>
      <c r="V60" s="6">
        <f t="shared" si="17"/>
        <v>0.33102515379429837</v>
      </c>
      <c r="W60" s="2"/>
      <c r="X60" s="2">
        <f t="shared" si="18"/>
        <v>-10017.26999999999</v>
      </c>
      <c r="Y60" s="2"/>
      <c r="Z60" s="6">
        <f t="shared" si="19"/>
        <v>-0.12041692922387316</v>
      </c>
    </row>
    <row r="61" spans="1:26" s="69" customFormat="1" ht="15" hidden="1" customHeight="1" outlineLevel="2" x14ac:dyDescent="0.3">
      <c r="A61" s="26"/>
      <c r="B61" s="12" t="str">
        <f>CONCATENATE("          ","6002"," - ","STAFF SALARIES")</f>
        <v xml:space="preserve">          6002 - STAFF SALARIES</v>
      </c>
      <c r="C61" s="12"/>
      <c r="D61" s="8">
        <v>2236.21</v>
      </c>
      <c r="E61" s="3"/>
      <c r="F61" s="7">
        <f t="shared" si="12"/>
        <v>4.8993911610225628E-2</v>
      </c>
      <c r="G61" s="3"/>
      <c r="H61" s="8">
        <v>5153.24</v>
      </c>
      <c r="I61" s="3"/>
      <c r="J61" s="7">
        <f t="shared" si="13"/>
        <v>0.11979011090704066</v>
      </c>
      <c r="K61" s="3"/>
      <c r="L61" s="8">
        <f t="shared" si="14"/>
        <v>-2917.0299999999997</v>
      </c>
      <c r="M61" s="3"/>
      <c r="N61" s="7">
        <f t="shared" si="15"/>
        <v>-0.56605747063983047</v>
      </c>
      <c r="O61" s="12"/>
      <c r="P61" s="8">
        <v>13152.65</v>
      </c>
      <c r="Q61" s="3"/>
      <c r="R61" s="7">
        <f t="shared" si="16"/>
        <v>3.9096278537468367E-2</v>
      </c>
      <c r="S61" s="3"/>
      <c r="T61" s="8">
        <v>48008.12</v>
      </c>
      <c r="U61" s="3"/>
      <c r="V61" s="7">
        <f t="shared" si="17"/>
        <v>0.19103540508950825</v>
      </c>
      <c r="W61" s="3"/>
      <c r="X61" s="8">
        <f t="shared" si="18"/>
        <v>-34855.47</v>
      </c>
      <c r="Y61" s="3"/>
      <c r="Z61" s="7">
        <f t="shared" si="19"/>
        <v>-0.72603280445058038</v>
      </c>
    </row>
    <row r="62" spans="1:26" s="69" customFormat="1" ht="15" hidden="1" customHeight="1" outlineLevel="2" x14ac:dyDescent="0.3">
      <c r="A62" s="26"/>
      <c r="B62" s="12" t="str">
        <f>CONCATENATE("          ","6004"," - ","STAFF HOURLY")</f>
        <v xml:space="preserve">          6004 - STAFF HOURLY</v>
      </c>
      <c r="C62" s="12"/>
      <c r="D62" s="8"/>
      <c r="E62" s="3"/>
      <c r="F62" s="7">
        <f t="shared" si="12"/>
        <v>0</v>
      </c>
      <c r="G62" s="3"/>
      <c r="H62" s="8"/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>
        <v>4272.3900000000003</v>
      </c>
      <c r="Q62" s="3"/>
      <c r="R62" s="7">
        <f t="shared" si="16"/>
        <v>1.2699687854591621E-2</v>
      </c>
      <c r="S62" s="3"/>
      <c r="T62" s="8">
        <v>3456.21</v>
      </c>
      <c r="U62" s="3"/>
      <c r="V62" s="7">
        <f t="shared" si="17"/>
        <v>1.3753058387298008E-2</v>
      </c>
      <c r="W62" s="3"/>
      <c r="X62" s="8">
        <f t="shared" si="18"/>
        <v>816.18000000000029</v>
      </c>
      <c r="Y62" s="3"/>
      <c r="Z62" s="7">
        <f t="shared" si="19"/>
        <v>0.23614884512225828</v>
      </c>
    </row>
    <row r="63" spans="1:26" s="69" customFormat="1" ht="15" hidden="1" customHeight="1" outlineLevel="2" x14ac:dyDescent="0.3">
      <c r="A63" s="26"/>
      <c r="B63" s="12" t="str">
        <f>CONCATENATE("          ","6005"," - ","TEMPORARY WAGES-HOURLY")</f>
        <v xml:space="preserve">          6005 - TEMPORARY WAGES-HOURLY</v>
      </c>
      <c r="C63" s="12"/>
      <c r="D63" s="8">
        <v>1371.01</v>
      </c>
      <c r="E63" s="3"/>
      <c r="F63" s="7">
        <f t="shared" si="12"/>
        <v>3.0037940424528752E-2</v>
      </c>
      <c r="G63" s="3"/>
      <c r="H63" s="8">
        <v>2617.66</v>
      </c>
      <c r="I63" s="3"/>
      <c r="J63" s="7">
        <f t="shared" si="13"/>
        <v>6.0849054520442293E-2</v>
      </c>
      <c r="K63" s="3"/>
      <c r="L63" s="8">
        <f t="shared" si="14"/>
        <v>-1246.6499999999999</v>
      </c>
      <c r="M63" s="3"/>
      <c r="N63" s="7">
        <f t="shared" si="15"/>
        <v>-0.47624596013233189</v>
      </c>
      <c r="O63" s="12"/>
      <c r="P63" s="8">
        <v>7890.68</v>
      </c>
      <c r="Q63" s="3"/>
      <c r="R63" s="7">
        <f t="shared" si="16"/>
        <v>2.3455062145653606E-2</v>
      </c>
      <c r="S63" s="3"/>
      <c r="T63" s="8">
        <v>16583.11</v>
      </c>
      <c r="U63" s="3"/>
      <c r="V63" s="7">
        <f t="shared" si="17"/>
        <v>6.598802736899248E-2</v>
      </c>
      <c r="W63" s="3"/>
      <c r="X63" s="8">
        <f t="shared" si="18"/>
        <v>-8692.43</v>
      </c>
      <c r="Y63" s="3"/>
      <c r="Z63" s="7">
        <f t="shared" si="19"/>
        <v>-0.52417369238942513</v>
      </c>
    </row>
    <row r="64" spans="1:26" s="69" customFormat="1" ht="15" hidden="1" customHeight="1" outlineLevel="2" x14ac:dyDescent="0.3">
      <c r="A64" s="26"/>
      <c r="B64" s="12" t="str">
        <f>CONCATENATE("          ","6006"," - ","TEMPORARY PART TIME")</f>
        <v xml:space="preserve">          6006 - TEMPORARY PART TIME</v>
      </c>
      <c r="C64" s="12"/>
      <c r="D64" s="8"/>
      <c r="E64" s="3"/>
      <c r="F64" s="7">
        <f t="shared" si="12"/>
        <v>0</v>
      </c>
      <c r="G64" s="3"/>
      <c r="H64" s="8">
        <v>203.81</v>
      </c>
      <c r="I64" s="3"/>
      <c r="J64" s="7">
        <f t="shared" si="13"/>
        <v>4.7376839627038441E-3</v>
      </c>
      <c r="K64" s="3"/>
      <c r="L64" s="8">
        <f t="shared" si="14"/>
        <v>-203.81</v>
      </c>
      <c r="M64" s="3"/>
      <c r="N64" s="7">
        <f t="shared" si="15"/>
        <v>-1</v>
      </c>
      <c r="O64" s="12"/>
      <c r="P64" s="8"/>
      <c r="Q64" s="3"/>
      <c r="R64" s="7">
        <f t="shared" si="16"/>
        <v>0</v>
      </c>
      <c r="S64" s="3"/>
      <c r="T64" s="8">
        <v>710.96</v>
      </c>
      <c r="U64" s="3"/>
      <c r="V64" s="7">
        <f t="shared" si="17"/>
        <v>2.8290741566725959E-3</v>
      </c>
      <c r="W64" s="3"/>
      <c r="X64" s="8">
        <f t="shared" si="18"/>
        <v>-710.96</v>
      </c>
      <c r="Y64" s="3"/>
      <c r="Z64" s="7">
        <f t="shared" si="19"/>
        <v>-1</v>
      </c>
    </row>
    <row r="65" spans="1:26" s="69" customFormat="1" ht="15" hidden="1" customHeight="1" outlineLevel="2" x14ac:dyDescent="0.3">
      <c r="A65" s="26"/>
      <c r="B65" s="12" t="str">
        <f>CONCATENATE("          ","6007"," - ","STUDENT HOURLY")</f>
        <v xml:space="preserve">          6007 - STUDENT HOURLY</v>
      </c>
      <c r="C65" s="12"/>
      <c r="D65" s="8">
        <v>5741.99</v>
      </c>
      <c r="E65" s="3"/>
      <c r="F65" s="7">
        <f t="shared" si="12"/>
        <v>0.12580327899741053</v>
      </c>
      <c r="G65" s="3"/>
      <c r="H65" s="8">
        <v>681.98</v>
      </c>
      <c r="I65" s="3"/>
      <c r="J65" s="7">
        <f t="shared" si="13"/>
        <v>1.5853028354274899E-2</v>
      </c>
      <c r="K65" s="3"/>
      <c r="L65" s="8">
        <f t="shared" si="14"/>
        <v>5060.01</v>
      </c>
      <c r="M65" s="3"/>
      <c r="N65" s="7">
        <f t="shared" si="15"/>
        <v>7.4195870846652392</v>
      </c>
      <c r="O65" s="12"/>
      <c r="P65" s="8">
        <v>45542.91</v>
      </c>
      <c r="Q65" s="3"/>
      <c r="R65" s="7">
        <f t="shared" si="16"/>
        <v>0.13537639143190563</v>
      </c>
      <c r="S65" s="3"/>
      <c r="T65" s="8">
        <v>12429.31</v>
      </c>
      <c r="U65" s="3"/>
      <c r="V65" s="7">
        <f t="shared" si="17"/>
        <v>4.9459097145088698E-2</v>
      </c>
      <c r="W65" s="3"/>
      <c r="X65" s="8">
        <f t="shared" si="18"/>
        <v>33113.600000000006</v>
      </c>
      <c r="Y65" s="3"/>
      <c r="Z65" s="7">
        <f t="shared" si="19"/>
        <v>2.6641543255418045</v>
      </c>
    </row>
    <row r="66" spans="1:26" s="69" customFormat="1" ht="15" hidden="1" customHeight="1" outlineLevel="2" x14ac:dyDescent="0.3">
      <c r="A66" s="26"/>
      <c r="B66" s="12" t="str">
        <f>CONCATENATE("          ","6008"," - ","STUDENT HOURLY-FICA EXEMPT")</f>
        <v xml:space="preserve">          6008 - STUDENT HOURLY-FICA EXEMPT</v>
      </c>
      <c r="C66" s="12"/>
      <c r="D66" s="8">
        <v>1227.9000000000001</v>
      </c>
      <c r="E66" s="3"/>
      <c r="F66" s="7">
        <f t="shared" si="12"/>
        <v>2.6902493087051775E-2</v>
      </c>
      <c r="G66" s="3"/>
      <c r="H66" s="8">
        <v>81.48</v>
      </c>
      <c r="I66" s="3"/>
      <c r="J66" s="7">
        <f t="shared" si="13"/>
        <v>1.8940507790643699E-3</v>
      </c>
      <c r="K66" s="3"/>
      <c r="L66" s="8">
        <f t="shared" si="14"/>
        <v>1146.42</v>
      </c>
      <c r="M66" s="3"/>
      <c r="N66" s="7">
        <f t="shared" si="15"/>
        <v>14.069955817378498</v>
      </c>
      <c r="O66" s="12"/>
      <c r="P66" s="8">
        <v>2312.3200000000002</v>
      </c>
      <c r="Q66" s="3"/>
      <c r="R66" s="7">
        <f t="shared" si="16"/>
        <v>6.8733758434808851E-3</v>
      </c>
      <c r="S66" s="3"/>
      <c r="T66" s="8">
        <v>2000.51</v>
      </c>
      <c r="U66" s="3"/>
      <c r="V66" s="7">
        <f t="shared" si="17"/>
        <v>7.9604916467383453E-3</v>
      </c>
      <c r="W66" s="3"/>
      <c r="X66" s="8">
        <f t="shared" si="18"/>
        <v>311.81000000000017</v>
      </c>
      <c r="Y66" s="3"/>
      <c r="Z66" s="7">
        <f t="shared" si="19"/>
        <v>0.15586525436013826</v>
      </c>
    </row>
    <row r="67" spans="1:26" s="68" customFormat="1" ht="15" customHeight="1" outlineLevel="1" collapsed="1" x14ac:dyDescent="0.3">
      <c r="A67" s="25"/>
      <c r="B67" s="14" t="str">
        <f>CONCATENATE("     ","Advertising/Promo                                 ")</f>
        <v xml:space="preserve">     Advertising/Promo                                 </v>
      </c>
      <c r="C67" s="14"/>
      <c r="D67" s="2">
        <f>SUM(OSRRefD22_2x_0)</f>
        <v>347.92</v>
      </c>
      <c r="E67" s="2"/>
      <c r="F67" s="6">
        <f t="shared" si="12"/>
        <v>7.6227016816084806E-3</v>
      </c>
      <c r="G67" s="2"/>
      <c r="H67" s="2">
        <f>SUM(OSRRefH22_2x_0)</f>
        <v>936</v>
      </c>
      <c r="I67" s="2"/>
      <c r="J67" s="6">
        <f t="shared" si="13"/>
        <v>2.1757873456115E-2</v>
      </c>
      <c r="K67" s="2"/>
      <c r="L67" s="2">
        <f t="shared" si="14"/>
        <v>-588.07999999999993</v>
      </c>
      <c r="M67" s="2"/>
      <c r="N67" s="6">
        <f t="shared" si="15"/>
        <v>-0.62829059829059819</v>
      </c>
      <c r="O67" s="14"/>
      <c r="P67" s="2">
        <f>SUM(OSRRefP22_2x_0)</f>
        <v>2062.27</v>
      </c>
      <c r="Q67" s="2"/>
      <c r="R67" s="6">
        <f t="shared" si="16"/>
        <v>6.1301017163434661E-3</v>
      </c>
      <c r="S67" s="2"/>
      <c r="T67" s="2">
        <f>SUM(OSRRefT22_2x_0)</f>
        <v>1960.2</v>
      </c>
      <c r="U67" s="2"/>
      <c r="V67" s="6">
        <f t="shared" si="17"/>
        <v>7.8000888403139731E-3</v>
      </c>
      <c r="W67" s="2"/>
      <c r="X67" s="2">
        <f t="shared" si="18"/>
        <v>102.06999999999994</v>
      </c>
      <c r="Y67" s="2"/>
      <c r="Z67" s="6">
        <f t="shared" si="19"/>
        <v>5.2071217222732342E-2</v>
      </c>
    </row>
    <row r="68" spans="1:26" s="69" customFormat="1" ht="15" hidden="1" customHeight="1" outlineLevel="2" x14ac:dyDescent="0.3">
      <c r="A68" s="26"/>
      <c r="B68" s="12" t="str">
        <f>CONCATENATE("          ","6362"," - ","ADVERTISING EXPENSE")</f>
        <v xml:space="preserve">          6362 - ADVERTISING EXPENSE</v>
      </c>
      <c r="C68" s="12"/>
      <c r="D68" s="8">
        <v>347.92</v>
      </c>
      <c r="E68" s="3"/>
      <c r="F68" s="7">
        <f t="shared" si="12"/>
        <v>7.6227016816084806E-3</v>
      </c>
      <c r="G68" s="3"/>
      <c r="H68" s="8">
        <v>936</v>
      </c>
      <c r="I68" s="3"/>
      <c r="J68" s="7">
        <f t="shared" si="13"/>
        <v>2.1757873456115E-2</v>
      </c>
      <c r="K68" s="3"/>
      <c r="L68" s="8">
        <f t="shared" si="14"/>
        <v>-588.07999999999993</v>
      </c>
      <c r="M68" s="3"/>
      <c r="N68" s="7">
        <f t="shared" si="15"/>
        <v>-0.62829059829059819</v>
      </c>
      <c r="O68" s="12"/>
      <c r="P68" s="8">
        <v>2062.27</v>
      </c>
      <c r="Q68" s="3"/>
      <c r="R68" s="7">
        <f t="shared" si="16"/>
        <v>6.1301017163434661E-3</v>
      </c>
      <c r="S68" s="3"/>
      <c r="T68" s="8">
        <v>1960.2</v>
      </c>
      <c r="U68" s="3"/>
      <c r="V68" s="7">
        <f t="shared" si="17"/>
        <v>7.8000888403139731E-3</v>
      </c>
      <c r="W68" s="3"/>
      <c r="X68" s="8">
        <f t="shared" si="18"/>
        <v>102.06999999999994</v>
      </c>
      <c r="Y68" s="3"/>
      <c r="Z68" s="7">
        <f t="shared" si="19"/>
        <v>5.2071217222732342E-2</v>
      </c>
    </row>
    <row r="69" spans="1:26" s="68" customFormat="1" ht="15" customHeight="1" outlineLevel="1" collapsed="1" x14ac:dyDescent="0.3">
      <c r="A69" s="25"/>
      <c r="B69" s="14" t="str">
        <f>CONCATENATE("     ","Bad Debts/Over/Short                              ")</f>
        <v xml:space="preserve">     Bad Debts/Over/Short                              </v>
      </c>
      <c r="C69" s="14"/>
      <c r="D69" s="2">
        <f>SUM(OSRRefD22_3x_0)</f>
        <v>-0.43</v>
      </c>
      <c r="E69" s="2"/>
      <c r="F69" s="6">
        <f t="shared" si="12"/>
        <v>-9.4210212781433845E-6</v>
      </c>
      <c r="G69" s="2"/>
      <c r="H69" s="2">
        <f>SUM(OSRRefH22_3x_0)</f>
        <v>0.26</v>
      </c>
      <c r="I69" s="2"/>
      <c r="J69" s="6">
        <f t="shared" si="13"/>
        <v>6.0438537378097221E-6</v>
      </c>
      <c r="K69" s="2"/>
      <c r="L69" s="2">
        <f t="shared" si="14"/>
        <v>-0.69</v>
      </c>
      <c r="M69" s="2"/>
      <c r="N69" s="6">
        <f t="shared" si="15"/>
        <v>-2.6538461538461537</v>
      </c>
      <c r="O69" s="14"/>
      <c r="P69" s="2">
        <f>SUM(OSRRefP22_3x_0)</f>
        <v>-48.91</v>
      </c>
      <c r="Q69" s="2"/>
      <c r="R69" s="6">
        <f t="shared" si="16"/>
        <v>-1.4538507321852081E-4</v>
      </c>
      <c r="S69" s="2"/>
      <c r="T69" s="2">
        <f>SUM(OSRRefT22_3x_0)</f>
        <v>-23.1</v>
      </c>
      <c r="U69" s="2"/>
      <c r="V69" s="6">
        <f t="shared" si="17"/>
        <v>-9.1920238858918878E-5</v>
      </c>
      <c r="W69" s="2"/>
      <c r="X69" s="2">
        <f t="shared" si="18"/>
        <v>-25.809999999999995</v>
      </c>
      <c r="Y69" s="2"/>
      <c r="Z69" s="6">
        <f t="shared" si="19"/>
        <v>1.117316017316017</v>
      </c>
    </row>
    <row r="70" spans="1:26" s="69" customFormat="1" ht="15" hidden="1" customHeight="1" outlineLevel="2" x14ac:dyDescent="0.3">
      <c r="A70" s="26"/>
      <c r="B70" s="12" t="str">
        <f>CONCATENATE("          ","6272"," - ","CASH (OVER/SHORT)")</f>
        <v xml:space="preserve">          6272 - CASH (OVER/SHORT)</v>
      </c>
      <c r="C70" s="12"/>
      <c r="D70" s="8">
        <v>-0.43</v>
      </c>
      <c r="E70" s="3"/>
      <c r="F70" s="7">
        <f t="shared" si="12"/>
        <v>-9.4210212781433845E-6</v>
      </c>
      <c r="G70" s="3"/>
      <c r="H70" s="8">
        <v>0.26</v>
      </c>
      <c r="I70" s="3"/>
      <c r="J70" s="7">
        <f t="shared" si="13"/>
        <v>6.0438537378097221E-6</v>
      </c>
      <c r="K70" s="3"/>
      <c r="L70" s="8">
        <f t="shared" si="14"/>
        <v>-0.69</v>
      </c>
      <c r="M70" s="3"/>
      <c r="N70" s="7">
        <f t="shared" si="15"/>
        <v>-2.6538461538461537</v>
      </c>
      <c r="O70" s="12"/>
      <c r="P70" s="8">
        <v>-48.91</v>
      </c>
      <c r="Q70" s="3"/>
      <c r="R70" s="7">
        <f t="shared" si="16"/>
        <v>-1.4538507321852081E-4</v>
      </c>
      <c r="S70" s="3"/>
      <c r="T70" s="8">
        <v>-23.1</v>
      </c>
      <c r="U70" s="3"/>
      <c r="V70" s="7">
        <f t="shared" si="17"/>
        <v>-9.1920238858918878E-5</v>
      </c>
      <c r="W70" s="3"/>
      <c r="X70" s="8">
        <f t="shared" si="18"/>
        <v>-25.809999999999995</v>
      </c>
      <c r="Y70" s="3"/>
      <c r="Z70" s="7">
        <f t="shared" si="19"/>
        <v>1.117316017316017</v>
      </c>
    </row>
    <row r="71" spans="1:26" s="68" customFormat="1" ht="15" customHeight="1" outlineLevel="1" collapsed="1" x14ac:dyDescent="0.3">
      <c r="A71" s="25"/>
      <c r="B71" s="14" t="str">
        <f>CONCATENATE("     ","Bank/card Fees                                    ")</f>
        <v xml:space="preserve">     Bank/card Fees                                    </v>
      </c>
      <c r="C71" s="14"/>
      <c r="D71" s="2">
        <f>SUM(OSRRefD22_4x_0)</f>
        <v>570.77</v>
      </c>
      <c r="E71" s="2"/>
      <c r="F71" s="6">
        <f t="shared" si="12"/>
        <v>1.2505200732385814E-2</v>
      </c>
      <c r="G71" s="2"/>
      <c r="H71" s="2">
        <f>SUM(OSRRefH22_4x_0)</f>
        <v>494.45</v>
      </c>
      <c r="I71" s="2"/>
      <c r="J71" s="6">
        <f t="shared" si="13"/>
        <v>1.1493782617923142E-2</v>
      </c>
      <c r="K71" s="2"/>
      <c r="L71" s="2">
        <f t="shared" si="14"/>
        <v>76.319999999999993</v>
      </c>
      <c r="M71" s="2"/>
      <c r="N71" s="6">
        <f t="shared" si="15"/>
        <v>0.15435332187278794</v>
      </c>
      <c r="O71" s="14"/>
      <c r="P71" s="2">
        <f>SUM(OSRRefP22_4x_0)</f>
        <v>5345.72</v>
      </c>
      <c r="Q71" s="2"/>
      <c r="R71" s="6">
        <f t="shared" si="16"/>
        <v>1.5890163434997162E-2</v>
      </c>
      <c r="S71" s="2"/>
      <c r="T71" s="2">
        <f>SUM(OSRRefT22_4x_0)</f>
        <v>3832.35</v>
      </c>
      <c r="U71" s="2"/>
      <c r="V71" s="6">
        <f t="shared" si="17"/>
        <v>1.5249806380561807E-2</v>
      </c>
      <c r="W71" s="2"/>
      <c r="X71" s="2">
        <f t="shared" si="18"/>
        <v>1513.3700000000003</v>
      </c>
      <c r="Y71" s="2"/>
      <c r="Z71" s="6">
        <f t="shared" si="19"/>
        <v>0.39489347267342501</v>
      </c>
    </row>
    <row r="72" spans="1:26" s="69" customFormat="1" ht="15" hidden="1" customHeight="1" outlineLevel="2" x14ac:dyDescent="0.3">
      <c r="A72" s="26"/>
      <c r="B72" s="12" t="str">
        <f>CONCATENATE("          ","6381"," - ","BANK/CREDIT CARD FEES")</f>
        <v xml:space="preserve">          6381 - BANK/CREDIT CARD FEES</v>
      </c>
      <c r="C72" s="12"/>
      <c r="D72" s="8">
        <v>570.77</v>
      </c>
      <c r="E72" s="3"/>
      <c r="F72" s="7">
        <f t="shared" si="12"/>
        <v>1.2505200732385814E-2</v>
      </c>
      <c r="G72" s="3"/>
      <c r="H72" s="8">
        <v>494.45</v>
      </c>
      <c r="I72" s="3"/>
      <c r="J72" s="7">
        <f t="shared" si="13"/>
        <v>1.1493782617923142E-2</v>
      </c>
      <c r="K72" s="3"/>
      <c r="L72" s="8">
        <f t="shared" si="14"/>
        <v>76.319999999999993</v>
      </c>
      <c r="M72" s="3"/>
      <c r="N72" s="7">
        <f t="shared" si="15"/>
        <v>0.15435332187278794</v>
      </c>
      <c r="O72" s="12"/>
      <c r="P72" s="8">
        <v>5345.72</v>
      </c>
      <c r="Q72" s="3"/>
      <c r="R72" s="7">
        <f t="shared" si="16"/>
        <v>1.5890163434997162E-2</v>
      </c>
      <c r="S72" s="3"/>
      <c r="T72" s="8">
        <v>3832.35</v>
      </c>
      <c r="U72" s="3"/>
      <c r="V72" s="7">
        <f t="shared" si="17"/>
        <v>1.5249806380561807E-2</v>
      </c>
      <c r="W72" s="3"/>
      <c r="X72" s="8">
        <f t="shared" si="18"/>
        <v>1513.3700000000003</v>
      </c>
      <c r="Y72" s="3"/>
      <c r="Z72" s="7">
        <f t="shared" si="19"/>
        <v>0.39489347267342501</v>
      </c>
    </row>
    <row r="73" spans="1:26" s="68" customFormat="1" ht="15" customHeight="1" outlineLevel="1" collapsed="1" x14ac:dyDescent="0.3">
      <c r="A73" s="25"/>
      <c r="B73" s="14" t="str">
        <f>CONCATENATE("     ","Discounts and Markdowns                           ")</f>
        <v xml:space="preserve">     Discounts and Markdowns                           </v>
      </c>
      <c r="C73" s="14"/>
      <c r="D73" s="2">
        <f>SUM(OSRRefD22_5x_0)</f>
        <v>0</v>
      </c>
      <c r="E73" s="2"/>
      <c r="F73" s="6">
        <f t="shared" si="12"/>
        <v>0</v>
      </c>
      <c r="G73" s="2"/>
      <c r="H73" s="2">
        <f>SUM(OSRRefH22_5x_0)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SUM(OSRRefP22_5x_0)</f>
        <v>0</v>
      </c>
      <c r="Q73" s="2"/>
      <c r="R73" s="6">
        <f t="shared" si="16"/>
        <v>0</v>
      </c>
      <c r="S73" s="2"/>
      <c r="T73" s="2">
        <f>SUM(OSRRefT22_5x_0)</f>
        <v>0</v>
      </c>
      <c r="U73" s="2"/>
      <c r="V73" s="6">
        <f t="shared" si="17"/>
        <v>0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","6382"," - ","DISCOUNTS/MARK DOWNS")</f>
        <v xml:space="preserve">          6382 - DISCOUNTS/MARK DOWNS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","General                                           ")</f>
        <v xml:space="preserve">     General                                           </v>
      </c>
      <c r="C75" s="14"/>
      <c r="D75" s="2">
        <f>SUM(OSRRefD22_6x_0)</f>
        <v>0</v>
      </c>
      <c r="E75" s="2"/>
      <c r="F75" s="6">
        <f t="shared" si="12"/>
        <v>0</v>
      </c>
      <c r="G75" s="2"/>
      <c r="H75" s="2">
        <f>SUM(OSRRefH22_6x_0)</f>
        <v>94.83</v>
      </c>
      <c r="I75" s="2"/>
      <c r="J75" s="6">
        <f t="shared" si="13"/>
        <v>2.2043794229095995E-3</v>
      </c>
      <c r="K75" s="2"/>
      <c r="L75" s="2">
        <f t="shared" si="14"/>
        <v>-94.83</v>
      </c>
      <c r="M75" s="2"/>
      <c r="N75" s="6">
        <f t="shared" si="15"/>
        <v>-1</v>
      </c>
      <c r="O75" s="14"/>
      <c r="P75" s="2">
        <f>SUM(OSRRefP22_6x_0)</f>
        <v>1414.19</v>
      </c>
      <c r="Q75" s="2"/>
      <c r="R75" s="6">
        <f t="shared" si="16"/>
        <v>4.2036826149028823E-3</v>
      </c>
      <c r="S75" s="2"/>
      <c r="T75" s="2">
        <f>SUM(OSRRefT22_6x_0)</f>
        <v>1380.29</v>
      </c>
      <c r="U75" s="2"/>
      <c r="V75" s="6">
        <f t="shared" si="17"/>
        <v>5.4924929218431659E-3</v>
      </c>
      <c r="W75" s="2"/>
      <c r="X75" s="2">
        <f t="shared" si="18"/>
        <v>33.900000000000091</v>
      </c>
      <c r="Y75" s="2"/>
      <c r="Z75" s="6">
        <f t="shared" si="19"/>
        <v>2.4560056220069761E-2</v>
      </c>
    </row>
    <row r="76" spans="1:26" s="69" customFormat="1" ht="15" hidden="1" customHeight="1" outlineLevel="2" x14ac:dyDescent="0.3">
      <c r="A76" s="26"/>
      <c r="B76" s="12" t="str">
        <f>CONCATENATE("          ","6279"," - ","GENERAL EXPENSE")</f>
        <v xml:space="preserve">          6279 - GENERAL EXPENSE</v>
      </c>
      <c r="C76" s="12"/>
      <c r="D76" s="8"/>
      <c r="E76" s="3"/>
      <c r="F76" s="7">
        <f t="shared" si="12"/>
        <v>0</v>
      </c>
      <c r="G76" s="3"/>
      <c r="H76" s="8">
        <v>94.83</v>
      </c>
      <c r="I76" s="3"/>
      <c r="J76" s="7">
        <f t="shared" si="13"/>
        <v>2.2043794229095995E-3</v>
      </c>
      <c r="K76" s="3"/>
      <c r="L76" s="8">
        <f t="shared" si="14"/>
        <v>-94.83</v>
      </c>
      <c r="M76" s="3"/>
      <c r="N76" s="7">
        <f t="shared" si="15"/>
        <v>-1</v>
      </c>
      <c r="O76" s="12"/>
      <c r="P76" s="8">
        <v>1414.19</v>
      </c>
      <c r="Q76" s="3"/>
      <c r="R76" s="7">
        <f t="shared" si="16"/>
        <v>4.2036826149028823E-3</v>
      </c>
      <c r="S76" s="3"/>
      <c r="T76" s="8">
        <v>1380.29</v>
      </c>
      <c r="U76" s="3"/>
      <c r="V76" s="7">
        <f t="shared" si="17"/>
        <v>5.4924929218431659E-3</v>
      </c>
      <c r="W76" s="3"/>
      <c r="X76" s="8">
        <f t="shared" si="18"/>
        <v>33.900000000000091</v>
      </c>
      <c r="Y76" s="3"/>
      <c r="Z76" s="7">
        <f t="shared" si="19"/>
        <v>2.4560056220069761E-2</v>
      </c>
    </row>
    <row r="77" spans="1:26" s="68" customFormat="1" ht="15" customHeight="1" outlineLevel="1" collapsed="1" x14ac:dyDescent="0.3">
      <c r="A77" s="25"/>
      <c r="B77" s="14" t="str">
        <f>CONCATENATE("     ","Insurance                                         ")</f>
        <v xml:space="preserve">     Insurance                                         </v>
      </c>
      <c r="C77" s="14"/>
      <c r="D77" s="2">
        <f>SUM(OSRRefD22_7x_0)</f>
        <v>219.08</v>
      </c>
      <c r="E77" s="2"/>
      <c r="F77" s="6">
        <f t="shared" si="12"/>
        <v>4.7999007944550072E-3</v>
      </c>
      <c r="G77" s="2"/>
      <c r="H77" s="2">
        <f>SUM(OSRRefH22_7x_0)</f>
        <v>161.18</v>
      </c>
      <c r="I77" s="2"/>
      <c r="J77" s="6">
        <f t="shared" si="13"/>
        <v>3.7467244056160424E-3</v>
      </c>
      <c r="K77" s="2"/>
      <c r="L77" s="2">
        <f t="shared" si="14"/>
        <v>57.900000000000006</v>
      </c>
      <c r="M77" s="2"/>
      <c r="N77" s="6">
        <f t="shared" si="15"/>
        <v>0.35922571038590395</v>
      </c>
      <c r="O77" s="14"/>
      <c r="P77" s="2">
        <f>SUM(OSRRefP22_7x_0)</f>
        <v>2190.8000000000002</v>
      </c>
      <c r="Q77" s="2"/>
      <c r="R77" s="6">
        <f t="shared" si="16"/>
        <v>6.5121573994507348E-3</v>
      </c>
      <c r="S77" s="2"/>
      <c r="T77" s="2">
        <f>SUM(OSRRefT22_7x_0)</f>
        <v>1611.8</v>
      </c>
      <c r="U77" s="2"/>
      <c r="V77" s="6">
        <f t="shared" si="17"/>
        <v>6.4137247183032658E-3</v>
      </c>
      <c r="W77" s="2"/>
      <c r="X77" s="2">
        <f t="shared" si="18"/>
        <v>579.00000000000023</v>
      </c>
      <c r="Y77" s="2"/>
      <c r="Z77" s="6">
        <f t="shared" si="19"/>
        <v>0.35922571038590412</v>
      </c>
    </row>
    <row r="78" spans="1:26" s="69" customFormat="1" ht="15" hidden="1" customHeight="1" outlineLevel="2" x14ac:dyDescent="0.3">
      <c r="A78" s="26"/>
      <c r="B78" s="12" t="str">
        <f>CONCATENATE("          ","6314"," - ","LIABILITY INSURANCE")</f>
        <v xml:space="preserve">          6314 - LIABILITY INSURANCE</v>
      </c>
      <c r="C78" s="12"/>
      <c r="D78" s="8">
        <v>219.08</v>
      </c>
      <c r="E78" s="3"/>
      <c r="F78" s="7">
        <f t="shared" si="12"/>
        <v>4.7999007944550072E-3</v>
      </c>
      <c r="G78" s="3"/>
      <c r="H78" s="8">
        <v>161.18</v>
      </c>
      <c r="I78" s="3"/>
      <c r="J78" s="7">
        <f t="shared" si="13"/>
        <v>3.7467244056160424E-3</v>
      </c>
      <c r="K78" s="3"/>
      <c r="L78" s="8">
        <f t="shared" si="14"/>
        <v>57.900000000000006</v>
      </c>
      <c r="M78" s="3"/>
      <c r="N78" s="7">
        <f t="shared" si="15"/>
        <v>0.35922571038590395</v>
      </c>
      <c r="O78" s="12"/>
      <c r="P78" s="8">
        <v>2190.8000000000002</v>
      </c>
      <c r="Q78" s="3"/>
      <c r="R78" s="7">
        <f t="shared" si="16"/>
        <v>6.5121573994507348E-3</v>
      </c>
      <c r="S78" s="3"/>
      <c r="T78" s="8">
        <v>1611.8</v>
      </c>
      <c r="U78" s="3"/>
      <c r="V78" s="7">
        <f t="shared" si="17"/>
        <v>6.4137247183032658E-3</v>
      </c>
      <c r="W78" s="3"/>
      <c r="X78" s="8">
        <f t="shared" si="18"/>
        <v>579.00000000000023</v>
      </c>
      <c r="Y78" s="3"/>
      <c r="Z78" s="7">
        <f t="shared" si="19"/>
        <v>0.35922571038590412</v>
      </c>
    </row>
    <row r="79" spans="1:26" s="68" customFormat="1" ht="15" customHeight="1" outlineLevel="1" collapsed="1" x14ac:dyDescent="0.3">
      <c r="A79" s="25"/>
      <c r="B79" s="14" t="str">
        <f>CONCATENATE("     ","Inventory Adjustment                              ")</f>
        <v xml:space="preserve">     Inventory Adjustment                              </v>
      </c>
      <c r="C79" s="14"/>
      <c r="D79" s="2">
        <f>SUM(OSRRefD22_8x_0)</f>
        <v>100</v>
      </c>
      <c r="E79" s="2"/>
      <c r="F79" s="6">
        <f t="shared" si="12"/>
        <v>2.1909351809635781E-3</v>
      </c>
      <c r="G79" s="2"/>
      <c r="H79" s="2">
        <f>SUM(OSRRefH22_8x_0)</f>
        <v>100</v>
      </c>
      <c r="I79" s="2"/>
      <c r="J79" s="6">
        <f t="shared" si="13"/>
        <v>2.3245591299268162E-3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SUM(OSRRefP22_8x_0)</f>
        <v>1000</v>
      </c>
      <c r="Q79" s="2"/>
      <c r="R79" s="6">
        <f t="shared" si="16"/>
        <v>2.9725020081480436E-3</v>
      </c>
      <c r="S79" s="2"/>
      <c r="T79" s="2">
        <f>SUM(OSRRefT22_8x_0)</f>
        <v>1000</v>
      </c>
      <c r="U79" s="2"/>
      <c r="V79" s="6">
        <f t="shared" si="17"/>
        <v>3.979231119433717E-3</v>
      </c>
      <c r="W79" s="2"/>
      <c r="X79" s="2">
        <f t="shared" si="18"/>
        <v>0</v>
      </c>
      <c r="Y79" s="2"/>
      <c r="Z79" s="6">
        <f t="shared" si="19"/>
        <v>0</v>
      </c>
    </row>
    <row r="80" spans="1:26" s="69" customFormat="1" ht="15" hidden="1" customHeight="1" outlineLevel="2" x14ac:dyDescent="0.3">
      <c r="A80" s="26"/>
      <c r="B80" s="12" t="str">
        <f>CONCATENATE("          ","6408"," - ","INVENTORY ADJUSTMENT")</f>
        <v xml:space="preserve">          6408 - INVENTORY ADJUSTMENT</v>
      </c>
      <c r="C80" s="12"/>
      <c r="D80" s="8">
        <v>100</v>
      </c>
      <c r="E80" s="3"/>
      <c r="F80" s="7">
        <f t="shared" si="12"/>
        <v>2.1909351809635781E-3</v>
      </c>
      <c r="G80" s="3"/>
      <c r="H80" s="8">
        <v>100</v>
      </c>
      <c r="I80" s="3"/>
      <c r="J80" s="7">
        <f t="shared" si="13"/>
        <v>2.3245591299268162E-3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1000</v>
      </c>
      <c r="Q80" s="3"/>
      <c r="R80" s="7">
        <f t="shared" si="16"/>
        <v>2.9725020081480436E-3</v>
      </c>
      <c r="S80" s="3"/>
      <c r="T80" s="8">
        <v>1000</v>
      </c>
      <c r="U80" s="3"/>
      <c r="V80" s="7">
        <f t="shared" si="17"/>
        <v>3.979231119433717E-3</v>
      </c>
      <c r="W80" s="3"/>
      <c r="X80" s="8">
        <f t="shared" si="18"/>
        <v>0</v>
      </c>
      <c r="Y80" s="3"/>
      <c r="Z80" s="7">
        <f t="shared" si="19"/>
        <v>0</v>
      </c>
    </row>
    <row r="81" spans="1:26" s="68" customFormat="1" ht="15" customHeight="1" outlineLevel="1" collapsed="1" x14ac:dyDescent="0.3">
      <c r="A81" s="25"/>
      <c r="B81" s="14" t="str">
        <f>CONCATENATE("     ","Professional Services                             ")</f>
        <v xml:space="preserve">     Professional Services                             </v>
      </c>
      <c r="C81" s="14"/>
      <c r="D81" s="2">
        <f>SUM(OSRRefD22_9x_0)</f>
        <v>0</v>
      </c>
      <c r="E81" s="2"/>
      <c r="F81" s="6">
        <f t="shared" si="12"/>
        <v>0</v>
      </c>
      <c r="G81" s="2"/>
      <c r="H81" s="2">
        <f>SUM(OSRRefH22_9x_0)</f>
        <v>0</v>
      </c>
      <c r="I81" s="2"/>
      <c r="J81" s="6">
        <f t="shared" si="13"/>
        <v>0</v>
      </c>
      <c r="K81" s="2"/>
      <c r="L81" s="2">
        <f t="shared" si="14"/>
        <v>0</v>
      </c>
      <c r="M81" s="2"/>
      <c r="N81" s="6">
        <f t="shared" si="15"/>
        <v>0</v>
      </c>
      <c r="O81" s="14"/>
      <c r="P81" s="2">
        <f>SUM(OSRRefP22_9x_0)</f>
        <v>161.46</v>
      </c>
      <c r="Q81" s="2"/>
      <c r="R81" s="6">
        <f t="shared" si="16"/>
        <v>4.7994017423558314E-4</v>
      </c>
      <c r="S81" s="2"/>
      <c r="T81" s="2">
        <f>SUM(OSRRefT22_9x_0)</f>
        <v>0</v>
      </c>
      <c r="U81" s="2"/>
      <c r="V81" s="6">
        <f t="shared" si="17"/>
        <v>0</v>
      </c>
      <c r="W81" s="2"/>
      <c r="X81" s="2">
        <f t="shared" si="18"/>
        <v>161.46</v>
      </c>
      <c r="Y81" s="2"/>
      <c r="Z81" s="6">
        <f t="shared" si="19"/>
        <v>0</v>
      </c>
    </row>
    <row r="82" spans="1:26" s="69" customFormat="1" ht="15" hidden="1" customHeight="1" outlineLevel="2" x14ac:dyDescent="0.3">
      <c r="A82" s="26"/>
      <c r="B82" s="12" t="str">
        <f>CONCATENATE("          ","6336"," - ","PROFESSIONAL SERVICES")</f>
        <v xml:space="preserve">          6336 - PROFESSIONAL SERVICES</v>
      </c>
      <c r="C82" s="12"/>
      <c r="D82" s="8"/>
      <c r="E82" s="3"/>
      <c r="F82" s="7">
        <f t="shared" ref="F82:F106" si="20">IF(D$12=0,0,D82/D$12)</f>
        <v>0</v>
      </c>
      <c r="G82" s="3"/>
      <c r="H82" s="8"/>
      <c r="I82" s="3"/>
      <c r="J82" s="7">
        <f t="shared" ref="J82:J106" si="21">IF(H$12=0,0,H82/H$12)</f>
        <v>0</v>
      </c>
      <c r="K82" s="3"/>
      <c r="L82" s="8">
        <f t="shared" ref="L82:L106" si="22">+D82-H82</f>
        <v>0</v>
      </c>
      <c r="M82" s="3"/>
      <c r="N82" s="7">
        <f t="shared" ref="N82:N106" si="23">IF(H82=0,0,L82/H82)</f>
        <v>0</v>
      </c>
      <c r="O82" s="12"/>
      <c r="P82" s="8">
        <v>161.46</v>
      </c>
      <c r="Q82" s="3"/>
      <c r="R82" s="7">
        <f t="shared" ref="R82:R106" si="24">IF(P$12=0,0,P82/P$12)</f>
        <v>4.7994017423558314E-4</v>
      </c>
      <c r="S82" s="3"/>
      <c r="T82" s="8"/>
      <c r="U82" s="3"/>
      <c r="V82" s="7">
        <f t="shared" ref="V82:V106" si="25">IF(T$12=0,0,T82/T$12)</f>
        <v>0</v>
      </c>
      <c r="W82" s="3"/>
      <c r="X82" s="8">
        <f t="shared" ref="X82:X106" si="26">+P82-T82</f>
        <v>161.46</v>
      </c>
      <c r="Y82" s="3"/>
      <c r="Z82" s="7">
        <f t="shared" ref="Z82:Z106" si="27">IF(T82=0,0,X82/T82)</f>
        <v>0</v>
      </c>
    </row>
    <row r="83" spans="1:26" s="68" customFormat="1" ht="15" customHeight="1" outlineLevel="1" collapsed="1" x14ac:dyDescent="0.3">
      <c r="A83" s="25"/>
      <c r="B83" s="14" t="str">
        <f>CONCATENATE("     ","Rent                                              ")</f>
        <v xml:space="preserve">     Rent                                              </v>
      </c>
      <c r="C83" s="14"/>
      <c r="D83" s="2">
        <f>SUM(OSRRefD22_10x_0)</f>
        <v>6900</v>
      </c>
      <c r="E83" s="2"/>
      <c r="F83" s="6">
        <f t="shared" si="20"/>
        <v>0.15117452748648688</v>
      </c>
      <c r="G83" s="2"/>
      <c r="H83" s="2">
        <f>SUM(OSRRefH22_10x_0)</f>
        <v>6900</v>
      </c>
      <c r="I83" s="2"/>
      <c r="J83" s="6">
        <f t="shared" si="21"/>
        <v>0.16039457996495032</v>
      </c>
      <c r="K83" s="2"/>
      <c r="L83" s="2">
        <f t="shared" si="22"/>
        <v>0</v>
      </c>
      <c r="M83" s="2"/>
      <c r="N83" s="6">
        <f t="shared" si="23"/>
        <v>0</v>
      </c>
      <c r="O83" s="14"/>
      <c r="P83" s="2">
        <f>SUM(OSRRefP22_10x_0)</f>
        <v>69000</v>
      </c>
      <c r="Q83" s="2"/>
      <c r="R83" s="6">
        <f t="shared" si="24"/>
        <v>0.20510263856221503</v>
      </c>
      <c r="S83" s="2"/>
      <c r="T83" s="2">
        <f>SUM(OSRRefT22_10x_0)</f>
        <v>69000</v>
      </c>
      <c r="U83" s="2"/>
      <c r="V83" s="6">
        <f t="shared" si="25"/>
        <v>0.27456694724092651</v>
      </c>
      <c r="W83" s="2"/>
      <c r="X83" s="2">
        <f t="shared" si="26"/>
        <v>0</v>
      </c>
      <c r="Y83" s="2"/>
      <c r="Z83" s="6">
        <f t="shared" si="27"/>
        <v>0</v>
      </c>
    </row>
    <row r="84" spans="1:26" s="69" customFormat="1" ht="15" hidden="1" customHeight="1" outlineLevel="2" x14ac:dyDescent="0.3">
      <c r="A84" s="26"/>
      <c r="B84" s="12" t="str">
        <f>CONCATENATE("          ","6273"," - ","RENT")</f>
        <v xml:space="preserve">          6273 - RENT</v>
      </c>
      <c r="C84" s="12"/>
      <c r="D84" s="8">
        <v>6900</v>
      </c>
      <c r="E84" s="3"/>
      <c r="F84" s="7">
        <f t="shared" si="20"/>
        <v>0.15117452748648688</v>
      </c>
      <c r="G84" s="3"/>
      <c r="H84" s="8">
        <v>6900</v>
      </c>
      <c r="I84" s="3"/>
      <c r="J84" s="7">
        <f t="shared" si="21"/>
        <v>0.16039457996495032</v>
      </c>
      <c r="K84" s="3"/>
      <c r="L84" s="8">
        <f t="shared" si="22"/>
        <v>0</v>
      </c>
      <c r="M84" s="3"/>
      <c r="N84" s="7">
        <f t="shared" si="23"/>
        <v>0</v>
      </c>
      <c r="O84" s="12"/>
      <c r="P84" s="8">
        <v>69000</v>
      </c>
      <c r="Q84" s="3"/>
      <c r="R84" s="7">
        <f t="shared" si="24"/>
        <v>0.20510263856221503</v>
      </c>
      <c r="S84" s="3"/>
      <c r="T84" s="8">
        <v>69000</v>
      </c>
      <c r="U84" s="3"/>
      <c r="V84" s="7">
        <f t="shared" si="25"/>
        <v>0.27456694724092651</v>
      </c>
      <c r="W84" s="3"/>
      <c r="X84" s="8">
        <f t="shared" si="26"/>
        <v>0</v>
      </c>
      <c r="Y84" s="3"/>
      <c r="Z84" s="7">
        <f t="shared" si="27"/>
        <v>0</v>
      </c>
    </row>
    <row r="85" spans="1:26" s="68" customFormat="1" ht="15" customHeight="1" outlineLevel="1" collapsed="1" x14ac:dyDescent="0.3">
      <c r="A85" s="25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SUM(OSRRefD22_11x_0)</f>
        <v>0</v>
      </c>
      <c r="E85" s="2"/>
      <c r="F85" s="6">
        <f t="shared" si="20"/>
        <v>0</v>
      </c>
      <c r="G85" s="2"/>
      <c r="H85" s="2">
        <f>SUM(OSRRefH22_11x_0)</f>
        <v>0</v>
      </c>
      <c r="I85" s="2"/>
      <c r="J85" s="6">
        <f t="shared" si="21"/>
        <v>0</v>
      </c>
      <c r="K85" s="2"/>
      <c r="L85" s="2">
        <f t="shared" si="22"/>
        <v>0</v>
      </c>
      <c r="M85" s="2"/>
      <c r="N85" s="6">
        <f t="shared" si="23"/>
        <v>0</v>
      </c>
      <c r="O85" s="14"/>
      <c r="P85" s="2">
        <f>SUM(OSRRefP22_11x_0)</f>
        <v>1519.57</v>
      </c>
      <c r="Q85" s="2"/>
      <c r="R85" s="6">
        <f t="shared" si="24"/>
        <v>4.5169248765215223E-3</v>
      </c>
      <c r="S85" s="2"/>
      <c r="T85" s="2">
        <f>SUM(OSRRefT22_11x_0)</f>
        <v>309.70999999999998</v>
      </c>
      <c r="U85" s="2"/>
      <c r="V85" s="6">
        <f t="shared" si="25"/>
        <v>1.2324076699998165E-3</v>
      </c>
      <c r="W85" s="2"/>
      <c r="X85" s="2">
        <f t="shared" si="26"/>
        <v>1209.8599999999999</v>
      </c>
      <c r="Y85" s="2"/>
      <c r="Z85" s="6">
        <f t="shared" si="27"/>
        <v>3.9064285944916213</v>
      </c>
    </row>
    <row r="86" spans="1:26" s="69" customFormat="1" ht="15" hidden="1" customHeight="1" outlineLevel="2" x14ac:dyDescent="0.3">
      <c r="A86" s="26"/>
      <c r="B86" s="12" t="str">
        <f>CONCATENATE("          ","6372"," - ","COMPUTER HARDWARE MAINTENANCE")</f>
        <v xml:space="preserve">          6372 - COMPUTER HARDWARE MAINTENANCE</v>
      </c>
      <c r="C86" s="12"/>
      <c r="D86" s="8"/>
      <c r="E86" s="3"/>
      <c r="F86" s="7">
        <f t="shared" si="20"/>
        <v>0</v>
      </c>
      <c r="G86" s="3"/>
      <c r="H86" s="8"/>
      <c r="I86" s="3"/>
      <c r="J86" s="7">
        <f t="shared" si="21"/>
        <v>0</v>
      </c>
      <c r="K86" s="3"/>
      <c r="L86" s="8">
        <f t="shared" si="22"/>
        <v>0</v>
      </c>
      <c r="M86" s="3"/>
      <c r="N86" s="7">
        <f t="shared" si="23"/>
        <v>0</v>
      </c>
      <c r="O86" s="12"/>
      <c r="P86" s="8"/>
      <c r="Q86" s="3"/>
      <c r="R86" s="7">
        <f t="shared" si="24"/>
        <v>0</v>
      </c>
      <c r="S86" s="3"/>
      <c r="T86" s="8">
        <v>-0.52</v>
      </c>
      <c r="U86" s="3"/>
      <c r="V86" s="7">
        <f t="shared" si="25"/>
        <v>-2.0692001821055332E-6</v>
      </c>
      <c r="W86" s="3"/>
      <c r="X86" s="8">
        <f t="shared" si="26"/>
        <v>0.52</v>
      </c>
      <c r="Y86" s="3"/>
      <c r="Z86" s="7">
        <f t="shared" si="27"/>
        <v>-1</v>
      </c>
    </row>
    <row r="87" spans="1:26" s="69" customFormat="1" ht="15" hidden="1" customHeight="1" outlineLevel="2" x14ac:dyDescent="0.3">
      <c r="A87" s="26"/>
      <c r="B87" s="12" t="str">
        <f>CONCATENATE("          ","6373"," - ","MAINTENANCE CONTRACTS")</f>
        <v xml:space="preserve">          6373 - MAINTENANCE CONTRACTS</v>
      </c>
      <c r="C87" s="12"/>
      <c r="D87" s="8"/>
      <c r="E87" s="3"/>
      <c r="F87" s="7">
        <f t="shared" si="20"/>
        <v>0</v>
      </c>
      <c r="G87" s="3"/>
      <c r="H87" s="8"/>
      <c r="I87" s="3"/>
      <c r="J87" s="7">
        <f t="shared" si="21"/>
        <v>0</v>
      </c>
      <c r="K87" s="3"/>
      <c r="L87" s="8">
        <f t="shared" si="22"/>
        <v>0</v>
      </c>
      <c r="M87" s="3"/>
      <c r="N87" s="7">
        <f t="shared" si="23"/>
        <v>0</v>
      </c>
      <c r="O87" s="12"/>
      <c r="P87" s="8">
        <v>696.76</v>
      </c>
      <c r="Q87" s="3"/>
      <c r="R87" s="7">
        <f t="shared" si="24"/>
        <v>2.0711204991972309E-3</v>
      </c>
      <c r="S87" s="3"/>
      <c r="T87" s="8">
        <v>144.66999999999999</v>
      </c>
      <c r="U87" s="3"/>
      <c r="V87" s="7">
        <f t="shared" si="25"/>
        <v>5.7567536604847581E-4</v>
      </c>
      <c r="W87" s="3"/>
      <c r="X87" s="8">
        <f t="shared" si="26"/>
        <v>552.09</v>
      </c>
      <c r="Y87" s="3"/>
      <c r="Z87" s="7">
        <f t="shared" si="27"/>
        <v>3.8162023916499623</v>
      </c>
    </row>
    <row r="88" spans="1:26" s="69" customFormat="1" ht="15" hidden="1" customHeight="1" outlineLevel="2" x14ac:dyDescent="0.3">
      <c r="A88" s="26"/>
      <c r="B88" s="12" t="str">
        <f>CONCATENATE("          ","6375"," - ","OUTSIDE REPAIRS &amp; MAINTENANCE")</f>
        <v xml:space="preserve">          6375 - OUTSIDE REPAIRS &amp; MAINTENANCE</v>
      </c>
      <c r="C88" s="12"/>
      <c r="D88" s="8"/>
      <c r="E88" s="3"/>
      <c r="F88" s="7">
        <f t="shared" si="20"/>
        <v>0</v>
      </c>
      <c r="G88" s="3"/>
      <c r="H88" s="8"/>
      <c r="I88" s="3"/>
      <c r="J88" s="7">
        <f t="shared" si="21"/>
        <v>0</v>
      </c>
      <c r="K88" s="3"/>
      <c r="L88" s="8">
        <f t="shared" si="22"/>
        <v>0</v>
      </c>
      <c r="M88" s="3"/>
      <c r="N88" s="7">
        <f t="shared" si="23"/>
        <v>0</v>
      </c>
      <c r="O88" s="12"/>
      <c r="P88" s="8">
        <v>822.81</v>
      </c>
      <c r="Q88" s="3"/>
      <c r="R88" s="7">
        <f t="shared" si="24"/>
        <v>2.4458043773242918E-3</v>
      </c>
      <c r="S88" s="3"/>
      <c r="T88" s="8">
        <v>165.56</v>
      </c>
      <c r="U88" s="3"/>
      <c r="V88" s="7">
        <f t="shared" si="25"/>
        <v>6.5880150413344623E-4</v>
      </c>
      <c r="W88" s="3"/>
      <c r="X88" s="8">
        <f t="shared" si="26"/>
        <v>657.25</v>
      </c>
      <c r="Y88" s="3"/>
      <c r="Z88" s="7">
        <f t="shared" si="27"/>
        <v>3.9698598695337037</v>
      </c>
    </row>
    <row r="89" spans="1:26" s="68" customFormat="1" ht="15" customHeight="1" outlineLevel="1" collapsed="1" x14ac:dyDescent="0.3">
      <c r="A89" s="25"/>
      <c r="B89" s="14" t="str">
        <f>CONCATENATE("     ","Services                                          ")</f>
        <v xml:space="preserve">     Services                                          </v>
      </c>
      <c r="C89" s="14"/>
      <c r="D89" s="2">
        <f>SUM(OSRRefD22_12x_0)</f>
        <v>73.75</v>
      </c>
      <c r="E89" s="2"/>
      <c r="F89" s="6">
        <f t="shared" si="20"/>
        <v>1.6158146959606389E-3</v>
      </c>
      <c r="G89" s="2"/>
      <c r="H89" s="2">
        <f>SUM(OSRRefH22_12x_0)</f>
        <v>155.59</v>
      </c>
      <c r="I89" s="2"/>
      <c r="J89" s="6">
        <f t="shared" si="21"/>
        <v>3.6167815502531333E-3</v>
      </c>
      <c r="K89" s="2"/>
      <c r="L89" s="2">
        <f t="shared" si="22"/>
        <v>-81.84</v>
      </c>
      <c r="M89" s="2"/>
      <c r="N89" s="6">
        <f t="shared" si="23"/>
        <v>-0.52599781476958674</v>
      </c>
      <c r="O89" s="14"/>
      <c r="P89" s="2">
        <f>SUM(OSRRefP22_12x_0)</f>
        <v>1652.56</v>
      </c>
      <c r="Q89" s="2"/>
      <c r="R89" s="6">
        <f t="shared" si="24"/>
        <v>4.9122379185851306E-3</v>
      </c>
      <c r="S89" s="2"/>
      <c r="T89" s="2">
        <f>SUM(OSRRefT22_12x_0)</f>
        <v>762.93</v>
      </c>
      <c r="U89" s="2"/>
      <c r="V89" s="6">
        <f t="shared" si="25"/>
        <v>3.0358747979495658E-3</v>
      </c>
      <c r="W89" s="2"/>
      <c r="X89" s="2">
        <f t="shared" si="26"/>
        <v>889.63</v>
      </c>
      <c r="Y89" s="2"/>
      <c r="Z89" s="6">
        <f t="shared" si="27"/>
        <v>1.1660702816772182</v>
      </c>
    </row>
    <row r="90" spans="1:26" s="69" customFormat="1" ht="15" hidden="1" customHeight="1" outlineLevel="2" x14ac:dyDescent="0.3">
      <c r="A90" s="26"/>
      <c r="B90" s="12" t="str">
        <f>CONCATENATE("          ","6283"," - ","PLANT SERVICE")</f>
        <v xml:space="preserve">          6283 - PLANT SERVICE</v>
      </c>
      <c r="C90" s="12"/>
      <c r="D90" s="8"/>
      <c r="E90" s="3"/>
      <c r="F90" s="7">
        <f t="shared" si="20"/>
        <v>0</v>
      </c>
      <c r="G90" s="3"/>
      <c r="H90" s="8"/>
      <c r="I90" s="3"/>
      <c r="J90" s="7">
        <f t="shared" si="21"/>
        <v>0</v>
      </c>
      <c r="K90" s="3"/>
      <c r="L90" s="8">
        <f t="shared" si="22"/>
        <v>0</v>
      </c>
      <c r="M90" s="3"/>
      <c r="N90" s="7">
        <f t="shared" si="23"/>
        <v>0</v>
      </c>
      <c r="O90" s="12"/>
      <c r="P90" s="8"/>
      <c r="Q90" s="3"/>
      <c r="R90" s="7">
        <f t="shared" si="24"/>
        <v>0</v>
      </c>
      <c r="S90" s="3"/>
      <c r="T90" s="8">
        <v>41.31</v>
      </c>
      <c r="U90" s="3"/>
      <c r="V90" s="7">
        <f t="shared" si="25"/>
        <v>1.6438203754380688E-4</v>
      </c>
      <c r="W90" s="3"/>
      <c r="X90" s="8">
        <f t="shared" si="26"/>
        <v>-41.31</v>
      </c>
      <c r="Y90" s="3"/>
      <c r="Z90" s="7">
        <f t="shared" si="27"/>
        <v>-1</v>
      </c>
    </row>
    <row r="91" spans="1:26" s="69" customFormat="1" ht="15" hidden="1" customHeight="1" outlineLevel="2" x14ac:dyDescent="0.3">
      <c r="A91" s="26"/>
      <c r="B91" s="12" t="str">
        <f>CONCATENATE("          ","6284"," - ","TRASH REMOVAL EXPENSE")</f>
        <v xml:space="preserve">          6284 - TRASH REMOVAL EXPENSE</v>
      </c>
      <c r="C91" s="12"/>
      <c r="D91" s="8"/>
      <c r="E91" s="3"/>
      <c r="F91" s="7">
        <f t="shared" si="20"/>
        <v>0</v>
      </c>
      <c r="G91" s="3"/>
      <c r="H91" s="8">
        <v>142.57</v>
      </c>
      <c r="I91" s="3"/>
      <c r="J91" s="7">
        <f t="shared" si="21"/>
        <v>3.3141239515366615E-3</v>
      </c>
      <c r="K91" s="3"/>
      <c r="L91" s="8">
        <f t="shared" si="22"/>
        <v>-142.57</v>
      </c>
      <c r="M91" s="3"/>
      <c r="N91" s="7">
        <f t="shared" si="23"/>
        <v>-1</v>
      </c>
      <c r="O91" s="12"/>
      <c r="P91" s="8">
        <v>1340.17</v>
      </c>
      <c r="Q91" s="3"/>
      <c r="R91" s="7">
        <f t="shared" si="24"/>
        <v>3.9836580162597637E-3</v>
      </c>
      <c r="S91" s="3"/>
      <c r="T91" s="8">
        <v>1440.72</v>
      </c>
      <c r="U91" s="3"/>
      <c r="V91" s="7">
        <f t="shared" si="25"/>
        <v>5.7329578583905456E-3</v>
      </c>
      <c r="W91" s="3"/>
      <c r="X91" s="8">
        <f t="shared" si="26"/>
        <v>-100.54999999999995</v>
      </c>
      <c r="Y91" s="3"/>
      <c r="Z91" s="7">
        <f t="shared" si="27"/>
        <v>-6.9791493142317695E-2</v>
      </c>
    </row>
    <row r="92" spans="1:26" s="69" customFormat="1" ht="15" hidden="1" customHeight="1" outlineLevel="2" x14ac:dyDescent="0.3">
      <c r="A92" s="26"/>
      <c r="B92" s="12" t="str">
        <f>CONCATENATE("          ","6285"," - ","JANITORIAL SERVICES")</f>
        <v xml:space="preserve">          6285 - JANITORIAL SERVICES</v>
      </c>
      <c r="C92" s="12"/>
      <c r="D92" s="8">
        <v>73.75</v>
      </c>
      <c r="E92" s="3"/>
      <c r="F92" s="7">
        <f t="shared" si="20"/>
        <v>1.6158146959606389E-3</v>
      </c>
      <c r="G92" s="3"/>
      <c r="H92" s="8">
        <v>13.02</v>
      </c>
      <c r="I92" s="3"/>
      <c r="J92" s="7">
        <f t="shared" si="21"/>
        <v>3.0265759871647143E-4</v>
      </c>
      <c r="K92" s="3"/>
      <c r="L92" s="8">
        <f t="shared" si="22"/>
        <v>60.730000000000004</v>
      </c>
      <c r="M92" s="3"/>
      <c r="N92" s="7">
        <f t="shared" si="23"/>
        <v>4.6643625192012292</v>
      </c>
      <c r="O92" s="12"/>
      <c r="P92" s="8">
        <v>312.39</v>
      </c>
      <c r="Q92" s="3"/>
      <c r="R92" s="7">
        <f t="shared" si="24"/>
        <v>9.2857990232536733E-4</v>
      </c>
      <c r="S92" s="3"/>
      <c r="T92" s="8">
        <v>-719.1</v>
      </c>
      <c r="U92" s="3"/>
      <c r="V92" s="7">
        <f t="shared" si="25"/>
        <v>-2.8614650979847862E-3</v>
      </c>
      <c r="W92" s="3"/>
      <c r="X92" s="8">
        <f t="shared" si="26"/>
        <v>1031.49</v>
      </c>
      <c r="Y92" s="3"/>
      <c r="Z92" s="7">
        <f t="shared" si="27"/>
        <v>-1.4344180225281602</v>
      </c>
    </row>
    <row r="93" spans="1:26" s="68" customFormat="1" ht="15" customHeight="1" outlineLevel="1" collapsed="1" x14ac:dyDescent="0.3">
      <c r="A93" s="25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2">
        <f>SUM(OSRRefD22_13x_0)</f>
        <v>0</v>
      </c>
      <c r="E93" s="2"/>
      <c r="F93" s="6">
        <f t="shared" si="20"/>
        <v>0</v>
      </c>
      <c r="G93" s="2"/>
      <c r="H93" s="2">
        <f>SUM(OSRRefH22_13x_0)</f>
        <v>2014.87</v>
      </c>
      <c r="I93" s="2"/>
      <c r="J93" s="6">
        <f t="shared" si="21"/>
        <v>4.6836844541156435E-2</v>
      </c>
      <c r="K93" s="2"/>
      <c r="L93" s="2">
        <f t="shared" si="22"/>
        <v>-2014.87</v>
      </c>
      <c r="M93" s="2"/>
      <c r="N93" s="6">
        <f t="shared" si="23"/>
        <v>-1</v>
      </c>
      <c r="O93" s="14"/>
      <c r="P93" s="2">
        <f>SUM(OSRRefP22_13x_0)</f>
        <v>0</v>
      </c>
      <c r="Q93" s="2"/>
      <c r="R93" s="6">
        <f t="shared" si="24"/>
        <v>0</v>
      </c>
      <c r="S93" s="2"/>
      <c r="T93" s="2">
        <f>SUM(OSRRefT22_13x_0)</f>
        <v>2254.14</v>
      </c>
      <c r="U93" s="2"/>
      <c r="V93" s="6">
        <f t="shared" si="25"/>
        <v>8.9697440355603186E-3</v>
      </c>
      <c r="W93" s="2"/>
      <c r="X93" s="2">
        <f t="shared" si="26"/>
        <v>-2254.14</v>
      </c>
      <c r="Y93" s="2"/>
      <c r="Z93" s="6">
        <f t="shared" si="27"/>
        <v>-1</v>
      </c>
    </row>
    <row r="94" spans="1:26" s="69" customFormat="1" ht="15" hidden="1" customHeight="1" outlineLevel="2" x14ac:dyDescent="0.3">
      <c r="A94" s="26"/>
      <c r="B94" s="12" t="str">
        <f>CONCATENATE("          ","6258"," - ","MEMBERSHIP DUES")</f>
        <v xml:space="preserve">          6258 - MEMBERSHIP DUES</v>
      </c>
      <c r="C94" s="12"/>
      <c r="D94" s="8"/>
      <c r="E94" s="3"/>
      <c r="F94" s="7">
        <f t="shared" si="20"/>
        <v>0</v>
      </c>
      <c r="G94" s="3"/>
      <c r="H94" s="8"/>
      <c r="I94" s="3"/>
      <c r="J94" s="7">
        <f t="shared" si="21"/>
        <v>0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/>
      <c r="Q94" s="3"/>
      <c r="R94" s="7">
        <f t="shared" si="24"/>
        <v>0</v>
      </c>
      <c r="S94" s="3"/>
      <c r="T94" s="8">
        <v>-60.73</v>
      </c>
      <c r="U94" s="3"/>
      <c r="V94" s="7">
        <f t="shared" si="25"/>
        <v>-2.4165870588320964E-4</v>
      </c>
      <c r="W94" s="3"/>
      <c r="X94" s="8">
        <f t="shared" si="26"/>
        <v>60.73</v>
      </c>
      <c r="Y94" s="3"/>
      <c r="Z94" s="7">
        <f t="shared" si="27"/>
        <v>-1</v>
      </c>
    </row>
    <row r="95" spans="1:26" s="69" customFormat="1" ht="15" hidden="1" customHeight="1" outlineLevel="2" x14ac:dyDescent="0.3">
      <c r="A95" s="26"/>
      <c r="B95" s="12" t="str">
        <f>CONCATENATE("          ","6275"," - ","SUBSCRIPTIONS")</f>
        <v xml:space="preserve">          6275 - SUBSCRIPTIONS</v>
      </c>
      <c r="C95" s="12"/>
      <c r="D95" s="8"/>
      <c r="E95" s="3"/>
      <c r="F95" s="7">
        <f t="shared" si="20"/>
        <v>0</v>
      </c>
      <c r="G95" s="3"/>
      <c r="H95" s="8">
        <v>2014.87</v>
      </c>
      <c r="I95" s="3"/>
      <c r="J95" s="7">
        <f t="shared" si="21"/>
        <v>4.6836844541156435E-2</v>
      </c>
      <c r="K95" s="3"/>
      <c r="L95" s="8">
        <f t="shared" si="22"/>
        <v>-2014.87</v>
      </c>
      <c r="M95" s="3"/>
      <c r="N95" s="7">
        <f t="shared" si="23"/>
        <v>-1</v>
      </c>
      <c r="O95" s="12"/>
      <c r="P95" s="8"/>
      <c r="Q95" s="3"/>
      <c r="R95" s="7">
        <f t="shared" si="24"/>
        <v>0</v>
      </c>
      <c r="S95" s="3"/>
      <c r="T95" s="8">
        <v>2314.87</v>
      </c>
      <c r="U95" s="3"/>
      <c r="V95" s="7">
        <f t="shared" si="25"/>
        <v>9.2114027414435286E-3</v>
      </c>
      <c r="W95" s="3"/>
      <c r="X95" s="8">
        <f t="shared" si="26"/>
        <v>-2314.87</v>
      </c>
      <c r="Y95" s="3"/>
      <c r="Z95" s="7">
        <f t="shared" si="27"/>
        <v>-1</v>
      </c>
    </row>
    <row r="96" spans="1:26" s="68" customFormat="1" ht="15" customHeight="1" outlineLevel="1" collapsed="1" x14ac:dyDescent="0.3">
      <c r="A96" s="25"/>
      <c r="B96" s="14" t="str">
        <f>CONCATENATE("     ","Supplies                                          ")</f>
        <v xml:space="preserve">     Supplies                                          </v>
      </c>
      <c r="C96" s="14"/>
      <c r="D96" s="2">
        <f>SUM(OSRRefD22_14x_0)</f>
        <v>706.82</v>
      </c>
      <c r="E96" s="2"/>
      <c r="F96" s="6">
        <f t="shared" si="20"/>
        <v>1.5485968046086764E-2</v>
      </c>
      <c r="G96" s="2"/>
      <c r="H96" s="2">
        <f>SUM(OSRRefH22_14x_0)</f>
        <v>270.08999999999997</v>
      </c>
      <c r="I96" s="2"/>
      <c r="J96" s="6">
        <f t="shared" si="21"/>
        <v>6.2784017540193368E-3</v>
      </c>
      <c r="K96" s="2"/>
      <c r="L96" s="2">
        <f t="shared" si="22"/>
        <v>436.73000000000008</v>
      </c>
      <c r="M96" s="2"/>
      <c r="N96" s="6">
        <f t="shared" si="23"/>
        <v>1.6169795253434045</v>
      </c>
      <c r="O96" s="14"/>
      <c r="P96" s="2">
        <f>SUM(OSRRefP22_14x_0)</f>
        <v>1752.75</v>
      </c>
      <c r="Q96" s="2"/>
      <c r="R96" s="6">
        <f t="shared" si="24"/>
        <v>5.2100528947814839E-3</v>
      </c>
      <c r="S96" s="2"/>
      <c r="T96" s="2">
        <f>SUM(OSRRefT22_14x_0)</f>
        <v>829.24</v>
      </c>
      <c r="U96" s="2"/>
      <c r="V96" s="6">
        <f t="shared" si="25"/>
        <v>3.2997376134792158E-3</v>
      </c>
      <c r="W96" s="2"/>
      <c r="X96" s="2">
        <f t="shared" si="26"/>
        <v>923.51</v>
      </c>
      <c r="Y96" s="2"/>
      <c r="Z96" s="6">
        <f t="shared" si="27"/>
        <v>1.1136824079880372</v>
      </c>
    </row>
    <row r="97" spans="1:26" s="69" customFormat="1" ht="15" hidden="1" customHeight="1" outlineLevel="2" x14ac:dyDescent="0.3">
      <c r="A97" s="26"/>
      <c r="B97" s="12" t="str">
        <f>CONCATENATE("          ","6235"," - ","COVID-19 EXPENSES")</f>
        <v xml:space="preserve">          6235 - COVID-19 EXPENSES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265.7</v>
      </c>
      <c r="U97" s="3"/>
      <c r="V97" s="7">
        <f t="shared" si="25"/>
        <v>1.0572817084335386E-3</v>
      </c>
      <c r="W97" s="3"/>
      <c r="X97" s="8">
        <f t="shared" si="26"/>
        <v>-265.7</v>
      </c>
      <c r="Y97" s="3"/>
      <c r="Z97" s="7">
        <f t="shared" si="27"/>
        <v>-1</v>
      </c>
    </row>
    <row r="98" spans="1:26" s="69" customFormat="1" ht="15" hidden="1" customHeight="1" outlineLevel="2" x14ac:dyDescent="0.3">
      <c r="A98" s="26"/>
      <c r="B98" s="12" t="str">
        <f>CONCATENATE("          ","6237"," - ","JANITORIAL SUPPLIES")</f>
        <v xml:space="preserve">          6237 - JANITORIAL SUPPLIES</v>
      </c>
      <c r="C98" s="12"/>
      <c r="D98" s="8">
        <v>692.84</v>
      </c>
      <c r="E98" s="3"/>
      <c r="F98" s="7">
        <f t="shared" si="20"/>
        <v>1.5179675307788054E-2</v>
      </c>
      <c r="G98" s="3"/>
      <c r="H98" s="8"/>
      <c r="I98" s="3"/>
      <c r="J98" s="7">
        <f t="shared" si="21"/>
        <v>0</v>
      </c>
      <c r="K98" s="3"/>
      <c r="L98" s="8">
        <f t="shared" si="22"/>
        <v>692.84</v>
      </c>
      <c r="M98" s="3"/>
      <c r="N98" s="7">
        <f t="shared" si="23"/>
        <v>0</v>
      </c>
      <c r="O98" s="12"/>
      <c r="P98" s="8">
        <v>770.01</v>
      </c>
      <c r="Q98" s="3"/>
      <c r="R98" s="7">
        <f t="shared" si="24"/>
        <v>2.288856271294075E-3</v>
      </c>
      <c r="S98" s="3"/>
      <c r="T98" s="8">
        <v>191.74</v>
      </c>
      <c r="U98" s="3"/>
      <c r="V98" s="7">
        <f t="shared" si="25"/>
        <v>7.6297777484022103E-4</v>
      </c>
      <c r="W98" s="3"/>
      <c r="X98" s="8">
        <f t="shared" si="26"/>
        <v>578.27</v>
      </c>
      <c r="Y98" s="3"/>
      <c r="Z98" s="7">
        <f t="shared" si="27"/>
        <v>3.0159069573380619</v>
      </c>
    </row>
    <row r="99" spans="1:26" s="69" customFormat="1" ht="15" hidden="1" customHeight="1" outlineLevel="2" x14ac:dyDescent="0.3">
      <c r="A99" s="26"/>
      <c r="B99" s="12" t="str">
        <f>CONCATENATE("          ","6241"," - ","OFFICE EXPENSE")</f>
        <v xml:space="preserve">          6241 - OFFICE EXPENSE</v>
      </c>
      <c r="C99" s="12"/>
      <c r="D99" s="8">
        <v>13.98</v>
      </c>
      <c r="E99" s="3"/>
      <c r="F99" s="7">
        <f t="shared" si="20"/>
        <v>3.0629273829870819E-4</v>
      </c>
      <c r="G99" s="3"/>
      <c r="H99" s="8">
        <v>270.08999999999997</v>
      </c>
      <c r="I99" s="3"/>
      <c r="J99" s="7">
        <f t="shared" si="21"/>
        <v>6.2784017540193368E-3</v>
      </c>
      <c r="K99" s="3"/>
      <c r="L99" s="8">
        <f t="shared" si="22"/>
        <v>-256.10999999999996</v>
      </c>
      <c r="M99" s="3"/>
      <c r="N99" s="7">
        <f t="shared" si="23"/>
        <v>-0.94823947573031209</v>
      </c>
      <c r="O99" s="12"/>
      <c r="P99" s="8">
        <v>378.79</v>
      </c>
      <c r="Q99" s="3"/>
      <c r="R99" s="7">
        <f t="shared" si="24"/>
        <v>1.1259540356663975E-3</v>
      </c>
      <c r="S99" s="3"/>
      <c r="T99" s="8">
        <v>371.8</v>
      </c>
      <c r="U99" s="3"/>
      <c r="V99" s="7">
        <f t="shared" si="25"/>
        <v>1.4794781302054562E-3</v>
      </c>
      <c r="W99" s="3"/>
      <c r="X99" s="8">
        <f t="shared" si="26"/>
        <v>6.9900000000000091</v>
      </c>
      <c r="Y99" s="3"/>
      <c r="Z99" s="7">
        <f t="shared" si="27"/>
        <v>1.8800430338891901E-2</v>
      </c>
    </row>
    <row r="100" spans="1:26" s="69" customFormat="1" ht="15" hidden="1" customHeight="1" outlineLevel="2" x14ac:dyDescent="0.3">
      <c r="A100" s="26"/>
      <c r="B100" s="12" t="str">
        <f>CONCATENATE("          ","6247"," - ","STORE SUPPLIES")</f>
        <v xml:space="preserve">          6247 - STORE SUPPLIES</v>
      </c>
      <c r="C100" s="12"/>
      <c r="D100" s="8"/>
      <c r="E100" s="3"/>
      <c r="F100" s="7">
        <f t="shared" si="20"/>
        <v>0</v>
      </c>
      <c r="G100" s="3"/>
      <c r="H100" s="8"/>
      <c r="I100" s="3"/>
      <c r="J100" s="7">
        <f t="shared" si="21"/>
        <v>0</v>
      </c>
      <c r="K100" s="3"/>
      <c r="L100" s="8">
        <f t="shared" si="22"/>
        <v>0</v>
      </c>
      <c r="M100" s="3"/>
      <c r="N100" s="7">
        <f t="shared" si="23"/>
        <v>0</v>
      </c>
      <c r="O100" s="12"/>
      <c r="P100" s="8">
        <v>603.95000000000005</v>
      </c>
      <c r="Q100" s="3"/>
      <c r="R100" s="7">
        <f t="shared" si="24"/>
        <v>1.7952425878210111E-3</v>
      </c>
      <c r="S100" s="3"/>
      <c r="T100" s="8"/>
      <c r="U100" s="3"/>
      <c r="V100" s="7">
        <f t="shared" si="25"/>
        <v>0</v>
      </c>
      <c r="W100" s="3"/>
      <c r="X100" s="8">
        <f t="shared" si="26"/>
        <v>603.95000000000005</v>
      </c>
      <c r="Y100" s="3"/>
      <c r="Z100" s="7">
        <f t="shared" si="27"/>
        <v>0</v>
      </c>
    </row>
    <row r="101" spans="1:26" s="68" customFormat="1" ht="15" customHeight="1" outlineLevel="1" collapsed="1" x14ac:dyDescent="0.3">
      <c r="A101" s="25"/>
      <c r="B101" s="14" t="str">
        <f>CONCATENATE("     ","Telephone/Data Lines                              ")</f>
        <v xml:space="preserve">     Telephone/Data Lines                              </v>
      </c>
      <c r="C101" s="14"/>
      <c r="D101" s="2">
        <f>SUM(OSRRefD22_15x_0)</f>
        <v>310.33999999999997</v>
      </c>
      <c r="E101" s="2"/>
      <c r="F101" s="6">
        <f t="shared" si="20"/>
        <v>6.7993482406023672E-3</v>
      </c>
      <c r="G101" s="2"/>
      <c r="H101" s="2">
        <f>SUM(OSRRefH22_15x_0)</f>
        <v>232.15</v>
      </c>
      <c r="I101" s="2"/>
      <c r="J101" s="6">
        <f t="shared" si="21"/>
        <v>5.396464020125104E-3</v>
      </c>
      <c r="K101" s="2"/>
      <c r="L101" s="2">
        <f t="shared" si="22"/>
        <v>78.189999999999969</v>
      </c>
      <c r="M101" s="2"/>
      <c r="N101" s="6">
        <f t="shared" si="23"/>
        <v>0.33680809821236257</v>
      </c>
      <c r="O101" s="14"/>
      <c r="P101" s="2">
        <f>SUM(OSRRefP22_15x_0)</f>
        <v>3110.6</v>
      </c>
      <c r="Q101" s="2"/>
      <c r="R101" s="6">
        <f t="shared" si="24"/>
        <v>9.2462647465453053E-3</v>
      </c>
      <c r="S101" s="2"/>
      <c r="T101" s="2">
        <f>SUM(OSRRefT22_15x_0)</f>
        <v>2790.94</v>
      </c>
      <c r="U101" s="2"/>
      <c r="V101" s="6">
        <f t="shared" si="25"/>
        <v>1.110579530047234E-2</v>
      </c>
      <c r="W101" s="2"/>
      <c r="X101" s="2">
        <f t="shared" si="26"/>
        <v>319.65999999999985</v>
      </c>
      <c r="Y101" s="2"/>
      <c r="Z101" s="6">
        <f t="shared" si="27"/>
        <v>0.11453488788723507</v>
      </c>
    </row>
    <row r="102" spans="1:26" s="69" customFormat="1" ht="15" hidden="1" customHeight="1" outlineLevel="2" x14ac:dyDescent="0.3">
      <c r="A102" s="26"/>
      <c r="B102" s="12" t="str">
        <f>CONCATENATE("          ","6309"," - ","TELEPHONE")</f>
        <v xml:space="preserve">          6309 - TELEPHONE</v>
      </c>
      <c r="C102" s="12"/>
      <c r="D102" s="8">
        <v>310.33999999999997</v>
      </c>
      <c r="E102" s="3"/>
      <c r="F102" s="7">
        <f t="shared" si="20"/>
        <v>6.7993482406023672E-3</v>
      </c>
      <c r="G102" s="3"/>
      <c r="H102" s="8">
        <v>232.15</v>
      </c>
      <c r="I102" s="3"/>
      <c r="J102" s="7">
        <f t="shared" si="21"/>
        <v>5.396464020125104E-3</v>
      </c>
      <c r="K102" s="3"/>
      <c r="L102" s="8">
        <f t="shared" si="22"/>
        <v>78.189999999999969</v>
      </c>
      <c r="M102" s="3"/>
      <c r="N102" s="7">
        <f t="shared" si="23"/>
        <v>0.33680809821236257</v>
      </c>
      <c r="O102" s="12"/>
      <c r="P102" s="8">
        <v>3110.6</v>
      </c>
      <c r="Q102" s="3"/>
      <c r="R102" s="7">
        <f t="shared" si="24"/>
        <v>9.2462647465453053E-3</v>
      </c>
      <c r="S102" s="3"/>
      <c r="T102" s="8">
        <v>2790.94</v>
      </c>
      <c r="U102" s="3"/>
      <c r="V102" s="7">
        <f t="shared" si="25"/>
        <v>1.110579530047234E-2</v>
      </c>
      <c r="W102" s="3"/>
      <c r="X102" s="8">
        <f t="shared" si="26"/>
        <v>319.65999999999985</v>
      </c>
      <c r="Y102" s="3"/>
      <c r="Z102" s="7">
        <f t="shared" si="27"/>
        <v>0.11453488788723507</v>
      </c>
    </row>
    <row r="103" spans="1:26" s="68" customFormat="1" ht="15" customHeight="1" outlineLevel="1" collapsed="1" x14ac:dyDescent="0.3">
      <c r="A103" s="25"/>
      <c r="B103" s="14" t="str">
        <f>CONCATENATE("     ","Travel                                            ")</f>
        <v xml:space="preserve">     Travel                                            </v>
      </c>
      <c r="C103" s="14"/>
      <c r="D103" s="2">
        <f>SUM(OSRRefD22_16x_0)</f>
        <v>0</v>
      </c>
      <c r="E103" s="2"/>
      <c r="F103" s="6">
        <f t="shared" si="20"/>
        <v>0</v>
      </c>
      <c r="G103" s="2"/>
      <c r="H103" s="2">
        <f>SUM(OSRRefH22_16x_0)</f>
        <v>25.17</v>
      </c>
      <c r="I103" s="2"/>
      <c r="J103" s="6">
        <f t="shared" si="21"/>
        <v>5.8509153300257961E-4</v>
      </c>
      <c r="K103" s="2"/>
      <c r="L103" s="2">
        <f t="shared" si="22"/>
        <v>-25.17</v>
      </c>
      <c r="M103" s="2"/>
      <c r="N103" s="6">
        <f t="shared" si="23"/>
        <v>-1</v>
      </c>
      <c r="O103" s="14"/>
      <c r="P103" s="2">
        <f>SUM(OSRRefP22_16x_0)</f>
        <v>326.08999999999997</v>
      </c>
      <c r="Q103" s="2"/>
      <c r="R103" s="6">
        <f t="shared" si="24"/>
        <v>9.6930317983699547E-4</v>
      </c>
      <c r="S103" s="2"/>
      <c r="T103" s="2">
        <f>SUM(OSRRefT22_16x_0)</f>
        <v>499.53</v>
      </c>
      <c r="U103" s="2"/>
      <c r="V103" s="6">
        <f t="shared" si="25"/>
        <v>1.9877453210907247E-3</v>
      </c>
      <c r="W103" s="2"/>
      <c r="X103" s="2">
        <f t="shared" si="26"/>
        <v>-173.44</v>
      </c>
      <c r="Y103" s="2"/>
      <c r="Z103" s="6">
        <f t="shared" si="27"/>
        <v>-0.34720637399155208</v>
      </c>
    </row>
    <row r="104" spans="1:26" s="69" customFormat="1" ht="15" hidden="1" customHeight="1" outlineLevel="2" x14ac:dyDescent="0.3">
      <c r="A104" s="26"/>
      <c r="B104" s="12" t="str">
        <f>CONCATENATE("          ","6294"," - ","TRAVEL OPERATIONAL")</f>
        <v xml:space="preserve">          6294 - TRAVEL OPERATIONAL</v>
      </c>
      <c r="C104" s="12"/>
      <c r="D104" s="8"/>
      <c r="E104" s="3"/>
      <c r="F104" s="7">
        <f t="shared" si="20"/>
        <v>0</v>
      </c>
      <c r="G104" s="3"/>
      <c r="H104" s="8">
        <v>25.17</v>
      </c>
      <c r="I104" s="3"/>
      <c r="J104" s="7">
        <f t="shared" si="21"/>
        <v>5.8509153300257961E-4</v>
      </c>
      <c r="K104" s="3"/>
      <c r="L104" s="8">
        <f t="shared" si="22"/>
        <v>-25.17</v>
      </c>
      <c r="M104" s="3"/>
      <c r="N104" s="7">
        <f t="shared" si="23"/>
        <v>-1</v>
      </c>
      <c r="O104" s="12"/>
      <c r="P104" s="8">
        <v>326.08999999999997</v>
      </c>
      <c r="Q104" s="3"/>
      <c r="R104" s="7">
        <f t="shared" si="24"/>
        <v>9.6930317983699547E-4</v>
      </c>
      <c r="S104" s="3"/>
      <c r="T104" s="8">
        <v>499.53</v>
      </c>
      <c r="U104" s="3"/>
      <c r="V104" s="7">
        <f t="shared" si="25"/>
        <v>1.9877453210907247E-3</v>
      </c>
      <c r="W104" s="3"/>
      <c r="X104" s="8">
        <f t="shared" si="26"/>
        <v>-173.44</v>
      </c>
      <c r="Y104" s="3"/>
      <c r="Z104" s="7">
        <f t="shared" si="27"/>
        <v>-0.34720637399155208</v>
      </c>
    </row>
    <row r="105" spans="1:26" s="68" customFormat="1" ht="15" customHeight="1" outlineLevel="1" collapsed="1" x14ac:dyDescent="0.3">
      <c r="A105" s="25"/>
      <c r="B105" s="14" t="str">
        <f>CONCATENATE("     ","Utilities                                         ")</f>
        <v xml:space="preserve">     Utilities                                         </v>
      </c>
      <c r="C105" s="14"/>
      <c r="D105" s="2">
        <f>SUM(OSRRefD22_17x_0)</f>
        <v>254.32</v>
      </c>
      <c r="E105" s="2"/>
      <c r="F105" s="6">
        <f t="shared" si="20"/>
        <v>5.5719863522265718E-3</v>
      </c>
      <c r="G105" s="2"/>
      <c r="H105" s="2">
        <f>SUM(OSRRefH22_17x_0)</f>
        <v>28.93</v>
      </c>
      <c r="I105" s="2"/>
      <c r="J105" s="6">
        <f t="shared" si="21"/>
        <v>6.7249495628782794E-4</v>
      </c>
      <c r="K105" s="2"/>
      <c r="L105" s="2">
        <f t="shared" si="22"/>
        <v>225.39</v>
      </c>
      <c r="M105" s="2"/>
      <c r="N105" s="6">
        <f t="shared" si="23"/>
        <v>7.7908745247148286</v>
      </c>
      <c r="O105" s="14"/>
      <c r="P105" s="2">
        <f>SUM(OSRRefP22_17x_0)</f>
        <v>1287.22</v>
      </c>
      <c r="Q105" s="2"/>
      <c r="R105" s="6">
        <f t="shared" si="24"/>
        <v>3.8262640349283248E-3</v>
      </c>
      <c r="S105" s="2"/>
      <c r="T105" s="2">
        <f>SUM(OSRRefT22_17x_0)</f>
        <v>264.52999999999997</v>
      </c>
      <c r="U105" s="2"/>
      <c r="V105" s="6">
        <f t="shared" si="25"/>
        <v>1.0526260080238011E-3</v>
      </c>
      <c r="W105" s="2"/>
      <c r="X105" s="2">
        <f t="shared" si="26"/>
        <v>1022.69</v>
      </c>
      <c r="Y105" s="2"/>
      <c r="Z105" s="6">
        <f t="shared" si="27"/>
        <v>3.8660643405284851</v>
      </c>
    </row>
    <row r="106" spans="1:26" s="69" customFormat="1" ht="15" hidden="1" customHeight="1" outlineLevel="2" x14ac:dyDescent="0.3">
      <c r="A106" s="26"/>
      <c r="B106" s="12" t="str">
        <f>CONCATENATE("          ","6274"," - ","UTILITIES")</f>
        <v xml:space="preserve">          6274 - UTILITIES</v>
      </c>
      <c r="C106" s="12"/>
      <c r="D106" s="8">
        <v>254.32</v>
      </c>
      <c r="E106" s="3"/>
      <c r="F106" s="7">
        <f t="shared" si="20"/>
        <v>5.5719863522265718E-3</v>
      </c>
      <c r="G106" s="3"/>
      <c r="H106" s="8">
        <v>28.93</v>
      </c>
      <c r="I106" s="3"/>
      <c r="J106" s="7">
        <f t="shared" si="21"/>
        <v>6.7249495628782794E-4</v>
      </c>
      <c r="K106" s="3"/>
      <c r="L106" s="8">
        <f t="shared" si="22"/>
        <v>225.39</v>
      </c>
      <c r="M106" s="3"/>
      <c r="N106" s="7">
        <f t="shared" si="23"/>
        <v>7.7908745247148286</v>
      </c>
      <c r="O106" s="12"/>
      <c r="P106" s="8">
        <v>1287.22</v>
      </c>
      <c r="Q106" s="3"/>
      <c r="R106" s="7">
        <f t="shared" si="24"/>
        <v>3.8262640349283248E-3</v>
      </c>
      <c r="S106" s="3"/>
      <c r="T106" s="8">
        <v>264.52999999999997</v>
      </c>
      <c r="U106" s="3"/>
      <c r="V106" s="7">
        <f t="shared" si="25"/>
        <v>1.0526260080238011E-3</v>
      </c>
      <c r="W106" s="3"/>
      <c r="X106" s="8">
        <f t="shared" si="26"/>
        <v>1022.69</v>
      </c>
      <c r="Y106" s="3"/>
      <c r="Z106" s="7">
        <f t="shared" si="27"/>
        <v>3.8660643405284851</v>
      </c>
    </row>
    <row r="107" spans="1:26" s="64" customFormat="1" ht="15" customHeight="1" x14ac:dyDescent="0.3">
      <c r="A107" s="36"/>
      <c r="B107" s="36"/>
      <c r="C107" s="36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3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62" customFormat="1" ht="15" customHeight="1" x14ac:dyDescent="0.3">
      <c r="A108" s="11"/>
      <c r="B108" s="27" t="s">
        <v>290</v>
      </c>
      <c r="C108" s="11"/>
      <c r="D108" s="5">
        <f>SUM(0)</f>
        <v>0</v>
      </c>
      <c r="E108" s="5"/>
      <c r="F108" s="13">
        <f>IF(D$12=0,0,D108/D$12)</f>
        <v>0</v>
      </c>
      <c r="G108" s="5"/>
      <c r="H108" s="5">
        <f>SUM(0)</f>
        <v>0</v>
      </c>
      <c r="I108" s="5"/>
      <c r="J108" s="13">
        <f>IF(H$12=0,0,H108/H$12)</f>
        <v>0</v>
      </c>
      <c r="K108" s="5"/>
      <c r="L108" s="5">
        <f>+D108-H108</f>
        <v>0</v>
      </c>
      <c r="M108" s="5"/>
      <c r="N108" s="13">
        <f>IF(H108=0,0,L108/H108)</f>
        <v>0</v>
      </c>
      <c r="O108" s="11"/>
      <c r="P108" s="5">
        <f>SUM(0)</f>
        <v>0</v>
      </c>
      <c r="Q108" s="5"/>
      <c r="R108" s="13">
        <f>IF(P$12=0,0,P108/P$12)</f>
        <v>0</v>
      </c>
      <c r="S108" s="5"/>
      <c r="T108" s="5">
        <f>SUM(0)</f>
        <v>0</v>
      </c>
      <c r="U108" s="5"/>
      <c r="V108" s="13">
        <f>IF(T$12=0,0,T108/T$12)</f>
        <v>0</v>
      </c>
      <c r="W108" s="5"/>
      <c r="X108" s="5">
        <f>+P108-T108</f>
        <v>0</v>
      </c>
      <c r="Y108" s="5"/>
      <c r="Z108" s="13">
        <f>IF(T108=0,0,X108/T108)</f>
        <v>0</v>
      </c>
    </row>
    <row r="109" spans="1:26" ht="15" customHeight="1" x14ac:dyDescent="0.3">
      <c r="A109" s="10"/>
      <c r="B109" s="11"/>
      <c r="C109" s="11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O109" s="11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291</v>
      </c>
      <c r="C110" s="28"/>
      <c r="D110" s="21">
        <f>+D48-D50+D108</f>
        <v>3506.2999999999956</v>
      </c>
      <c r="E110" s="15"/>
      <c r="F110" s="23">
        <f>IF(D$12=0,0,D110/D$12)</f>
        <v>7.6820760250125839E-2</v>
      </c>
      <c r="G110" s="15"/>
      <c r="H110" s="21">
        <f>+H48-H50+H108</f>
        <v>1221.239999999998</v>
      </c>
      <c r="I110" s="15"/>
      <c r="J110" s="23">
        <f>IF(H$12=0,0,H110/H$12)</f>
        <v>2.8388445918318201E-2</v>
      </c>
      <c r="K110" s="16"/>
      <c r="L110" s="21">
        <f>+D110-H110</f>
        <v>2285.0599999999977</v>
      </c>
      <c r="M110" s="16"/>
      <c r="N110" s="23">
        <f>IF(H110=0,0,L110/H110)</f>
        <v>1.8710982280305275</v>
      </c>
      <c r="O110" s="27"/>
      <c r="P110" s="21">
        <f>+P48-P50+P108</f>
        <v>5191.8799999999464</v>
      </c>
      <c r="Q110" s="15"/>
      <c r="R110" s="23">
        <f>IF(P$12=0,0,P110/P$12)</f>
        <v>1.5432873726063506E-2</v>
      </c>
      <c r="S110" s="15"/>
      <c r="T110" s="21">
        <f>+T48-T50+T108</f>
        <v>-76375.680000000022</v>
      </c>
      <c r="U110" s="15"/>
      <c r="V110" s="23">
        <f>IF(T$12=0,0,T110/T$12)</f>
        <v>-0.30391648262391147</v>
      </c>
      <c r="W110" s="16"/>
      <c r="X110" s="21">
        <f>+P110-T110</f>
        <v>81567.559999999969</v>
      </c>
      <c r="Y110" s="16"/>
      <c r="Z110" s="23">
        <f>IF(T110=0,0,X110/T110)</f>
        <v>-1.0679781836312285</v>
      </c>
    </row>
    <row r="111" spans="1:26" ht="15" customHeight="1" x14ac:dyDescent="0.3">
      <c r="A111" s="10"/>
      <c r="B111" s="11"/>
      <c r="C111" s="10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2" customFormat="1" ht="15" customHeight="1" x14ac:dyDescent="0.3">
      <c r="A112" s="48"/>
      <c r="B112" s="11" t="s">
        <v>292</v>
      </c>
      <c r="C112" s="11"/>
      <c r="D112" s="5">
        <v>3407.41</v>
      </c>
      <c r="E112" s="5"/>
      <c r="F112" s="13">
        <f>IF(D$12=0,0,D112/D$12)</f>
        <v>7.4654144449671056E-2</v>
      </c>
      <c r="G112" s="5"/>
      <c r="H112" s="5">
        <v>9648.0300000000007</v>
      </c>
      <c r="I112" s="5"/>
      <c r="J112" s="13">
        <f>IF(H$12=0,0,H112/H$12)</f>
        <v>0.22427416222307822</v>
      </c>
      <c r="K112" s="5"/>
      <c r="L112" s="5">
        <f>+D112-H112</f>
        <v>-6240.6200000000008</v>
      </c>
      <c r="M112" s="5"/>
      <c r="N112" s="13">
        <f>IF(H112=0,0,L112/H112)</f>
        <v>-0.64682841989504603</v>
      </c>
      <c r="O112" s="11"/>
      <c r="P112" s="5">
        <v>38110.61</v>
      </c>
      <c r="Q112" s="5"/>
      <c r="R112" s="13">
        <f>IF(P$12=0,0,P112/P$12)</f>
        <v>0.11328386475674691</v>
      </c>
      <c r="S112" s="5"/>
      <c r="T112" s="5">
        <v>52573.99</v>
      </c>
      <c r="U112" s="5"/>
      <c r="V112" s="13">
        <f>IF(T$12=0,0,T112/T$12)</f>
        <v>0.20920405708079706</v>
      </c>
      <c r="W112" s="5"/>
      <c r="X112" s="5">
        <f>+P112-T112</f>
        <v>-14463.379999999997</v>
      </c>
      <c r="Y112" s="5"/>
      <c r="Z112" s="13">
        <f>IF(T112=0,0,X112/T112)</f>
        <v>-0.27510523739971032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2" customFormat="1" ht="15" customHeight="1" x14ac:dyDescent="0.3">
      <c r="A114" s="11"/>
      <c r="B114" s="28" t="s">
        <v>293</v>
      </c>
      <c r="C114" s="28"/>
      <c r="D114" s="34">
        <f>+D110-D112</f>
        <v>98.88999999999578</v>
      </c>
      <c r="E114" s="15"/>
      <c r="F114" s="30">
        <f>IF(D$12=0,0,D114/D$12)</f>
        <v>2.1666158004547899E-3</v>
      </c>
      <c r="G114" s="15"/>
      <c r="H114" s="34">
        <f>+H110-H112</f>
        <v>-8426.7900000000027</v>
      </c>
      <c r="I114" s="15"/>
      <c r="J114" s="30">
        <f>IF(H$12=0,0,H114/H$12)</f>
        <v>-0.19588571630476001</v>
      </c>
      <c r="K114" s="16"/>
      <c r="L114" s="34">
        <f>D114-H114</f>
        <v>8525.6799999999985</v>
      </c>
      <c r="M114" s="16"/>
      <c r="N114" s="30">
        <f>IF(H114=0,0,L114/H114)</f>
        <v>-1.0117351921668862</v>
      </c>
      <c r="O114" s="27"/>
      <c r="P114" s="34">
        <f>+P110-P112</f>
        <v>-32918.730000000054</v>
      </c>
      <c r="Q114" s="15"/>
      <c r="R114" s="30">
        <f>IF(P$12=0,0,P114/P$12)</f>
        <v>-9.7850991030683412E-2</v>
      </c>
      <c r="S114" s="15"/>
      <c r="T114" s="34">
        <f>+T110-T112</f>
        <v>-128949.67000000001</v>
      </c>
      <c r="U114" s="15"/>
      <c r="V114" s="30">
        <f>IF(T$12=0,0,T114/T$12)</f>
        <v>-0.5131205397047085</v>
      </c>
      <c r="W114" s="16"/>
      <c r="X114" s="34">
        <f>P114-T114</f>
        <v>96030.939999999959</v>
      </c>
      <c r="Y114" s="16"/>
      <c r="Z114" s="30">
        <f>IF(T114=0,0,X114/T114)</f>
        <v>-0.7447164463468573</v>
      </c>
    </row>
    <row r="115" spans="1:26" ht="15" customHeight="1" x14ac:dyDescent="0.3">
      <c r="A115" s="10"/>
      <c r="B115" s="10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ht="15" customHeight="1" x14ac:dyDescent="0.3">
      <c r="A116" s="10"/>
      <c r="B116" s="10"/>
      <c r="C116" s="10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8" t="s">
        <v>296</v>
      </c>
      <c r="C117" s="28"/>
      <c r="D117" s="29">
        <f>SUM(D114:D116)</f>
        <v>98.88999999999578</v>
      </c>
      <c r="E117" s="15"/>
      <c r="F117" s="35">
        <f>IF(D$12=0,0,D117/D$12)</f>
        <v>2.1666158004547899E-3</v>
      </c>
      <c r="G117" s="15"/>
      <c r="H117" s="29">
        <f>SUM(H114:H116)</f>
        <v>-8426.7900000000027</v>
      </c>
      <c r="I117" s="15"/>
      <c r="J117" s="35">
        <f>IF(H$12=0,0,H117/H$12)</f>
        <v>-0.19588571630476001</v>
      </c>
      <c r="K117" s="16"/>
      <c r="L117" s="29">
        <f>+D117-H117</f>
        <v>8525.6799999999985</v>
      </c>
      <c r="M117" s="16"/>
      <c r="N117" s="35">
        <f>IF(H117=0,0,L117/H117)</f>
        <v>-1.0117351921668862</v>
      </c>
      <c r="O117" s="27"/>
      <c r="P117" s="29">
        <f>SUM(P114:P116)</f>
        <v>-32918.730000000054</v>
      </c>
      <c r="Q117" s="15"/>
      <c r="R117" s="35">
        <f>IF(P$12=0,0,P117/P$12)</f>
        <v>-9.7850991030683412E-2</v>
      </c>
      <c r="S117" s="15"/>
      <c r="T117" s="29">
        <f>SUM(T114:T116)</f>
        <v>-128949.67000000001</v>
      </c>
      <c r="U117" s="15"/>
      <c r="V117" s="35">
        <f>IF(T$12=0,0,T117/T$12)</f>
        <v>-0.5131205397047085</v>
      </c>
      <c r="W117" s="16"/>
      <c r="X117" s="29">
        <f>+P117-T117</f>
        <v>96030.939999999959</v>
      </c>
      <c r="Y117" s="16"/>
      <c r="Z117" s="35">
        <f>IF(T117=0,0,X117/T117)</f>
        <v>-0.7447164463468573</v>
      </c>
    </row>
    <row r="118" spans="1:26" ht="15" customHeight="1" x14ac:dyDescent="0.3">
      <c r="A118" s="10"/>
      <c r="C118" s="10"/>
      <c r="D118" s="18"/>
      <c r="E118" s="18"/>
      <c r="G118" s="18"/>
      <c r="H118" s="18"/>
      <c r="I118" s="18"/>
      <c r="J118" s="40"/>
      <c r="K118" s="18"/>
      <c r="L118" s="18"/>
      <c r="M118" s="18"/>
      <c r="P118" s="18"/>
      <c r="Q118" s="18"/>
      <c r="R118" s="40"/>
      <c r="S118" s="18"/>
      <c r="T118" s="18"/>
      <c r="U118" s="18"/>
      <c r="V118" s="40"/>
      <c r="W118" s="18"/>
      <c r="X118" s="18"/>
    </row>
    <row r="119" spans="1:26" ht="15" customHeight="1" x14ac:dyDescent="0.3">
      <c r="A119" s="10"/>
      <c r="B119" s="56">
        <v>44694.890829479169</v>
      </c>
      <c r="D119" s="18"/>
      <c r="E119" s="18"/>
      <c r="G119" s="18"/>
      <c r="H119" s="18"/>
      <c r="I119" s="18"/>
      <c r="J119" s="40"/>
      <c r="K119" s="18"/>
      <c r="L119" s="18"/>
      <c r="M119" s="18"/>
      <c r="P119" s="18"/>
      <c r="Q119" s="18"/>
      <c r="R119" s="40"/>
      <c r="S119" s="18"/>
      <c r="T119" s="18"/>
      <c r="U119" s="18"/>
      <c r="V119" s="40"/>
      <c r="W119" s="18"/>
      <c r="X119" s="18"/>
    </row>
    <row r="120" spans="1:26" ht="15" customHeight="1" x14ac:dyDescent="0.3">
      <c r="A120" s="10"/>
      <c r="B120" s="52" t="s">
        <v>297</v>
      </c>
      <c r="D120" s="18"/>
      <c r="E120" s="18"/>
      <c r="G120" s="18"/>
      <c r="H120" s="18"/>
      <c r="I120" s="18"/>
      <c r="J120" s="40"/>
      <c r="K120" s="18"/>
      <c r="L120" s="18"/>
      <c r="M120" s="18"/>
      <c r="P120" s="18"/>
      <c r="Q120" s="18"/>
      <c r="R120" s="40"/>
      <c r="S120" s="18"/>
      <c r="T120" s="18"/>
      <c r="U120" s="18"/>
      <c r="V120" s="40"/>
      <c r="W120" s="18"/>
      <c r="X120" s="18"/>
    </row>
    <row r="121" spans="1:26" ht="15" customHeight="1" x14ac:dyDescent="0.3">
      <c r="A121" s="10"/>
      <c r="B121" s="58"/>
      <c r="D121" s="18"/>
      <c r="E121" s="18"/>
      <c r="G121" s="18"/>
      <c r="H121" s="18"/>
      <c r="I121" s="18"/>
      <c r="J121" s="40"/>
      <c r="K121" s="18"/>
      <c r="L121" s="18"/>
      <c r="M121" s="18"/>
      <c r="P121" s="18"/>
      <c r="Q121" s="18"/>
      <c r="R121" s="40"/>
      <c r="S121" s="18"/>
      <c r="T121" s="18"/>
      <c r="U121" s="18"/>
      <c r="V121" s="40"/>
      <c r="W121" s="18"/>
      <c r="X121" s="18"/>
    </row>
    <row r="122" spans="1:26" ht="15" customHeight="1" x14ac:dyDescent="0.3">
      <c r="D122" s="18"/>
      <c r="E122" s="18"/>
      <c r="G122" s="18"/>
      <c r="H122" s="18"/>
      <c r="I122" s="18"/>
      <c r="J122" s="40"/>
      <c r="K122" s="18"/>
      <c r="L122" s="18"/>
      <c r="M122" s="18"/>
      <c r="P122" s="18"/>
      <c r="Q122" s="18"/>
      <c r="R122" s="40"/>
      <c r="S122" s="18"/>
      <c r="T122" s="18"/>
      <c r="U122" s="18"/>
      <c r="V122" s="40"/>
      <c r="W122" s="18"/>
      <c r="X12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05A4-3BC7-560C-281D-03DEA38EC389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5"/>
      <c r="L18" s="22">
        <f>+D18-H18</f>
        <v>0</v>
      </c>
      <c r="M18" s="5"/>
      <c r="N18" s="32">
        <f>IF(H18=0,0,L18/H18)</f>
        <v>0</v>
      </c>
      <c r="O18" s="11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5"/>
      <c r="X18" s="22">
        <f>+P18-T18</f>
        <v>0</v>
      </c>
      <c r="Y18" s="5"/>
      <c r="Z18" s="32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290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291</v>
      </c>
      <c r="C22" s="28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6"/>
      <c r="L22" s="21">
        <f>+D22-H22</f>
        <v>0</v>
      </c>
      <c r="M22" s="16"/>
      <c r="N22" s="23">
        <f>IF(H22=0,0,L22/H22)</f>
        <v>0</v>
      </c>
      <c r="O22" s="27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6"/>
      <c r="X22" s="21">
        <f>+P22-T22</f>
        <v>0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48"/>
      <c r="B24" s="11" t="s">
        <v>292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11"/>
      <c r="B26" s="28" t="s">
        <v>293</v>
      </c>
      <c r="C26" s="28"/>
      <c r="D26" s="34">
        <f>+D22-D24</f>
        <v>0</v>
      </c>
      <c r="E26" s="15"/>
      <c r="F26" s="30">
        <f>IF(D$12=0,0,D26/D$12)</f>
        <v>0</v>
      </c>
      <c r="G26" s="15"/>
      <c r="H26" s="34">
        <f>+H22-H24</f>
        <v>0</v>
      </c>
      <c r="I26" s="15"/>
      <c r="J26" s="30">
        <f>IF(H$12=0,0,H26/H$12)</f>
        <v>0</v>
      </c>
      <c r="K26" s="16"/>
      <c r="L26" s="34">
        <f>D26-H26</f>
        <v>0</v>
      </c>
      <c r="M26" s="16"/>
      <c r="N26" s="30">
        <f>IF(H26=0,0,L26/H26)</f>
        <v>0</v>
      </c>
      <c r="O26" s="27"/>
      <c r="P26" s="34">
        <f>+P22-P24</f>
        <v>0</v>
      </c>
      <c r="Q26" s="15"/>
      <c r="R26" s="30">
        <f>IF(P$12=0,0,P26/P$12)</f>
        <v>0</v>
      </c>
      <c r="S26" s="15"/>
      <c r="T26" s="34">
        <f>+T22-T24</f>
        <v>0</v>
      </c>
      <c r="U26" s="15"/>
      <c r="V26" s="30">
        <f>IF(T$12=0,0,T26/T$12)</f>
        <v>0</v>
      </c>
      <c r="W26" s="16"/>
      <c r="X26" s="34">
        <f>P26-T26</f>
        <v>0</v>
      </c>
      <c r="Y26" s="16"/>
      <c r="Z26" s="30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48"/>
      <c r="B28" s="11" t="s">
        <v>294</v>
      </c>
      <c r="C28" s="11"/>
      <c r="D28" s="5">
        <f>-631914.9</f>
        <v>-631914.9</v>
      </c>
      <c r="E28" s="5"/>
      <c r="F28" s="13">
        <f>IF(D$12=0,0,D28/D$12)</f>
        <v>0</v>
      </c>
      <c r="G28" s="5"/>
      <c r="H28" s="5">
        <f>--334683.71</f>
        <v>334683.71000000002</v>
      </c>
      <c r="I28" s="5"/>
      <c r="J28" s="13">
        <f>IF(H$12=0,0,H28/H$12)</f>
        <v>0</v>
      </c>
      <c r="K28" s="5"/>
      <c r="L28" s="5">
        <f>+D28-H28</f>
        <v>-966598.6100000001</v>
      </c>
      <c r="M28" s="5"/>
      <c r="N28" s="13">
        <f>IF(H28=0,0,L28/H28)</f>
        <v>-2.8880957785486485</v>
      </c>
      <c r="O28" s="11"/>
      <c r="P28" s="5">
        <f>-1586831.27</f>
        <v>-1586831.27</v>
      </c>
      <c r="Q28" s="5"/>
      <c r="R28" s="13">
        <f>IF(P$12=0,0,P28/P$12)</f>
        <v>0</v>
      </c>
      <c r="S28" s="5"/>
      <c r="T28" s="5">
        <f>--2631496.9</f>
        <v>2631496.9</v>
      </c>
      <c r="U28" s="5"/>
      <c r="V28" s="13">
        <f>IF(T$12=0,0,T28/T$12)</f>
        <v>0</v>
      </c>
      <c r="W28" s="5"/>
      <c r="X28" s="5">
        <f>+P28-T28</f>
        <v>-4218328.17</v>
      </c>
      <c r="Y28" s="5"/>
      <c r="Z28" s="13">
        <f>IF(T28=0,0,X28/T28)</f>
        <v>-1.6030146833917989</v>
      </c>
    </row>
    <row r="29" spans="1:26" s="62" customFormat="1" ht="15" customHeight="1" x14ac:dyDescent="0.3">
      <c r="A29" s="48"/>
      <c r="B29" s="11" t="s">
        <v>295</v>
      </c>
      <c r="C29" s="11"/>
      <c r="D29" s="5">
        <f>--9521.98</f>
        <v>9521.98</v>
      </c>
      <c r="E29" s="5"/>
      <c r="F29" s="13">
        <f>IF(D$12=0,0,D29/D$12)</f>
        <v>0</v>
      </c>
      <c r="G29" s="5"/>
      <c r="H29" s="5">
        <f>--10223.34</f>
        <v>10223.34</v>
      </c>
      <c r="I29" s="5"/>
      <c r="J29" s="13">
        <f>IF(H$12=0,0,H29/H$12)</f>
        <v>0</v>
      </c>
      <c r="K29" s="5"/>
      <c r="L29" s="5">
        <f>+D29-H29</f>
        <v>-701.36000000000058</v>
      </c>
      <c r="M29" s="5"/>
      <c r="N29" s="13">
        <f>IF(H29=0,0,L29/H29)</f>
        <v>-6.8603802671142758E-2</v>
      </c>
      <c r="O29" s="11"/>
      <c r="P29" s="5">
        <f>--2342787.45</f>
        <v>2342787.4500000002</v>
      </c>
      <c r="Q29" s="5"/>
      <c r="R29" s="13">
        <f>IF(P$12=0,0,P29/P$12)</f>
        <v>0</v>
      </c>
      <c r="S29" s="5"/>
      <c r="T29" s="5">
        <f>--92759.53</f>
        <v>92759.53</v>
      </c>
      <c r="U29" s="5"/>
      <c r="V29" s="13">
        <f>IF(T$12=0,0,T29/T$12)</f>
        <v>0</v>
      </c>
      <c r="W29" s="5"/>
      <c r="X29" s="5">
        <f>+P29-T29</f>
        <v>2250027.9200000004</v>
      </c>
      <c r="Y29" s="5"/>
      <c r="Z29" s="13">
        <f>IF(T29=0,0,X29/T29)</f>
        <v>24.256568785978114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29">
        <f>SUM(D26:D30)</f>
        <v>-622392.92000000004</v>
      </c>
      <c r="E31" s="15"/>
      <c r="F31" s="35">
        <f>IF(D$12=0,0,D31/D$12)</f>
        <v>0</v>
      </c>
      <c r="G31" s="15"/>
      <c r="H31" s="29">
        <f>SUM(H26:H30)</f>
        <v>344907.05000000005</v>
      </c>
      <c r="I31" s="15"/>
      <c r="J31" s="35">
        <f>IF(H$12=0,0,H31/H$12)</f>
        <v>0</v>
      </c>
      <c r="K31" s="16"/>
      <c r="L31" s="29">
        <f>+D31-H31</f>
        <v>-967299.97000000009</v>
      </c>
      <c r="M31" s="16"/>
      <c r="N31" s="35">
        <f>IF(H31=0,0,L31/H31)</f>
        <v>-2.8045236245533398</v>
      </c>
      <c r="O31" s="27"/>
      <c r="P31" s="29">
        <f>SUM(P26:P30)</f>
        <v>755956.18000000017</v>
      </c>
      <c r="Q31" s="15"/>
      <c r="R31" s="35">
        <f>IF(P$12=0,0,P31/P$12)</f>
        <v>0</v>
      </c>
      <c r="S31" s="15"/>
      <c r="T31" s="29">
        <f>SUM(T26:T30)</f>
        <v>2724256.4299999997</v>
      </c>
      <c r="U31" s="15"/>
      <c r="V31" s="35">
        <f>IF(T$12=0,0,T31/T$12)</f>
        <v>0</v>
      </c>
      <c r="W31" s="16"/>
      <c r="X31" s="29">
        <f>+P31-T31</f>
        <v>-1968300.2499999995</v>
      </c>
      <c r="Y31" s="16"/>
      <c r="Z31" s="35">
        <f>IF(T31=0,0,X31/T31)</f>
        <v>-0.72250916922677488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0"/>
      <c r="K32" s="18"/>
      <c r="L32" s="18"/>
      <c r="M32" s="18"/>
      <c r="P32" s="18"/>
      <c r="Q32" s="18"/>
      <c r="R32" s="40"/>
      <c r="S32" s="18"/>
      <c r="T32" s="18"/>
      <c r="U32" s="18"/>
      <c r="V32" s="40"/>
      <c r="W32" s="18"/>
      <c r="X32" s="18"/>
    </row>
    <row r="33" spans="1:24" ht="15" customHeight="1" x14ac:dyDescent="0.3">
      <c r="A33" s="10"/>
      <c r="B33" s="56">
        <v>44694.890818252316</v>
      </c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3">
      <c r="A34" s="10"/>
      <c r="B34" s="52" t="s">
        <v>297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3">
      <c r="A35" s="10"/>
      <c r="B35" s="58"/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102A8-34CD-F323-2306-2FE910D9DCD3}">
  <sheetPr>
    <tabColor rgb="FFFFFF00"/>
    <outlinePr summaryBelow="0" summaryRight="0"/>
  </sheetPr>
  <dimension ref="A2:Z9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307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30367.83</v>
      </c>
      <c r="E12" s="5"/>
      <c r="F12" s="13"/>
      <c r="G12" s="5"/>
      <c r="H12" s="5">
        <f>SUM(OSRRefH13x_0)</f>
        <v>3702.45</v>
      </c>
      <c r="I12" s="5"/>
      <c r="J12" s="13"/>
      <c r="K12" s="5"/>
      <c r="L12" s="5">
        <f t="shared" ref="L12:L25" si="0">+D12-H12</f>
        <v>26665.38</v>
      </c>
      <c r="M12" s="5"/>
      <c r="N12" s="13">
        <f t="shared" ref="N12:N25" si="1">IF(H12=0,0,L12/H12)</f>
        <v>7.2020905076368358</v>
      </c>
      <c r="O12" s="11"/>
      <c r="P12" s="5">
        <f>SUM(OSRRefP13x_0)</f>
        <v>195002.45000000004</v>
      </c>
      <c r="Q12" s="5"/>
      <c r="R12" s="13"/>
      <c r="S12" s="5"/>
      <c r="T12" s="5">
        <f>SUM(OSRRefT13x_0)</f>
        <v>114697.48</v>
      </c>
      <c r="U12" s="5"/>
      <c r="V12" s="13"/>
      <c r="W12" s="5"/>
      <c r="X12" s="5">
        <f t="shared" ref="X12:X25" si="2">+P12-T12</f>
        <v>80304.970000000045</v>
      </c>
      <c r="Y12" s="5"/>
      <c r="Z12" s="13">
        <f t="shared" ref="Z12:Z25" si="3">IF(T12=0,0,X12/T12)</f>
        <v>0.70014589684097717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--21804.84</f>
        <v>21804.84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21804.84</v>
      </c>
      <c r="M13" s="3"/>
      <c r="N13" s="20">
        <f t="shared" si="1"/>
        <v>0</v>
      </c>
      <c r="O13" s="12"/>
      <c r="P13" s="3">
        <f>--149910.67</f>
        <v>149910.67000000001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149919.95000000001</v>
      </c>
      <c r="Y13" s="3"/>
      <c r="Z13" s="20">
        <f t="shared" si="3"/>
        <v>-16155.167025862071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--262.2</f>
        <v>262.2</v>
      </c>
      <c r="I14" s="3"/>
      <c r="J14" s="20"/>
      <c r="K14" s="3"/>
      <c r="L14" s="3">
        <f t="shared" si="0"/>
        <v>-262.2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--92920.17</f>
        <v>92920.17</v>
      </c>
      <c r="U14" s="3"/>
      <c r="V14" s="20"/>
      <c r="W14" s="3"/>
      <c r="X14" s="3">
        <f t="shared" si="2"/>
        <v>-92920.17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--1279.89</f>
        <v>1279.8900000000001</v>
      </c>
      <c r="I15" s="3"/>
      <c r="J15" s="20"/>
      <c r="K15" s="3"/>
      <c r="L15" s="3">
        <f t="shared" si="0"/>
        <v>-1279.8900000000001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--17099.84</f>
        <v>17099.84</v>
      </c>
      <c r="U15" s="3"/>
      <c r="V15" s="20"/>
      <c r="W15" s="3"/>
      <c r="X15" s="3">
        <f t="shared" si="2"/>
        <v>-17099.84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--52.68</f>
        <v>52.68</v>
      </c>
      <c r="U16" s="3"/>
      <c r="V16" s="20"/>
      <c r="W16" s="3"/>
      <c r="X16" s="3">
        <f t="shared" si="2"/>
        <v>-52.68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--2119.46</f>
        <v>2119.46</v>
      </c>
      <c r="I17" s="3"/>
      <c r="J17" s="20"/>
      <c r="K17" s="3"/>
      <c r="L17" s="3">
        <f t="shared" si="0"/>
        <v>-2119.46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--3034.59</f>
        <v>3034.59</v>
      </c>
      <c r="U17" s="3"/>
      <c r="V17" s="20"/>
      <c r="W17" s="3"/>
      <c r="X17" s="3">
        <f t="shared" si="2"/>
        <v>-3034.59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--8945.27</f>
        <v>8945.27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8945.27</v>
      </c>
      <c r="M18" s="3"/>
      <c r="N18" s="20">
        <f t="shared" si="1"/>
        <v>0</v>
      </c>
      <c r="O18" s="12"/>
      <c r="P18" s="3">
        <f>--46162.8</f>
        <v>46162.8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46162.8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--0.6</f>
        <v>0.6</v>
      </c>
      <c r="I19" s="3"/>
      <c r="J19" s="20"/>
      <c r="K19" s="3"/>
      <c r="L19" s="3">
        <f t="shared" si="0"/>
        <v>-0.6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--1279.24</f>
        <v>1279.24</v>
      </c>
      <c r="U19" s="3"/>
      <c r="V19" s="20"/>
      <c r="W19" s="3"/>
      <c r="X19" s="3">
        <f t="shared" si="2"/>
        <v>-1279.24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--22.1</f>
        <v>22.1</v>
      </c>
      <c r="I20" s="3"/>
      <c r="J20" s="20"/>
      <c r="K20" s="3"/>
      <c r="L20" s="3">
        <f t="shared" si="0"/>
        <v>-22.1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--1132.69</f>
        <v>1132.69</v>
      </c>
      <c r="U20" s="3"/>
      <c r="V20" s="20"/>
      <c r="W20" s="3"/>
      <c r="X20" s="3">
        <f t="shared" si="2"/>
        <v>-1132.69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--30.2</f>
        <v>30.2</v>
      </c>
      <c r="I21" s="3"/>
      <c r="J21" s="20"/>
      <c r="K21" s="3"/>
      <c r="L21" s="3">
        <f t="shared" si="0"/>
        <v>-30.2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--329.3</f>
        <v>329.3</v>
      </c>
      <c r="U21" s="3"/>
      <c r="V21" s="20"/>
      <c r="W21" s="3"/>
      <c r="X21" s="3">
        <f t="shared" si="2"/>
        <v>-329.3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--11</f>
        <v>11</v>
      </c>
      <c r="I22" s="3"/>
      <c r="J22" s="20"/>
      <c r="K22" s="3"/>
      <c r="L22" s="3">
        <f t="shared" si="0"/>
        <v>-11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--154.5</f>
        <v>154.5</v>
      </c>
      <c r="U22" s="3"/>
      <c r="V22" s="20"/>
      <c r="W22" s="3"/>
      <c r="X22" s="3">
        <f t="shared" si="2"/>
        <v>-154.5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-382.28</f>
        <v>-382.28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-382.28</v>
      </c>
      <c r="M23" s="3"/>
      <c r="N23" s="20">
        <f t="shared" si="1"/>
        <v>0</v>
      </c>
      <c r="O23" s="12"/>
      <c r="P23" s="3">
        <f>-1071.02</f>
        <v>-1071.02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-1071.02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-23</f>
        <v>-23</v>
      </c>
      <c r="I24" s="3"/>
      <c r="J24" s="20"/>
      <c r="K24" s="3"/>
      <c r="L24" s="3">
        <f t="shared" si="0"/>
        <v>23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-1285.05</f>
        <v>-1285.05</v>
      </c>
      <c r="U24" s="3"/>
      <c r="V24" s="20"/>
      <c r="W24" s="3"/>
      <c r="X24" s="3">
        <f t="shared" si="2"/>
        <v>1285.05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4.2358442163162553E-5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","5092"," - ","PURCHASES @ COST-GRAD MERCH")</f>
        <v xml:space="preserve">          5092 - PURCHASES @ COST-GRAD MERCH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/>
      <c r="Q28" s="3"/>
      <c r="R28" s="20">
        <f>IF(P$12=0,0,P28/P$12)</f>
        <v>0</v>
      </c>
      <c r="S28" s="3"/>
      <c r="T28" s="3">
        <v>0</v>
      </c>
      <c r="U28" s="3"/>
      <c r="V28" s="20">
        <f>IF(T$12=0,0,T28/T$12)</f>
        <v>0</v>
      </c>
      <c r="W28" s="3"/>
      <c r="X28" s="3">
        <f>+P28-T28</f>
        <v>0</v>
      </c>
      <c r="Y28" s="3"/>
      <c r="Z28" s="20">
        <f>IF(T28=0,0,X28/T28)</f>
        <v>0</v>
      </c>
    </row>
    <row r="29" spans="1:26" s="69" customFormat="1" ht="15" hidden="1" customHeight="1" outlineLevel="1" x14ac:dyDescent="0.3">
      <c r="A29" s="42"/>
      <c r="B29" s="12" t="str">
        <f>CONCATENATE("          ","5500"," - ","FREIGHT-IN")</f>
        <v xml:space="preserve">          5500 - FREIGHT-IN</v>
      </c>
      <c r="C29" s="12"/>
      <c r="D29" s="3"/>
      <c r="E29" s="3"/>
      <c r="F29" s="20">
        <f>IF(D$12=0,0,D29/D$12)</f>
        <v>0</v>
      </c>
      <c r="G29" s="3"/>
      <c r="H29" s="3"/>
      <c r="I29" s="3"/>
      <c r="J29" s="20">
        <f>IF(H$12=0,0,H29/H$12)</f>
        <v>0</v>
      </c>
      <c r="K29" s="3"/>
      <c r="L29" s="3">
        <f>+D29-H29</f>
        <v>0</v>
      </c>
      <c r="M29" s="3"/>
      <c r="N29" s="20">
        <f>IF(H29=0,0,L29/H29)</f>
        <v>0</v>
      </c>
      <c r="O29" s="12"/>
      <c r="P29" s="3">
        <v>8.26</v>
      </c>
      <c r="Q29" s="3"/>
      <c r="R29" s="20">
        <f>IF(P$12=0,0,P29/P$12)</f>
        <v>4.2358442163162553E-5</v>
      </c>
      <c r="S29" s="3"/>
      <c r="T29" s="3"/>
      <c r="U29" s="3"/>
      <c r="V29" s="20">
        <f>IF(T$12=0,0,T29/T$12)</f>
        <v>0</v>
      </c>
      <c r="W29" s="3"/>
      <c r="X29" s="3">
        <f>+P29-T29</f>
        <v>8.26</v>
      </c>
      <c r="Y29" s="3"/>
      <c r="Z29" s="20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","5592"," - ","FREIGHT-IN-GRAD MERCH")</f>
        <v xml:space="preserve">          5592 - FREIGHT-IN-GRAD MERCH</v>
      </c>
      <c r="C30" s="12"/>
      <c r="D30" s="3"/>
      <c r="E30" s="3"/>
      <c r="F30" s="20">
        <f>IF(D$12=0,0,D30/D$12)</f>
        <v>0</v>
      </c>
      <c r="G30" s="3"/>
      <c r="H30" s="3"/>
      <c r="I30" s="3"/>
      <c r="J30" s="20">
        <f>IF(H$12=0,0,H30/H$12)</f>
        <v>0</v>
      </c>
      <c r="K30" s="3"/>
      <c r="L30" s="3">
        <f>+D30-H30</f>
        <v>0</v>
      </c>
      <c r="M30" s="3"/>
      <c r="N30" s="20">
        <f>IF(H30=0,0,L30/H30)</f>
        <v>0</v>
      </c>
      <c r="O30" s="12"/>
      <c r="P30" s="3"/>
      <c r="Q30" s="3"/>
      <c r="R30" s="20">
        <f>IF(P$12=0,0,P30/P$12)</f>
        <v>0</v>
      </c>
      <c r="S30" s="3"/>
      <c r="T30" s="3">
        <v>0</v>
      </c>
      <c r="U30" s="3"/>
      <c r="V30" s="20">
        <f>IF(T$12=0,0,T30/T$12)</f>
        <v>0</v>
      </c>
      <c r="W30" s="3"/>
      <c r="X30" s="3">
        <f>+P30-T30</f>
        <v>0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288</v>
      </c>
      <c r="C32" s="28"/>
      <c r="D32" s="21">
        <f>D12-D27</f>
        <v>30367.83</v>
      </c>
      <c r="E32" s="15"/>
      <c r="F32" s="23">
        <f>IF(D$12=0,0,D32/D$12)</f>
        <v>1</v>
      </c>
      <c r="G32" s="15"/>
      <c r="H32" s="21">
        <f>H12-H27</f>
        <v>3702.45</v>
      </c>
      <c r="I32" s="15"/>
      <c r="J32" s="23">
        <f>IF(H$12=0,0,H32/H$12)</f>
        <v>1</v>
      </c>
      <c r="K32" s="16"/>
      <c r="L32" s="21">
        <f>+D32-H32</f>
        <v>26665.38</v>
      </c>
      <c r="M32" s="16"/>
      <c r="N32" s="23">
        <f>IF(H32=0,0,L32/H32)</f>
        <v>7.2020905076368358</v>
      </c>
      <c r="O32" s="27"/>
      <c r="P32" s="21">
        <f>P12-P27</f>
        <v>194994.19000000003</v>
      </c>
      <c r="Q32" s="15"/>
      <c r="R32" s="23">
        <f>IF(P$12=0,0,P32/P$12)</f>
        <v>0.99995764155783684</v>
      </c>
      <c r="S32" s="15"/>
      <c r="T32" s="21">
        <f>T12-T27</f>
        <v>114697.48</v>
      </c>
      <c r="U32" s="15"/>
      <c r="V32" s="23">
        <f>IF(T$12=0,0,T32/T$12)</f>
        <v>1</v>
      </c>
      <c r="W32" s="16"/>
      <c r="X32" s="21">
        <f>+P32-T32</f>
        <v>80296.710000000036</v>
      </c>
      <c r="Y32" s="16"/>
      <c r="Z32" s="23">
        <f>IF(T32=0,0,X32/T32)</f>
        <v>0.7000738813093369</v>
      </c>
    </row>
    <row r="33" spans="1:26" ht="15" customHeight="1" x14ac:dyDescent="0.3">
      <c r="A33" s="10"/>
      <c r="B33" s="11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2" customFormat="1" ht="15" customHeight="1" x14ac:dyDescent="0.3">
      <c r="A34" s="11"/>
      <c r="B34" s="27" t="s">
        <v>289</v>
      </c>
      <c r="C34" s="11"/>
      <c r="D34" s="22" cm="1">
        <f t="array" ref="D34">SUM(OSRRefD22x_0)</f>
        <v>28384.22</v>
      </c>
      <c r="E34" s="22"/>
      <c r="F34" s="32">
        <f t="shared" ref="F34:F80" si="4">IF(D$12=0,0,D34/D$12)</f>
        <v>0.93468054846197435</v>
      </c>
      <c r="G34" s="22"/>
      <c r="H34" s="22" cm="1">
        <f t="array" ref="H34">SUM(OSRRefH22x_0)</f>
        <v>15294.86</v>
      </c>
      <c r="I34" s="22"/>
      <c r="J34" s="32">
        <f t="shared" ref="J34:J80" si="5">IF(H$12=0,0,H34/H$12)</f>
        <v>4.1310105470701837</v>
      </c>
      <c r="K34" s="5"/>
      <c r="L34" s="22">
        <f t="shared" ref="L34:L80" si="6">+D34-H34</f>
        <v>13089.36</v>
      </c>
      <c r="M34" s="5"/>
      <c r="N34" s="32">
        <f t="shared" ref="N34:N80" si="7">IF(H34=0,0,L34/H34)</f>
        <v>0.85580122995568442</v>
      </c>
      <c r="O34" s="11"/>
      <c r="P34" s="22" cm="1">
        <f t="array" ref="P34">SUM(OSRRefP22x_0)</f>
        <v>245271.87</v>
      </c>
      <c r="Q34" s="22"/>
      <c r="R34" s="32">
        <f t="shared" ref="R34:R80" si="8">IF(P$12=0,0,P34/P$12)</f>
        <v>1.2577886585527511</v>
      </c>
      <c r="S34" s="22"/>
      <c r="T34" s="22" cm="1">
        <f t="array" ref="T34">SUM(OSRRefT22x_0)</f>
        <v>272559.77000000008</v>
      </c>
      <c r="U34" s="22"/>
      <c r="V34" s="32">
        <f t="shared" ref="V34:V80" si="9">IF(T$12=0,0,T34/T$12)</f>
        <v>2.3763361671067238</v>
      </c>
      <c r="W34" s="5"/>
      <c r="X34" s="22">
        <f t="shared" ref="X34:X80" si="10">+P34-T34</f>
        <v>-27287.900000000081</v>
      </c>
      <c r="Y34" s="5"/>
      <c r="Z34" s="32">
        <f t="shared" ref="Z34:Z80" si="11">IF(T34=0,0,X34/T34)</f>
        <v>-0.10011712293417357</v>
      </c>
    </row>
    <row r="35" spans="1:26" s="68" customFormat="1" ht="15" customHeight="1" outlineLevel="1" collapsed="1" x14ac:dyDescent="0.3">
      <c r="A35" s="25"/>
      <c r="B35" s="14" t="str">
        <f>CONCATENATE("     ","*Benefits                                         ")</f>
        <v xml:space="preserve">     *Benefits                                         </v>
      </c>
      <c r="C35" s="14"/>
      <c r="D35" s="2">
        <f>SUM(OSRRefD22_0x_0)</f>
        <v>5692.91</v>
      </c>
      <c r="E35" s="2"/>
      <c r="F35" s="6">
        <f t="shared" si="4"/>
        <v>0.1874651563842395</v>
      </c>
      <c r="G35" s="2"/>
      <c r="H35" s="2">
        <f>SUM(OSRRefH22_0x_0)</f>
        <v>10512.210000000001</v>
      </c>
      <c r="I35" s="2"/>
      <c r="J35" s="6">
        <f t="shared" si="5"/>
        <v>2.839257788761496</v>
      </c>
      <c r="K35" s="2"/>
      <c r="L35" s="2">
        <f t="shared" si="6"/>
        <v>-4819.3000000000011</v>
      </c>
      <c r="M35" s="2"/>
      <c r="N35" s="6">
        <f t="shared" si="7"/>
        <v>-0.45844784303205516</v>
      </c>
      <c r="O35" s="14"/>
      <c r="P35" s="2">
        <f>SUM(OSRRefP22_0x_0)</f>
        <v>72861.66</v>
      </c>
      <c r="Q35" s="2"/>
      <c r="R35" s="6">
        <f t="shared" si="8"/>
        <v>0.37364484394939645</v>
      </c>
      <c r="S35" s="2"/>
      <c r="T35" s="2">
        <f>SUM(OSRRefT22_0x_0)</f>
        <v>94898.33</v>
      </c>
      <c r="U35" s="2"/>
      <c r="V35" s="6">
        <f t="shared" si="9"/>
        <v>0.82737938095937247</v>
      </c>
      <c r="W35" s="2"/>
      <c r="X35" s="2">
        <f t="shared" si="10"/>
        <v>-22036.67</v>
      </c>
      <c r="Y35" s="2"/>
      <c r="Z35" s="6">
        <f t="shared" si="11"/>
        <v>-0.23221346466265527</v>
      </c>
    </row>
    <row r="36" spans="1:26" s="69" customFormat="1" ht="15" hidden="1" customHeight="1" outlineLevel="2" x14ac:dyDescent="0.3">
      <c r="A36" s="26"/>
      <c r="B36" s="12" t="str">
        <f>CONCATENATE("          ","6111"," - ","F.I.C.A.")</f>
        <v xml:space="preserve">          6111 - F.I.C.A.</v>
      </c>
      <c r="C36" s="12"/>
      <c r="D36" s="8">
        <v>1011.55</v>
      </c>
      <c r="E36" s="3"/>
      <c r="F36" s="7">
        <f t="shared" si="4"/>
        <v>3.3309920399317301E-2</v>
      </c>
      <c r="G36" s="3"/>
      <c r="H36" s="8">
        <v>1823.33</v>
      </c>
      <c r="I36" s="3"/>
      <c r="J36" s="7">
        <f t="shared" si="5"/>
        <v>0.49246579967318937</v>
      </c>
      <c r="K36" s="3"/>
      <c r="L36" s="8">
        <f t="shared" si="6"/>
        <v>-811.78</v>
      </c>
      <c r="M36" s="3"/>
      <c r="N36" s="7">
        <f t="shared" si="7"/>
        <v>-0.4452183642017627</v>
      </c>
      <c r="O36" s="12"/>
      <c r="P36" s="8">
        <v>12192.74</v>
      </c>
      <c r="Q36" s="3"/>
      <c r="R36" s="7">
        <f t="shared" si="8"/>
        <v>6.2526086210711693E-2</v>
      </c>
      <c r="S36" s="3"/>
      <c r="T36" s="8">
        <v>13291.02</v>
      </c>
      <c r="U36" s="3"/>
      <c r="V36" s="7">
        <f t="shared" si="9"/>
        <v>0.1158789190486138</v>
      </c>
      <c r="W36" s="3"/>
      <c r="X36" s="8">
        <f t="shared" si="10"/>
        <v>-1098.2800000000007</v>
      </c>
      <c r="Y36" s="3"/>
      <c r="Z36" s="7">
        <f t="shared" si="11"/>
        <v>-8.263323657627486E-2</v>
      </c>
    </row>
    <row r="37" spans="1:26" s="69" customFormat="1" ht="15" hidden="1" customHeight="1" outlineLevel="2" x14ac:dyDescent="0.3">
      <c r="A37" s="26"/>
      <c r="B37" s="12" t="str">
        <f>CONCATENATE("          ","6112"," - ","COMPENSATION INSURANCE")</f>
        <v xml:space="preserve">          6112 - COMPENSATION INSURANCE</v>
      </c>
      <c r="C37" s="12"/>
      <c r="D37" s="8">
        <v>180.65</v>
      </c>
      <c r="E37" s="3"/>
      <c r="F37" s="7">
        <f t="shared" si="4"/>
        <v>5.9487292967591032E-3</v>
      </c>
      <c r="G37" s="3"/>
      <c r="H37" s="8">
        <v>306.89</v>
      </c>
      <c r="I37" s="3"/>
      <c r="J37" s="7">
        <f t="shared" si="5"/>
        <v>8.2888357709084523E-2</v>
      </c>
      <c r="K37" s="3"/>
      <c r="L37" s="8">
        <f t="shared" si="6"/>
        <v>-126.23999999999998</v>
      </c>
      <c r="M37" s="3"/>
      <c r="N37" s="7">
        <f t="shared" si="7"/>
        <v>-0.41135260190947892</v>
      </c>
      <c r="O37" s="12"/>
      <c r="P37" s="8">
        <v>2715.78</v>
      </c>
      <c r="Q37" s="3"/>
      <c r="R37" s="7">
        <f t="shared" si="8"/>
        <v>1.3926901944052496E-2</v>
      </c>
      <c r="S37" s="3"/>
      <c r="T37" s="8">
        <v>3337.15</v>
      </c>
      <c r="U37" s="3"/>
      <c r="V37" s="7">
        <f t="shared" si="9"/>
        <v>2.9095233827281995E-2</v>
      </c>
      <c r="W37" s="3"/>
      <c r="X37" s="8">
        <f t="shared" si="10"/>
        <v>-621.36999999999989</v>
      </c>
      <c r="Y37" s="3"/>
      <c r="Z37" s="7">
        <f t="shared" si="11"/>
        <v>-0.18619780351497531</v>
      </c>
    </row>
    <row r="38" spans="1:26" s="69" customFormat="1" ht="15" hidden="1" customHeight="1" outlineLevel="2" x14ac:dyDescent="0.3">
      <c r="A38" s="26"/>
      <c r="B38" s="12" t="str">
        <f>CONCATENATE("          ","6113"," - ","GROUP INSURANCE")</f>
        <v xml:space="preserve">          6113 - GROUP INSURANCE</v>
      </c>
      <c r="C38" s="12"/>
      <c r="D38" s="8">
        <v>1287</v>
      </c>
      <c r="E38" s="3"/>
      <c r="F38" s="7">
        <f t="shared" si="4"/>
        <v>4.2380374231547002E-2</v>
      </c>
      <c r="G38" s="3"/>
      <c r="H38" s="8">
        <v>3421.48</v>
      </c>
      <c r="I38" s="3"/>
      <c r="J38" s="7">
        <f t="shared" si="5"/>
        <v>0.92411241205147943</v>
      </c>
      <c r="K38" s="3"/>
      <c r="L38" s="8">
        <f t="shared" si="6"/>
        <v>-2134.48</v>
      </c>
      <c r="M38" s="3"/>
      <c r="N38" s="7">
        <f t="shared" si="7"/>
        <v>-0.62384699019137912</v>
      </c>
      <c r="O38" s="12"/>
      <c r="P38" s="8">
        <v>23034.02</v>
      </c>
      <c r="Q38" s="3"/>
      <c r="R38" s="7">
        <f t="shared" si="8"/>
        <v>0.11812169539408349</v>
      </c>
      <c r="S38" s="3"/>
      <c r="T38" s="8">
        <v>36057.25</v>
      </c>
      <c r="U38" s="3"/>
      <c r="V38" s="7">
        <f t="shared" si="9"/>
        <v>0.31436828429011693</v>
      </c>
      <c r="W38" s="3"/>
      <c r="X38" s="8">
        <f t="shared" si="10"/>
        <v>-13023.23</v>
      </c>
      <c r="Y38" s="3"/>
      <c r="Z38" s="7">
        <f t="shared" si="11"/>
        <v>-0.36118200916597909</v>
      </c>
    </row>
    <row r="39" spans="1:26" s="69" customFormat="1" ht="15" hidden="1" customHeight="1" outlineLevel="2" x14ac:dyDescent="0.3">
      <c r="A39" s="26"/>
      <c r="B39" s="12" t="str">
        <f>CONCATENATE("          ","6114"," - ","STATE UNEMPLOYMENT INSURANCE")</f>
        <v xml:space="preserve">          6114 - STATE UNEMPLOYMENT INSURANCE</v>
      </c>
      <c r="C39" s="12"/>
      <c r="D39" s="8">
        <v>31.74</v>
      </c>
      <c r="E39" s="3"/>
      <c r="F39" s="7">
        <f t="shared" si="4"/>
        <v>1.0451849868759143E-3</v>
      </c>
      <c r="G39" s="3"/>
      <c r="H39" s="8">
        <v>43.13</v>
      </c>
      <c r="I39" s="3"/>
      <c r="J39" s="7">
        <f t="shared" si="5"/>
        <v>1.1649043201123581E-2</v>
      </c>
      <c r="K39" s="3"/>
      <c r="L39" s="8">
        <f t="shared" si="6"/>
        <v>-11.390000000000004</v>
      </c>
      <c r="M39" s="3"/>
      <c r="N39" s="7">
        <f t="shared" si="7"/>
        <v>-0.26408532344076058</v>
      </c>
      <c r="O39" s="12"/>
      <c r="P39" s="8">
        <v>477.1</v>
      </c>
      <c r="Q39" s="3"/>
      <c r="R39" s="7">
        <f t="shared" si="8"/>
        <v>2.446635926881944E-3</v>
      </c>
      <c r="S39" s="3"/>
      <c r="T39" s="8">
        <v>468.99</v>
      </c>
      <c r="U39" s="3"/>
      <c r="V39" s="7">
        <f t="shared" si="9"/>
        <v>4.088930288616629E-3</v>
      </c>
      <c r="W39" s="3"/>
      <c r="X39" s="8">
        <f t="shared" si="10"/>
        <v>8.1100000000000136</v>
      </c>
      <c r="Y39" s="3"/>
      <c r="Z39" s="7">
        <f t="shared" si="11"/>
        <v>1.7292479583786463E-2</v>
      </c>
    </row>
    <row r="40" spans="1:26" s="69" customFormat="1" ht="15" hidden="1" customHeight="1" outlineLevel="2" x14ac:dyDescent="0.3">
      <c r="A40" s="26"/>
      <c r="B40" s="12" t="str">
        <f>CONCATENATE("          ","6115"," - ","P.E.R.S.")</f>
        <v xml:space="preserve">          6115 - P.E.R.S.</v>
      </c>
      <c r="C40" s="12"/>
      <c r="D40" s="8">
        <v>1140.55</v>
      </c>
      <c r="E40" s="3"/>
      <c r="F40" s="7">
        <f t="shared" si="4"/>
        <v>3.7557836697584251E-2</v>
      </c>
      <c r="G40" s="3"/>
      <c r="H40" s="8">
        <v>1596.69</v>
      </c>
      <c r="I40" s="3"/>
      <c r="J40" s="7">
        <f t="shared" si="5"/>
        <v>0.43125227889640649</v>
      </c>
      <c r="K40" s="3"/>
      <c r="L40" s="8">
        <f t="shared" si="6"/>
        <v>-456.1400000000001</v>
      </c>
      <c r="M40" s="3"/>
      <c r="N40" s="7">
        <f t="shared" si="7"/>
        <v>-0.28567849739147866</v>
      </c>
      <c r="O40" s="12"/>
      <c r="P40" s="8">
        <v>15225.87</v>
      </c>
      <c r="Q40" s="3"/>
      <c r="R40" s="7">
        <f t="shared" si="8"/>
        <v>7.8080403605185464E-2</v>
      </c>
      <c r="S40" s="3"/>
      <c r="T40" s="8">
        <v>17311.48</v>
      </c>
      <c r="U40" s="3"/>
      <c r="V40" s="7">
        <f t="shared" si="9"/>
        <v>0.15093165080871873</v>
      </c>
      <c r="W40" s="3"/>
      <c r="X40" s="8">
        <f t="shared" si="10"/>
        <v>-2085.6099999999988</v>
      </c>
      <c r="Y40" s="3"/>
      <c r="Z40" s="7">
        <f t="shared" si="11"/>
        <v>-0.1204755457072416</v>
      </c>
    </row>
    <row r="41" spans="1:26" s="69" customFormat="1" ht="15" hidden="1" customHeight="1" outlineLevel="2" x14ac:dyDescent="0.3">
      <c r="A41" s="26"/>
      <c r="B41" s="12" t="str">
        <f>CONCATENATE("          ","6118"," - ","VACATION")</f>
        <v xml:space="preserve">          6118 - VACATION</v>
      </c>
      <c r="C41" s="12"/>
      <c r="D41" s="8">
        <v>976.7</v>
      </c>
      <c r="E41" s="3"/>
      <c r="F41" s="7">
        <f t="shared" si="4"/>
        <v>3.216232440711108E-2</v>
      </c>
      <c r="G41" s="3"/>
      <c r="H41" s="8">
        <v>1824.15</v>
      </c>
      <c r="I41" s="3"/>
      <c r="J41" s="7">
        <f t="shared" si="5"/>
        <v>0.49268727464246653</v>
      </c>
      <c r="K41" s="3"/>
      <c r="L41" s="8">
        <f t="shared" si="6"/>
        <v>-847.45</v>
      </c>
      <c r="M41" s="3"/>
      <c r="N41" s="7">
        <f t="shared" si="7"/>
        <v>-0.46457254063536441</v>
      </c>
      <c r="O41" s="12"/>
      <c r="P41" s="8">
        <v>8501.89</v>
      </c>
      <c r="Q41" s="3"/>
      <c r="R41" s="7">
        <f t="shared" si="8"/>
        <v>4.359888811653391E-2</v>
      </c>
      <c r="S41" s="3"/>
      <c r="T41" s="8">
        <v>13139.88</v>
      </c>
      <c r="U41" s="3"/>
      <c r="V41" s="7">
        <f t="shared" si="9"/>
        <v>0.11456119175416932</v>
      </c>
      <c r="W41" s="3"/>
      <c r="X41" s="8">
        <f t="shared" si="10"/>
        <v>-4637.99</v>
      </c>
      <c r="Y41" s="3"/>
      <c r="Z41" s="7">
        <f t="shared" si="11"/>
        <v>-0.35297049896954918</v>
      </c>
    </row>
    <row r="42" spans="1:26" s="69" customFormat="1" ht="15" hidden="1" customHeight="1" outlineLevel="2" x14ac:dyDescent="0.3">
      <c r="A42" s="26"/>
      <c r="B42" s="12" t="str">
        <f>CONCATENATE("          ","6119"," - ","SICK LEAVE")</f>
        <v xml:space="preserve">          6119 - SICK LEAVE</v>
      </c>
      <c r="C42" s="12"/>
      <c r="D42" s="8">
        <v>616.59</v>
      </c>
      <c r="E42" s="3"/>
      <c r="F42" s="7">
        <f t="shared" si="4"/>
        <v>2.0304052018204791E-2</v>
      </c>
      <c r="G42" s="3"/>
      <c r="H42" s="8">
        <v>1107.75</v>
      </c>
      <c r="I42" s="3"/>
      <c r="J42" s="7">
        <f t="shared" si="5"/>
        <v>0.29919377709354616</v>
      </c>
      <c r="K42" s="3"/>
      <c r="L42" s="8">
        <f t="shared" si="6"/>
        <v>-491.15999999999997</v>
      </c>
      <c r="M42" s="3"/>
      <c r="N42" s="7">
        <f t="shared" si="7"/>
        <v>-0.44338524035206495</v>
      </c>
      <c r="O42" s="12"/>
      <c r="P42" s="8">
        <v>6403.37</v>
      </c>
      <c r="Q42" s="3"/>
      <c r="R42" s="7">
        <f t="shared" si="8"/>
        <v>3.2837382299555719E-2</v>
      </c>
      <c r="S42" s="3"/>
      <c r="T42" s="8">
        <v>8017.52</v>
      </c>
      <c r="U42" s="3"/>
      <c r="V42" s="7">
        <f t="shared" si="9"/>
        <v>6.9901448575853634E-2</v>
      </c>
      <c r="W42" s="3"/>
      <c r="X42" s="8">
        <f t="shared" si="10"/>
        <v>-1614.1500000000005</v>
      </c>
      <c r="Y42" s="3"/>
      <c r="Z42" s="7">
        <f t="shared" si="11"/>
        <v>-0.20132784202596321</v>
      </c>
    </row>
    <row r="43" spans="1:26" s="69" customFormat="1" ht="15" hidden="1" customHeight="1" outlineLevel="2" x14ac:dyDescent="0.3">
      <c r="A43" s="26"/>
      <c r="B43" s="12" t="str">
        <f>CONCATENATE("          ","6156"," - ","EMPLOYEE MEALS")</f>
        <v xml:space="preserve">          6156 - EMPLOYEE MEALS</v>
      </c>
      <c r="C43" s="12"/>
      <c r="D43" s="8">
        <v>448.13</v>
      </c>
      <c r="E43" s="3"/>
      <c r="F43" s="7">
        <f t="shared" si="4"/>
        <v>1.4756734346840059E-2</v>
      </c>
      <c r="G43" s="3"/>
      <c r="H43" s="8">
        <v>388.79</v>
      </c>
      <c r="I43" s="3"/>
      <c r="J43" s="7">
        <f t="shared" si="5"/>
        <v>0.1050088454941998</v>
      </c>
      <c r="K43" s="3"/>
      <c r="L43" s="8">
        <f t="shared" si="6"/>
        <v>59.339999999999975</v>
      </c>
      <c r="M43" s="3"/>
      <c r="N43" s="7">
        <f t="shared" si="7"/>
        <v>0.15262738239152235</v>
      </c>
      <c r="O43" s="12"/>
      <c r="P43" s="8">
        <v>4310.8900000000003</v>
      </c>
      <c r="Q43" s="3"/>
      <c r="R43" s="7">
        <f t="shared" si="8"/>
        <v>2.210685045239175E-2</v>
      </c>
      <c r="S43" s="3"/>
      <c r="T43" s="8">
        <v>3275.04</v>
      </c>
      <c r="U43" s="3"/>
      <c r="V43" s="7">
        <f t="shared" si="9"/>
        <v>2.8553722366001417E-2</v>
      </c>
      <c r="W43" s="3"/>
      <c r="X43" s="8">
        <f t="shared" si="10"/>
        <v>1035.8500000000004</v>
      </c>
      <c r="Y43" s="3"/>
      <c r="Z43" s="7">
        <f t="shared" si="11"/>
        <v>0.31628621329815831</v>
      </c>
    </row>
    <row r="44" spans="1:26" s="68" customFormat="1" ht="15" customHeight="1" outlineLevel="1" collapsed="1" x14ac:dyDescent="0.3">
      <c r="A44" s="25"/>
      <c r="B44" s="14" t="str">
        <f>CONCATENATE("     ","*Payroll                                          ")</f>
        <v xml:space="preserve">     *Payroll                                          </v>
      </c>
      <c r="C44" s="14"/>
      <c r="D44" s="2">
        <f>SUM(OSRRefD22_1x_0)</f>
        <v>14795.57</v>
      </c>
      <c r="E44" s="2"/>
      <c r="F44" s="6">
        <f t="shared" si="4"/>
        <v>0.48721196081511253</v>
      </c>
      <c r="G44" s="2"/>
      <c r="H44" s="2">
        <f>SUM(OSRRefH22_1x_0)</f>
        <v>16035.06</v>
      </c>
      <c r="I44" s="2"/>
      <c r="J44" s="6">
        <f t="shared" si="5"/>
        <v>4.3309322205566589</v>
      </c>
      <c r="K44" s="2"/>
      <c r="L44" s="2">
        <f t="shared" si="6"/>
        <v>-1239.4899999999998</v>
      </c>
      <c r="M44" s="2"/>
      <c r="N44" s="6">
        <f t="shared" si="7"/>
        <v>-7.7298744126931843E-2</v>
      </c>
      <c r="O44" s="14"/>
      <c r="P44" s="2">
        <f>SUM(OSRRefP22_1x_0)</f>
        <v>141656.26</v>
      </c>
      <c r="Q44" s="2"/>
      <c r="R44" s="6">
        <f t="shared" si="8"/>
        <v>0.72643323199272614</v>
      </c>
      <c r="S44" s="2"/>
      <c r="T44" s="2">
        <f>SUM(OSRRefT22_1x_0)</f>
        <v>154853.63</v>
      </c>
      <c r="U44" s="2"/>
      <c r="V44" s="6">
        <f t="shared" si="9"/>
        <v>1.3501049020431837</v>
      </c>
      <c r="W44" s="2"/>
      <c r="X44" s="2">
        <f t="shared" si="10"/>
        <v>-13197.369999999995</v>
      </c>
      <c r="Y44" s="2"/>
      <c r="Z44" s="6">
        <f t="shared" si="11"/>
        <v>-8.5224802285874701E-2</v>
      </c>
    </row>
    <row r="45" spans="1:26" s="69" customFormat="1" ht="15" hidden="1" customHeight="1" outlineLevel="2" x14ac:dyDescent="0.3">
      <c r="A45" s="26"/>
      <c r="B45" s="12" t="str">
        <f>CONCATENATE("          ","6002"," - ","STAFF SALARIES")</f>
        <v xml:space="preserve">          6002 - STAFF SALARIES</v>
      </c>
      <c r="C45" s="12"/>
      <c r="D45" s="8">
        <v>10626.39</v>
      </c>
      <c r="E45" s="3"/>
      <c r="F45" s="7">
        <f t="shared" si="4"/>
        <v>0.34992259901349548</v>
      </c>
      <c r="G45" s="3"/>
      <c r="H45" s="8">
        <v>15385.34</v>
      </c>
      <c r="I45" s="3"/>
      <c r="J45" s="7">
        <f t="shared" si="5"/>
        <v>4.1554484192899297</v>
      </c>
      <c r="K45" s="3"/>
      <c r="L45" s="8">
        <f t="shared" si="6"/>
        <v>-4758.9500000000007</v>
      </c>
      <c r="M45" s="3"/>
      <c r="N45" s="7">
        <f t="shared" si="7"/>
        <v>-0.3093171811607674</v>
      </c>
      <c r="O45" s="12"/>
      <c r="P45" s="8">
        <v>113663.81</v>
      </c>
      <c r="Q45" s="3"/>
      <c r="R45" s="7">
        <f t="shared" si="8"/>
        <v>0.58288400991884959</v>
      </c>
      <c r="S45" s="3"/>
      <c r="T45" s="8">
        <v>147857.13</v>
      </c>
      <c r="U45" s="3"/>
      <c r="V45" s="7">
        <f t="shared" si="9"/>
        <v>1.2891053055394068</v>
      </c>
      <c r="W45" s="3"/>
      <c r="X45" s="8">
        <f t="shared" si="10"/>
        <v>-34193.320000000007</v>
      </c>
      <c r="Y45" s="3"/>
      <c r="Z45" s="7">
        <f t="shared" si="11"/>
        <v>-0.23125918919162036</v>
      </c>
    </row>
    <row r="46" spans="1:26" s="69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8"/>
      <c r="E46" s="3"/>
      <c r="F46" s="7">
        <f t="shared" si="4"/>
        <v>0</v>
      </c>
      <c r="G46" s="3"/>
      <c r="H46" s="8"/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383.25</v>
      </c>
      <c r="U46" s="3"/>
      <c r="V46" s="7">
        <f t="shared" si="9"/>
        <v>3.3413986078857181E-3</v>
      </c>
      <c r="W46" s="3"/>
      <c r="X46" s="8">
        <f t="shared" si="10"/>
        <v>-383.25</v>
      </c>
      <c r="Y46" s="3"/>
      <c r="Z46" s="7">
        <f t="shared" si="11"/>
        <v>-1</v>
      </c>
    </row>
    <row r="47" spans="1:26" s="69" customFormat="1" ht="15" hidden="1" customHeight="1" outlineLevel="2" x14ac:dyDescent="0.3">
      <c r="A47" s="26"/>
      <c r="B47" s="12" t="str">
        <f>CONCATENATE("          ","6007"," - ","STUDENT HOURLY")</f>
        <v xml:space="preserve">          6007 - STUDENT HOURLY</v>
      </c>
      <c r="C47" s="12"/>
      <c r="D47" s="8">
        <v>3416.93</v>
      </c>
      <c r="E47" s="3"/>
      <c r="F47" s="7">
        <f t="shared" si="4"/>
        <v>0.11251808245765337</v>
      </c>
      <c r="G47" s="3"/>
      <c r="H47" s="8">
        <v>649.72</v>
      </c>
      <c r="I47" s="3"/>
      <c r="J47" s="7">
        <f t="shared" si="5"/>
        <v>0.1754838012667288</v>
      </c>
      <c r="K47" s="3"/>
      <c r="L47" s="8">
        <f t="shared" si="6"/>
        <v>2767.21</v>
      </c>
      <c r="M47" s="3"/>
      <c r="N47" s="7">
        <f t="shared" si="7"/>
        <v>4.2590808348211535</v>
      </c>
      <c r="O47" s="12"/>
      <c r="P47" s="8">
        <v>27240.2</v>
      </c>
      <c r="Q47" s="3"/>
      <c r="R47" s="7">
        <f t="shared" si="8"/>
        <v>0.13969157823401704</v>
      </c>
      <c r="S47" s="3"/>
      <c r="T47" s="8">
        <v>6613.25</v>
      </c>
      <c r="U47" s="3"/>
      <c r="V47" s="7">
        <f t="shared" si="9"/>
        <v>5.7658197895891002E-2</v>
      </c>
      <c r="W47" s="3"/>
      <c r="X47" s="8">
        <f t="shared" si="10"/>
        <v>20626.95</v>
      </c>
      <c r="Y47" s="3"/>
      <c r="Z47" s="7">
        <f t="shared" si="11"/>
        <v>3.119033757985862</v>
      </c>
    </row>
    <row r="48" spans="1:26" s="69" customFormat="1" ht="15" hidden="1" customHeight="1" outlineLevel="2" x14ac:dyDescent="0.3">
      <c r="A48" s="26"/>
      <c r="B48" s="12" t="str">
        <f>CONCATENATE("          ","6008"," - ","STUDENT HOURLY-FICA EXEMPT")</f>
        <v xml:space="preserve">          6008 - STUDENT HOURLY-FICA EXEMPT</v>
      </c>
      <c r="C48" s="12"/>
      <c r="D48" s="8">
        <v>752.25</v>
      </c>
      <c r="E48" s="3"/>
      <c r="F48" s="7">
        <f t="shared" si="4"/>
        <v>2.477127934396366E-2</v>
      </c>
      <c r="G48" s="3"/>
      <c r="H48" s="8"/>
      <c r="I48" s="3"/>
      <c r="J48" s="7">
        <f t="shared" si="5"/>
        <v>0</v>
      </c>
      <c r="K48" s="3"/>
      <c r="L48" s="8">
        <f t="shared" si="6"/>
        <v>752.25</v>
      </c>
      <c r="M48" s="3"/>
      <c r="N48" s="7">
        <f t="shared" si="7"/>
        <v>0</v>
      </c>
      <c r="O48" s="12"/>
      <c r="P48" s="8">
        <v>752.25</v>
      </c>
      <c r="Q48" s="3"/>
      <c r="R48" s="7">
        <f t="shared" si="8"/>
        <v>3.8576438398594472E-3</v>
      </c>
      <c r="S48" s="3"/>
      <c r="T48" s="8"/>
      <c r="U48" s="3"/>
      <c r="V48" s="7">
        <f t="shared" si="9"/>
        <v>0</v>
      </c>
      <c r="W48" s="3"/>
      <c r="X48" s="8">
        <f t="shared" si="10"/>
        <v>752.25</v>
      </c>
      <c r="Y48" s="3"/>
      <c r="Z48" s="7">
        <f t="shared" si="11"/>
        <v>0</v>
      </c>
    </row>
    <row r="49" spans="1:26" s="68" customFormat="1" ht="15" customHeight="1" outlineLevel="1" collapsed="1" x14ac:dyDescent="0.3">
      <c r="A49" s="25"/>
      <c r="B49" s="14" t="str">
        <f>CONCATENATE("     ","Advertising/Promo                                 ")</f>
        <v xml:space="preserve">     Advertising/Promo                                 </v>
      </c>
      <c r="C49" s="14"/>
      <c r="D49" s="2">
        <f>SUM(OSRRefD22_2x_0)</f>
        <v>0</v>
      </c>
      <c r="E49" s="2"/>
      <c r="F49" s="6">
        <f t="shared" si="4"/>
        <v>0</v>
      </c>
      <c r="G49" s="2"/>
      <c r="H49" s="2">
        <f>SUM(OSRRefH22_2x_0)</f>
        <v>0</v>
      </c>
      <c r="I49" s="2"/>
      <c r="J49" s="6">
        <f t="shared" si="5"/>
        <v>0</v>
      </c>
      <c r="K49" s="2"/>
      <c r="L49" s="2">
        <f t="shared" si="6"/>
        <v>0</v>
      </c>
      <c r="M49" s="2"/>
      <c r="N49" s="6">
        <f t="shared" si="7"/>
        <v>0</v>
      </c>
      <c r="O49" s="14"/>
      <c r="P49" s="2">
        <f>SUM(OSRRefP22_2x_0)</f>
        <v>151.85</v>
      </c>
      <c r="Q49" s="2"/>
      <c r="R49" s="6">
        <f t="shared" si="8"/>
        <v>7.7870816494869665E-4</v>
      </c>
      <c r="S49" s="2"/>
      <c r="T49" s="2">
        <f>SUM(OSRRefT22_2x_0)</f>
        <v>0</v>
      </c>
      <c r="U49" s="2"/>
      <c r="V49" s="6">
        <f t="shared" si="9"/>
        <v>0</v>
      </c>
      <c r="W49" s="2"/>
      <c r="X49" s="2">
        <f t="shared" si="10"/>
        <v>151.85</v>
      </c>
      <c r="Y49" s="2"/>
      <c r="Z49" s="6">
        <f t="shared" si="11"/>
        <v>0</v>
      </c>
    </row>
    <row r="50" spans="1:26" s="69" customFormat="1" ht="15" hidden="1" customHeight="1" outlineLevel="2" x14ac:dyDescent="0.3">
      <c r="A50" s="26"/>
      <c r="B50" s="12" t="str">
        <f>CONCATENATE("          ","6362"," - ","ADVERTISING EXPENSE")</f>
        <v xml:space="preserve">          6362 - ADVERTISING EXPENSE</v>
      </c>
      <c r="C50" s="12"/>
      <c r="D50" s="8"/>
      <c r="E50" s="3"/>
      <c r="F50" s="7">
        <f t="shared" si="4"/>
        <v>0</v>
      </c>
      <c r="G50" s="3"/>
      <c r="H50" s="8"/>
      <c r="I50" s="3"/>
      <c r="J50" s="7">
        <f t="shared" si="5"/>
        <v>0</v>
      </c>
      <c r="K50" s="3"/>
      <c r="L50" s="8">
        <f t="shared" si="6"/>
        <v>0</v>
      </c>
      <c r="M50" s="3"/>
      <c r="N50" s="7">
        <f t="shared" si="7"/>
        <v>0</v>
      </c>
      <c r="O50" s="12"/>
      <c r="P50" s="8">
        <v>151.85</v>
      </c>
      <c r="Q50" s="3"/>
      <c r="R50" s="7">
        <f t="shared" si="8"/>
        <v>7.7870816494869665E-4</v>
      </c>
      <c r="S50" s="3"/>
      <c r="T50" s="8"/>
      <c r="U50" s="3"/>
      <c r="V50" s="7">
        <f t="shared" si="9"/>
        <v>0</v>
      </c>
      <c r="W50" s="3"/>
      <c r="X50" s="8">
        <f t="shared" si="10"/>
        <v>151.85</v>
      </c>
      <c r="Y50" s="3"/>
      <c r="Z50" s="7">
        <f t="shared" si="11"/>
        <v>0</v>
      </c>
    </row>
    <row r="51" spans="1:26" s="68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SUM(OSRRefD22_3x_0)</f>
        <v>169.88</v>
      </c>
      <c r="E51" s="2"/>
      <c r="F51" s="6">
        <f t="shared" si="4"/>
        <v>5.5940776802293739E-3</v>
      </c>
      <c r="G51" s="2"/>
      <c r="H51" s="2">
        <f>SUM(OSRRefH22_3x_0)</f>
        <v>169.88</v>
      </c>
      <c r="I51" s="2"/>
      <c r="J51" s="6">
        <f t="shared" si="5"/>
        <v>4.5883131439992439E-2</v>
      </c>
      <c r="K51" s="2"/>
      <c r="L51" s="2">
        <f t="shared" si="6"/>
        <v>0</v>
      </c>
      <c r="M51" s="2"/>
      <c r="N51" s="6">
        <f t="shared" si="7"/>
        <v>0</v>
      </c>
      <c r="O51" s="14"/>
      <c r="P51" s="2">
        <f>SUM(OSRRefP22_3x_0)</f>
        <v>1698.8</v>
      </c>
      <c r="Q51" s="2"/>
      <c r="R51" s="6">
        <f t="shared" si="8"/>
        <v>8.7116854172857808E-3</v>
      </c>
      <c r="S51" s="2"/>
      <c r="T51" s="2">
        <f>SUM(OSRRefT22_3x_0)</f>
        <v>1698.8</v>
      </c>
      <c r="U51" s="2"/>
      <c r="V51" s="6">
        <f t="shared" si="9"/>
        <v>1.4811136216767797E-2</v>
      </c>
      <c r="W51" s="2"/>
      <c r="X51" s="2">
        <f t="shared" si="10"/>
        <v>0</v>
      </c>
      <c r="Y51" s="2"/>
      <c r="Z51" s="6">
        <f t="shared" si="11"/>
        <v>0</v>
      </c>
    </row>
    <row r="52" spans="1:26" s="69" customFormat="1" ht="15" hidden="1" customHeight="1" outlineLevel="2" x14ac:dyDescent="0.3">
      <c r="A52" s="26"/>
      <c r="B52" s="12" t="str">
        <f>CONCATENATE("          ","6322"," - ","EQUIPMENT DEPRECIATION EXPENSE")</f>
        <v xml:space="preserve">          6322 - EQUIPMENT DEPRECIATION EXPENSE</v>
      </c>
      <c r="C52" s="12"/>
      <c r="D52" s="8">
        <v>169.88</v>
      </c>
      <c r="E52" s="3"/>
      <c r="F52" s="7">
        <f t="shared" si="4"/>
        <v>5.5940776802293739E-3</v>
      </c>
      <c r="G52" s="3"/>
      <c r="H52" s="8">
        <v>169.88</v>
      </c>
      <c r="I52" s="3"/>
      <c r="J52" s="7">
        <f t="shared" si="5"/>
        <v>4.5883131439992439E-2</v>
      </c>
      <c r="K52" s="3"/>
      <c r="L52" s="8">
        <f t="shared" si="6"/>
        <v>0</v>
      </c>
      <c r="M52" s="3"/>
      <c r="N52" s="7">
        <f t="shared" si="7"/>
        <v>0</v>
      </c>
      <c r="O52" s="12"/>
      <c r="P52" s="8">
        <v>1698.8</v>
      </c>
      <c r="Q52" s="3"/>
      <c r="R52" s="7">
        <f t="shared" si="8"/>
        <v>8.7116854172857808E-3</v>
      </c>
      <c r="S52" s="3"/>
      <c r="T52" s="8">
        <v>1698.8</v>
      </c>
      <c r="U52" s="3"/>
      <c r="V52" s="7">
        <f t="shared" si="9"/>
        <v>1.4811136216767797E-2</v>
      </c>
      <c r="W52" s="3"/>
      <c r="X52" s="8">
        <f t="shared" si="10"/>
        <v>0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5"/>
      <c r="B53" s="14" t="str">
        <f>CONCATENATE("     ","Discounts and Markdowns                           ")</f>
        <v xml:space="preserve">     Discounts and Markdowns                           </v>
      </c>
      <c r="C53" s="14"/>
      <c r="D53" s="2">
        <f>SUM(OSRRefD22_4x_0)</f>
        <v>0</v>
      </c>
      <c r="E53" s="2"/>
      <c r="F53" s="6">
        <f t="shared" si="4"/>
        <v>0</v>
      </c>
      <c r="G53" s="2"/>
      <c r="H53" s="2">
        <f>SUM(OSRRefH22_4x_0)</f>
        <v>0</v>
      </c>
      <c r="I53" s="2"/>
      <c r="J53" s="6">
        <f t="shared" si="5"/>
        <v>0</v>
      </c>
      <c r="K53" s="2"/>
      <c r="L53" s="2">
        <f t="shared" si="6"/>
        <v>0</v>
      </c>
      <c r="M53" s="2"/>
      <c r="N53" s="6">
        <f t="shared" si="7"/>
        <v>0</v>
      </c>
      <c r="O53" s="14"/>
      <c r="P53" s="2">
        <f>SUM(OSRRefP22_4x_0)</f>
        <v>0</v>
      </c>
      <c r="Q53" s="2"/>
      <c r="R53" s="6">
        <f t="shared" si="8"/>
        <v>0</v>
      </c>
      <c r="S53" s="2"/>
      <c r="T53" s="2">
        <f>SUM(OSRRefT22_4x_0)</f>
        <v>0</v>
      </c>
      <c r="U53" s="2"/>
      <c r="V53" s="6">
        <f t="shared" si="9"/>
        <v>0</v>
      </c>
      <c r="W53" s="2"/>
      <c r="X53" s="2">
        <f t="shared" si="10"/>
        <v>0</v>
      </c>
      <c r="Y53" s="2"/>
      <c r="Z53" s="6">
        <f t="shared" si="11"/>
        <v>0</v>
      </c>
    </row>
    <row r="54" spans="1:26" s="69" customFormat="1" ht="15" hidden="1" customHeight="1" outlineLevel="2" x14ac:dyDescent="0.3">
      <c r="A54" s="26"/>
      <c r="B54" s="12" t="str">
        <f>CONCATENATE("          ","6382"," - ","DISCOUNTS/MARK DOWNS")</f>
        <v xml:space="preserve">          6382 - DISCOUNTS/MARK DOWNS</v>
      </c>
      <c r="C54" s="12"/>
      <c r="D54" s="8"/>
      <c r="E54" s="3"/>
      <c r="F54" s="7">
        <f t="shared" si="4"/>
        <v>0</v>
      </c>
      <c r="G54" s="3"/>
      <c r="H54" s="8"/>
      <c r="I54" s="3"/>
      <c r="J54" s="7">
        <f t="shared" si="5"/>
        <v>0</v>
      </c>
      <c r="K54" s="3"/>
      <c r="L54" s="8">
        <f t="shared" si="6"/>
        <v>0</v>
      </c>
      <c r="M54" s="3"/>
      <c r="N54" s="7">
        <f t="shared" si="7"/>
        <v>0</v>
      </c>
      <c r="O54" s="12"/>
      <c r="P54" s="8"/>
      <c r="Q54" s="3"/>
      <c r="R54" s="7">
        <f t="shared" si="8"/>
        <v>0</v>
      </c>
      <c r="S54" s="3"/>
      <c r="T54" s="8">
        <v>0</v>
      </c>
      <c r="U54" s="3"/>
      <c r="V54" s="7">
        <f t="shared" si="9"/>
        <v>0</v>
      </c>
      <c r="W54" s="3"/>
      <c r="X54" s="8">
        <f t="shared" si="10"/>
        <v>0</v>
      </c>
      <c r="Y54" s="3"/>
      <c r="Z54" s="7">
        <f t="shared" si="11"/>
        <v>0</v>
      </c>
    </row>
    <row r="55" spans="1:26" s="68" customFormat="1" ht="15" customHeight="1" outlineLevel="1" collapsed="1" x14ac:dyDescent="0.3">
      <c r="A55" s="25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SUM(OSRRefD22_5x_0)</f>
        <v>1205.6400000000001</v>
      </c>
      <c r="E55" s="2"/>
      <c r="F55" s="6">
        <f t="shared" si="4"/>
        <v>3.9701223301105149E-2</v>
      </c>
      <c r="G55" s="2"/>
      <c r="H55" s="2">
        <f>SUM(OSRRefH22_5x_0)</f>
        <v>1205.6400000000001</v>
      </c>
      <c r="I55" s="2"/>
      <c r="J55" s="6">
        <f t="shared" si="5"/>
        <v>0.3256330267795649</v>
      </c>
      <c r="K55" s="2"/>
      <c r="L55" s="2">
        <f t="shared" si="6"/>
        <v>0</v>
      </c>
      <c r="M55" s="2"/>
      <c r="N55" s="6">
        <f t="shared" si="7"/>
        <v>0</v>
      </c>
      <c r="O55" s="14"/>
      <c r="P55" s="2">
        <f>SUM(OSRRefP22_5x_0)</f>
        <v>12147.66</v>
      </c>
      <c r="Q55" s="2"/>
      <c r="R55" s="6">
        <f t="shared" si="8"/>
        <v>6.2294909628058504E-2</v>
      </c>
      <c r="S55" s="2"/>
      <c r="T55" s="2">
        <f>SUM(OSRRefT22_5x_0)</f>
        <v>12056.4</v>
      </c>
      <c r="U55" s="2"/>
      <c r="V55" s="6">
        <f t="shared" si="9"/>
        <v>0.10511477671523385</v>
      </c>
      <c r="W55" s="2"/>
      <c r="X55" s="2">
        <f t="shared" si="10"/>
        <v>91.260000000000218</v>
      </c>
      <c r="Y55" s="2"/>
      <c r="Z55" s="6">
        <f t="shared" si="11"/>
        <v>7.5694237085697407E-3</v>
      </c>
    </row>
    <row r="56" spans="1:26" s="69" customFormat="1" ht="15" hidden="1" customHeight="1" outlineLevel="2" x14ac:dyDescent="0.3">
      <c r="A56" s="26"/>
      <c r="B56" s="12" t="str">
        <f>CONCATENATE("          ","6351"," - ","EQUIPMENT RENTAL")</f>
        <v xml:space="preserve">          6351 - EQUIPMENT RENTAL</v>
      </c>
      <c r="C56" s="12"/>
      <c r="D56" s="8">
        <v>1205.6400000000001</v>
      </c>
      <c r="E56" s="3"/>
      <c r="F56" s="7">
        <f t="shared" si="4"/>
        <v>3.9701223301105149E-2</v>
      </c>
      <c r="G56" s="3"/>
      <c r="H56" s="8">
        <v>1205.6400000000001</v>
      </c>
      <c r="I56" s="3"/>
      <c r="J56" s="7">
        <f t="shared" si="5"/>
        <v>0.3256330267795649</v>
      </c>
      <c r="K56" s="3"/>
      <c r="L56" s="8">
        <f t="shared" si="6"/>
        <v>0</v>
      </c>
      <c r="M56" s="3"/>
      <c r="N56" s="7">
        <f t="shared" si="7"/>
        <v>0</v>
      </c>
      <c r="O56" s="12"/>
      <c r="P56" s="8">
        <v>12147.66</v>
      </c>
      <c r="Q56" s="3"/>
      <c r="R56" s="7">
        <f t="shared" si="8"/>
        <v>6.2294909628058504E-2</v>
      </c>
      <c r="S56" s="3"/>
      <c r="T56" s="8">
        <v>12056.4</v>
      </c>
      <c r="U56" s="3"/>
      <c r="V56" s="7">
        <f t="shared" si="9"/>
        <v>0.10511477671523385</v>
      </c>
      <c r="W56" s="3"/>
      <c r="X56" s="8">
        <f t="shared" si="10"/>
        <v>91.260000000000218</v>
      </c>
      <c r="Y56" s="3"/>
      <c r="Z56" s="7">
        <f t="shared" si="11"/>
        <v>7.5694237085697407E-3</v>
      </c>
    </row>
    <row r="57" spans="1:26" s="68" customFormat="1" ht="15" customHeight="1" outlineLevel="1" collapsed="1" x14ac:dyDescent="0.3">
      <c r="A57" s="25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SUM(OSRRefD22_6x_0)</f>
        <v>-6034.4100000000008</v>
      </c>
      <c r="E57" s="2"/>
      <c r="F57" s="6">
        <f t="shared" si="4"/>
        <v>-0.1987106092203493</v>
      </c>
      <c r="G57" s="2"/>
      <c r="H57" s="2">
        <f>SUM(OSRRefH22_6x_0)</f>
        <v>-18667.690000000002</v>
      </c>
      <c r="I57" s="2"/>
      <c r="J57" s="6">
        <f t="shared" si="5"/>
        <v>-5.0419830112493091</v>
      </c>
      <c r="K57" s="2"/>
      <c r="L57" s="2">
        <f t="shared" si="6"/>
        <v>12633.280000000002</v>
      </c>
      <c r="M57" s="2"/>
      <c r="N57" s="6">
        <f t="shared" si="7"/>
        <v>-0.67674575697368022</v>
      </c>
      <c r="O57" s="14"/>
      <c r="P57" s="2">
        <f>SUM(OSRRefP22_6x_0)</f>
        <v>-68634.239999999991</v>
      </c>
      <c r="Q57" s="2"/>
      <c r="R57" s="6">
        <f t="shared" si="8"/>
        <v>-0.35196603940104332</v>
      </c>
      <c r="S57" s="2"/>
      <c r="T57" s="2">
        <f>SUM(OSRRefT22_6x_0)</f>
        <v>-72673.700000000012</v>
      </c>
      <c r="U57" s="2"/>
      <c r="V57" s="6">
        <f t="shared" si="9"/>
        <v>-0.63361200263510598</v>
      </c>
      <c r="W57" s="2"/>
      <c r="X57" s="2">
        <f t="shared" si="10"/>
        <v>4039.460000000021</v>
      </c>
      <c r="Y57" s="2"/>
      <c r="Z57" s="6">
        <f t="shared" si="11"/>
        <v>-5.5583519209838228E-2</v>
      </c>
    </row>
    <row r="58" spans="1:26" s="69" customFormat="1" ht="15" hidden="1" customHeight="1" outlineLevel="2" x14ac:dyDescent="0.3">
      <c r="A58" s="26"/>
      <c r="B58" s="12" t="str">
        <f>CONCATENATE("          ","6305"," - ","FREIGHT OUT")</f>
        <v xml:space="preserve">          6305 - FREIGHT OUT</v>
      </c>
      <c r="C58" s="12"/>
      <c r="D58" s="8">
        <v>7450.71</v>
      </c>
      <c r="E58" s="3"/>
      <c r="F58" s="7">
        <f t="shared" si="4"/>
        <v>0.24534877862527549</v>
      </c>
      <c r="G58" s="3"/>
      <c r="H58" s="8">
        <v>16530.71</v>
      </c>
      <c r="I58" s="3"/>
      <c r="J58" s="7">
        <f t="shared" si="5"/>
        <v>4.4648030358276278</v>
      </c>
      <c r="K58" s="3"/>
      <c r="L58" s="8">
        <f t="shared" si="6"/>
        <v>-9080</v>
      </c>
      <c r="M58" s="3"/>
      <c r="N58" s="7">
        <f t="shared" si="7"/>
        <v>-0.54928070240177229</v>
      </c>
      <c r="O58" s="12"/>
      <c r="P58" s="8">
        <v>113053.12</v>
      </c>
      <c r="Q58" s="3"/>
      <c r="R58" s="7">
        <f t="shared" si="8"/>
        <v>0.57975230567615932</v>
      </c>
      <c r="S58" s="3"/>
      <c r="T58" s="8">
        <v>178009.9</v>
      </c>
      <c r="U58" s="3"/>
      <c r="V58" s="7">
        <f t="shared" si="9"/>
        <v>1.5519948651007851</v>
      </c>
      <c r="W58" s="3"/>
      <c r="X58" s="8">
        <f t="shared" si="10"/>
        <v>-64956.78</v>
      </c>
      <c r="Y58" s="3"/>
      <c r="Z58" s="7">
        <f t="shared" si="11"/>
        <v>-0.364905435034793</v>
      </c>
    </row>
    <row r="59" spans="1:26" s="69" customFormat="1" ht="15" hidden="1" customHeight="1" outlineLevel="2" x14ac:dyDescent="0.3">
      <c r="A59" s="26"/>
      <c r="B59" s="12" t="str">
        <f>CONCATENATE("          ","6307"," - ","POSTAGE")</f>
        <v xml:space="preserve">          6307 - POSTAGE</v>
      </c>
      <c r="C59" s="12"/>
      <c r="D59" s="8">
        <v>-13485.12</v>
      </c>
      <c r="E59" s="3"/>
      <c r="F59" s="7">
        <f t="shared" si="4"/>
        <v>-0.44405938784562482</v>
      </c>
      <c r="G59" s="3"/>
      <c r="H59" s="8">
        <v>-35198.400000000001</v>
      </c>
      <c r="I59" s="3"/>
      <c r="J59" s="7">
        <f t="shared" si="5"/>
        <v>-9.5067860470769361</v>
      </c>
      <c r="K59" s="3"/>
      <c r="L59" s="8">
        <f t="shared" si="6"/>
        <v>21713.279999999999</v>
      </c>
      <c r="M59" s="3"/>
      <c r="N59" s="7">
        <f t="shared" si="7"/>
        <v>-0.61688258557207143</v>
      </c>
      <c r="O59" s="12"/>
      <c r="P59" s="8">
        <v>-181687.36</v>
      </c>
      <c r="Q59" s="3"/>
      <c r="R59" s="7">
        <f t="shared" si="8"/>
        <v>-0.93171834507720264</v>
      </c>
      <c r="S59" s="3"/>
      <c r="T59" s="8">
        <v>-250683.6</v>
      </c>
      <c r="U59" s="3"/>
      <c r="V59" s="7">
        <f t="shared" si="9"/>
        <v>-2.1856068677358911</v>
      </c>
      <c r="W59" s="3"/>
      <c r="X59" s="8">
        <f t="shared" si="10"/>
        <v>68996.24000000002</v>
      </c>
      <c r="Y59" s="3"/>
      <c r="Z59" s="7">
        <f t="shared" si="11"/>
        <v>-0.27523236462217721</v>
      </c>
    </row>
    <row r="60" spans="1:26" s="68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SUM(OSRRefD22_7x_0)</f>
        <v>0</v>
      </c>
      <c r="E60" s="2"/>
      <c r="F60" s="6">
        <f t="shared" si="4"/>
        <v>0</v>
      </c>
      <c r="G60" s="2"/>
      <c r="H60" s="2">
        <f>SUM(OSRRefH22_7x_0)</f>
        <v>0</v>
      </c>
      <c r="I60" s="2"/>
      <c r="J60" s="6">
        <f t="shared" si="5"/>
        <v>0</v>
      </c>
      <c r="K60" s="2"/>
      <c r="L60" s="2">
        <f t="shared" si="6"/>
        <v>0</v>
      </c>
      <c r="M60" s="2"/>
      <c r="N60" s="6">
        <f t="shared" si="7"/>
        <v>0</v>
      </c>
      <c r="O60" s="14"/>
      <c r="P60" s="2">
        <f>SUM(OSRRefP22_7x_0)</f>
        <v>91.31</v>
      </c>
      <c r="Q60" s="2"/>
      <c r="R60" s="6">
        <f t="shared" si="8"/>
        <v>4.6825052710876188E-4</v>
      </c>
      <c r="S60" s="2"/>
      <c r="T60" s="2">
        <f>SUM(OSRRefT22_7x_0)</f>
        <v>0</v>
      </c>
      <c r="U60" s="2"/>
      <c r="V60" s="6">
        <f t="shared" si="9"/>
        <v>0</v>
      </c>
      <c r="W60" s="2"/>
      <c r="X60" s="2">
        <f t="shared" si="10"/>
        <v>91.31</v>
      </c>
      <c r="Y60" s="2"/>
      <c r="Z60" s="6">
        <f t="shared" si="11"/>
        <v>0</v>
      </c>
    </row>
    <row r="61" spans="1:26" s="69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8"/>
      <c r="E61" s="3"/>
      <c r="F61" s="7">
        <f t="shared" si="4"/>
        <v>0</v>
      </c>
      <c r="G61" s="3"/>
      <c r="H61" s="8"/>
      <c r="I61" s="3"/>
      <c r="J61" s="7">
        <f t="shared" si="5"/>
        <v>0</v>
      </c>
      <c r="K61" s="3"/>
      <c r="L61" s="8">
        <f t="shared" si="6"/>
        <v>0</v>
      </c>
      <c r="M61" s="3"/>
      <c r="N61" s="7">
        <f t="shared" si="7"/>
        <v>0</v>
      </c>
      <c r="O61" s="12"/>
      <c r="P61" s="8">
        <v>91.31</v>
      </c>
      <c r="Q61" s="3"/>
      <c r="R61" s="7">
        <f t="shared" si="8"/>
        <v>4.6825052710876188E-4</v>
      </c>
      <c r="S61" s="3"/>
      <c r="T61" s="8"/>
      <c r="U61" s="3"/>
      <c r="V61" s="7">
        <f t="shared" si="9"/>
        <v>0</v>
      </c>
      <c r="W61" s="3"/>
      <c r="X61" s="8">
        <f t="shared" si="10"/>
        <v>91.31</v>
      </c>
      <c r="Y61" s="3"/>
      <c r="Z61" s="7">
        <f t="shared" si="11"/>
        <v>0</v>
      </c>
    </row>
    <row r="62" spans="1:26" s="68" customFormat="1" ht="15" customHeight="1" outlineLevel="1" collapsed="1" x14ac:dyDescent="0.3">
      <c r="A62" s="25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SUM(OSRRefD22_8x_0)</f>
        <v>2209.4499999999998</v>
      </c>
      <c r="E62" s="2"/>
      <c r="F62" s="6">
        <f t="shared" si="4"/>
        <v>7.2756268722526427E-2</v>
      </c>
      <c r="G62" s="2"/>
      <c r="H62" s="2">
        <f>SUM(OSRRefH22_8x_0)</f>
        <v>102.36</v>
      </c>
      <c r="I62" s="2"/>
      <c r="J62" s="6">
        <f t="shared" si="5"/>
        <v>2.7646558360004864E-2</v>
      </c>
      <c r="K62" s="2"/>
      <c r="L62" s="2">
        <f t="shared" si="6"/>
        <v>2107.0899999999997</v>
      </c>
      <c r="M62" s="2"/>
      <c r="N62" s="6">
        <f t="shared" si="7"/>
        <v>20.585091832747164</v>
      </c>
      <c r="O62" s="14"/>
      <c r="P62" s="2">
        <f>SUM(OSRRefP22_8x_0)</f>
        <v>28305.040000000001</v>
      </c>
      <c r="Q62" s="2"/>
      <c r="R62" s="6">
        <f t="shared" si="8"/>
        <v>0.1451522275745766</v>
      </c>
      <c r="S62" s="2"/>
      <c r="T62" s="2">
        <f>SUM(OSRRefT22_8x_0)</f>
        <v>31093.699999999997</v>
      </c>
      <c r="U62" s="2"/>
      <c r="V62" s="6">
        <f t="shared" si="9"/>
        <v>0.27109313997134027</v>
      </c>
      <c r="W62" s="2"/>
      <c r="X62" s="2">
        <f t="shared" si="10"/>
        <v>-2788.6599999999962</v>
      </c>
      <c r="Y62" s="2"/>
      <c r="Z62" s="6">
        <f t="shared" si="11"/>
        <v>-8.9685691956891481E-2</v>
      </c>
    </row>
    <row r="63" spans="1:26" s="69" customFormat="1" ht="15" hidden="1" customHeight="1" outlineLevel="2" x14ac:dyDescent="0.3">
      <c r="A63" s="26"/>
      <c r="B63" s="12" t="str">
        <f>CONCATENATE("          ","6371"," - ","COMPUTER SOFTWARE MAINTENANCE")</f>
        <v xml:space="preserve">          6371 - COMPUTER SOFTWARE MAINTENANCE</v>
      </c>
      <c r="C63" s="12"/>
      <c r="D63" s="8"/>
      <c r="E63" s="3"/>
      <c r="F63" s="7">
        <f t="shared" si="4"/>
        <v>0</v>
      </c>
      <c r="G63" s="3"/>
      <c r="H63" s="8"/>
      <c r="I63" s="3"/>
      <c r="J63" s="7">
        <f t="shared" si="5"/>
        <v>0</v>
      </c>
      <c r="K63" s="3"/>
      <c r="L63" s="8">
        <f t="shared" si="6"/>
        <v>0</v>
      </c>
      <c r="M63" s="3"/>
      <c r="N63" s="7">
        <f t="shared" si="7"/>
        <v>0</v>
      </c>
      <c r="O63" s="12"/>
      <c r="P63" s="8"/>
      <c r="Q63" s="3"/>
      <c r="R63" s="7">
        <f t="shared" si="8"/>
        <v>0</v>
      </c>
      <c r="S63" s="3"/>
      <c r="T63" s="8">
        <v>7.69</v>
      </c>
      <c r="U63" s="3"/>
      <c r="V63" s="7">
        <f t="shared" si="9"/>
        <v>6.7045936841855644E-5</v>
      </c>
      <c r="W63" s="3"/>
      <c r="X63" s="8">
        <f t="shared" si="10"/>
        <v>-7.69</v>
      </c>
      <c r="Y63" s="3"/>
      <c r="Z63" s="7">
        <f t="shared" si="11"/>
        <v>-1</v>
      </c>
    </row>
    <row r="64" spans="1:26" s="69" customFormat="1" ht="15" hidden="1" customHeight="1" outlineLevel="2" x14ac:dyDescent="0.3">
      <c r="A64" s="26"/>
      <c r="B64" s="12" t="str">
        <f>CONCATENATE("          ","6373"," - ","MAINTENANCE CONTRACTS")</f>
        <v xml:space="preserve">          6373 - MAINTENANCE CONTRACTS</v>
      </c>
      <c r="C64" s="12"/>
      <c r="D64" s="8">
        <v>770.04</v>
      </c>
      <c r="E64" s="3"/>
      <c r="F64" s="7">
        <f t="shared" si="4"/>
        <v>2.5357096638120007E-2</v>
      </c>
      <c r="G64" s="3"/>
      <c r="H64" s="8">
        <v>97.76</v>
      </c>
      <c r="I64" s="3"/>
      <c r="J64" s="7">
        <f t="shared" si="5"/>
        <v>2.640413780064552E-2</v>
      </c>
      <c r="K64" s="3"/>
      <c r="L64" s="8">
        <f t="shared" si="6"/>
        <v>672.28</v>
      </c>
      <c r="M64" s="3"/>
      <c r="N64" s="7">
        <f t="shared" si="7"/>
        <v>6.8768412438625202</v>
      </c>
      <c r="O64" s="12"/>
      <c r="P64" s="8">
        <v>9247.89</v>
      </c>
      <c r="Q64" s="3"/>
      <c r="R64" s="7">
        <f t="shared" si="8"/>
        <v>4.7424481077032607E-2</v>
      </c>
      <c r="S64" s="3"/>
      <c r="T64" s="8">
        <v>31081.41</v>
      </c>
      <c r="U64" s="3"/>
      <c r="V64" s="7">
        <f t="shared" si="9"/>
        <v>0.27098598853261641</v>
      </c>
      <c r="W64" s="3"/>
      <c r="X64" s="8">
        <f t="shared" si="10"/>
        <v>-21833.52</v>
      </c>
      <c r="Y64" s="3"/>
      <c r="Z64" s="7">
        <f t="shared" si="11"/>
        <v>-0.70246234002897556</v>
      </c>
    </row>
    <row r="65" spans="1:26" s="69" customFormat="1" ht="15" hidden="1" customHeight="1" outlineLevel="2" x14ac:dyDescent="0.3">
      <c r="A65" s="26"/>
      <c r="B65" s="12" t="str">
        <f>CONCATENATE("          ","6375"," - ","OUTSIDE REPAIRS &amp; MAINTENANCE")</f>
        <v xml:space="preserve">          6375 - OUTSIDE REPAIRS &amp; MAINTENANCE</v>
      </c>
      <c r="C65" s="12"/>
      <c r="D65" s="8">
        <v>1439.41</v>
      </c>
      <c r="E65" s="3"/>
      <c r="F65" s="7">
        <f t="shared" si="4"/>
        <v>4.7399172084406423E-2</v>
      </c>
      <c r="G65" s="3"/>
      <c r="H65" s="8">
        <v>4.5999999999999996</v>
      </c>
      <c r="I65" s="3"/>
      <c r="J65" s="7">
        <f t="shared" si="5"/>
        <v>1.2424205593593431E-3</v>
      </c>
      <c r="K65" s="3"/>
      <c r="L65" s="8">
        <f t="shared" si="6"/>
        <v>1434.8100000000002</v>
      </c>
      <c r="M65" s="3"/>
      <c r="N65" s="7">
        <f t="shared" si="7"/>
        <v>311.9152173913044</v>
      </c>
      <c r="O65" s="12"/>
      <c r="P65" s="8">
        <v>19057.150000000001</v>
      </c>
      <c r="Q65" s="3"/>
      <c r="R65" s="7">
        <f t="shared" si="8"/>
        <v>9.7727746497543996E-2</v>
      </c>
      <c r="S65" s="3"/>
      <c r="T65" s="8">
        <v>4.5999999999999996</v>
      </c>
      <c r="U65" s="3"/>
      <c r="V65" s="7">
        <f t="shared" si="9"/>
        <v>4.0105501881994266E-5</v>
      </c>
      <c r="W65" s="3"/>
      <c r="X65" s="8">
        <f t="shared" si="10"/>
        <v>19052.550000000003</v>
      </c>
      <c r="Y65" s="3"/>
      <c r="Z65" s="7">
        <f t="shared" si="11"/>
        <v>4141.8586956521749</v>
      </c>
    </row>
    <row r="66" spans="1:26" s="68" customFormat="1" ht="15" customHeight="1" outlineLevel="1" collapsed="1" x14ac:dyDescent="0.3">
      <c r="A66" s="25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2">
        <f>SUM(OSRRefD22_9x_0)</f>
        <v>2045.03</v>
      </c>
      <c r="E66" s="2"/>
      <c r="F66" s="6">
        <f t="shared" si="4"/>
        <v>6.7341986569339984E-2</v>
      </c>
      <c r="G66" s="2"/>
      <c r="H66" s="2">
        <f>SUM(OSRRefH22_9x_0)</f>
        <v>2570.27</v>
      </c>
      <c r="I66" s="2"/>
      <c r="J66" s="6">
        <f t="shared" si="5"/>
        <v>0.694207889370552</v>
      </c>
      <c r="K66" s="2"/>
      <c r="L66" s="2">
        <f t="shared" si="6"/>
        <v>-525.24</v>
      </c>
      <c r="M66" s="2"/>
      <c r="N66" s="6">
        <f t="shared" si="7"/>
        <v>-0.20435207196131147</v>
      </c>
      <c r="O66" s="14"/>
      <c r="P66" s="2">
        <f>SUM(OSRRefP22_9x_0)</f>
        <v>12050.65</v>
      </c>
      <c r="Q66" s="2"/>
      <c r="R66" s="6">
        <f t="shared" si="8"/>
        <v>6.1797428698972742E-2</v>
      </c>
      <c r="S66" s="2"/>
      <c r="T66" s="2">
        <f>SUM(OSRRefT22_9x_0)</f>
        <v>13233.89</v>
      </c>
      <c r="U66" s="2"/>
      <c r="V66" s="6">
        <f t="shared" si="9"/>
        <v>0.11538082615241416</v>
      </c>
      <c r="W66" s="2"/>
      <c r="X66" s="2">
        <f t="shared" si="10"/>
        <v>-1183.2399999999998</v>
      </c>
      <c r="Y66" s="2"/>
      <c r="Z66" s="6">
        <f t="shared" si="11"/>
        <v>-8.940984094623726E-2</v>
      </c>
    </row>
    <row r="67" spans="1:26" s="69" customFormat="1" ht="15" hidden="1" customHeight="1" outlineLevel="2" x14ac:dyDescent="0.3">
      <c r="A67" s="26"/>
      <c r="B67" s="12" t="str">
        <f>CONCATENATE("          ","6259"," - ","ROYALTY &amp; COMMISSIONS")</f>
        <v xml:space="preserve">          6259 - ROYALTY &amp; COMMISSIONS</v>
      </c>
      <c r="C67" s="12"/>
      <c r="D67" s="8">
        <v>2045.03</v>
      </c>
      <c r="E67" s="3"/>
      <c r="F67" s="7">
        <f t="shared" si="4"/>
        <v>6.7341986569339984E-2</v>
      </c>
      <c r="G67" s="3"/>
      <c r="H67" s="8">
        <v>2570.27</v>
      </c>
      <c r="I67" s="3"/>
      <c r="J67" s="7">
        <f t="shared" si="5"/>
        <v>0.694207889370552</v>
      </c>
      <c r="K67" s="3"/>
      <c r="L67" s="8">
        <f t="shared" si="6"/>
        <v>-525.24</v>
      </c>
      <c r="M67" s="3"/>
      <c r="N67" s="7">
        <f t="shared" si="7"/>
        <v>-0.20435207196131147</v>
      </c>
      <c r="O67" s="12"/>
      <c r="P67" s="8">
        <v>12050.65</v>
      </c>
      <c r="Q67" s="3"/>
      <c r="R67" s="7">
        <f t="shared" si="8"/>
        <v>6.1797428698972742E-2</v>
      </c>
      <c r="S67" s="3"/>
      <c r="T67" s="8">
        <v>13233.89</v>
      </c>
      <c r="U67" s="3"/>
      <c r="V67" s="7">
        <f t="shared" si="9"/>
        <v>0.11538082615241416</v>
      </c>
      <c r="W67" s="3"/>
      <c r="X67" s="8">
        <f t="shared" si="10"/>
        <v>-1183.2399999999998</v>
      </c>
      <c r="Y67" s="3"/>
      <c r="Z67" s="7">
        <f t="shared" si="11"/>
        <v>-8.940984094623726E-2</v>
      </c>
    </row>
    <row r="68" spans="1:26" s="68" customFormat="1" ht="15" customHeight="1" outlineLevel="1" collapsed="1" x14ac:dyDescent="0.3">
      <c r="A68" s="25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2">
        <f>SUM(OSRRefD22_10x_0)</f>
        <v>0</v>
      </c>
      <c r="E68" s="2"/>
      <c r="F68" s="6">
        <f t="shared" si="4"/>
        <v>0</v>
      </c>
      <c r="G68" s="2"/>
      <c r="H68" s="2">
        <f>SUM(OSRRefH22_10x_0)</f>
        <v>0</v>
      </c>
      <c r="I68" s="2"/>
      <c r="J68" s="6">
        <f t="shared" si="5"/>
        <v>0</v>
      </c>
      <c r="K68" s="2"/>
      <c r="L68" s="2">
        <f t="shared" si="6"/>
        <v>0</v>
      </c>
      <c r="M68" s="2"/>
      <c r="N68" s="6">
        <f t="shared" si="7"/>
        <v>0</v>
      </c>
      <c r="O68" s="14"/>
      <c r="P68" s="2">
        <f>SUM(OSRRefP22_10x_0)</f>
        <v>5.28</v>
      </c>
      <c r="Q68" s="2"/>
      <c r="R68" s="6">
        <f t="shared" si="8"/>
        <v>2.7076582883958632E-5</v>
      </c>
      <c r="S68" s="2"/>
      <c r="T68" s="2">
        <f>SUM(OSRRefT22_10x_0)</f>
        <v>0</v>
      </c>
      <c r="U68" s="2"/>
      <c r="V68" s="6">
        <f t="shared" si="9"/>
        <v>0</v>
      </c>
      <c r="W68" s="2"/>
      <c r="X68" s="2">
        <f t="shared" si="10"/>
        <v>5.28</v>
      </c>
      <c r="Y68" s="2"/>
      <c r="Z68" s="6">
        <f t="shared" si="11"/>
        <v>0</v>
      </c>
    </row>
    <row r="69" spans="1:26" s="69" customFormat="1" ht="15" hidden="1" customHeight="1" outlineLevel="2" x14ac:dyDescent="0.3">
      <c r="A69" s="26"/>
      <c r="B69" s="12" t="str">
        <f>CONCATENATE("          ","6258"," - ","MEMBERSHIP DUES")</f>
        <v xml:space="preserve">          6258 - MEMBERSHIP DUES</v>
      </c>
      <c r="C69" s="12"/>
      <c r="D69" s="8"/>
      <c r="E69" s="3"/>
      <c r="F69" s="7">
        <f t="shared" si="4"/>
        <v>0</v>
      </c>
      <c r="G69" s="3"/>
      <c r="H69" s="8"/>
      <c r="I69" s="3"/>
      <c r="J69" s="7">
        <f t="shared" si="5"/>
        <v>0</v>
      </c>
      <c r="K69" s="3"/>
      <c r="L69" s="8">
        <f t="shared" si="6"/>
        <v>0</v>
      </c>
      <c r="M69" s="3"/>
      <c r="N69" s="7">
        <f t="shared" si="7"/>
        <v>0</v>
      </c>
      <c r="O69" s="12"/>
      <c r="P69" s="8">
        <v>5.28</v>
      </c>
      <c r="Q69" s="3"/>
      <c r="R69" s="7">
        <f t="shared" si="8"/>
        <v>2.7076582883958632E-5</v>
      </c>
      <c r="S69" s="3"/>
      <c r="T69" s="8"/>
      <c r="U69" s="3"/>
      <c r="V69" s="7">
        <f t="shared" si="9"/>
        <v>0</v>
      </c>
      <c r="W69" s="3"/>
      <c r="X69" s="8">
        <f t="shared" si="10"/>
        <v>5.28</v>
      </c>
      <c r="Y69" s="3"/>
      <c r="Z69" s="7">
        <f t="shared" si="11"/>
        <v>0</v>
      </c>
    </row>
    <row r="70" spans="1:26" s="68" customFormat="1" ht="15" customHeight="1" outlineLevel="1" collapsed="1" x14ac:dyDescent="0.3">
      <c r="A70" s="25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SUM(OSRRefD22_11x_0)</f>
        <v>8058.9500000000007</v>
      </c>
      <c r="E70" s="2"/>
      <c r="F70" s="6">
        <f t="shared" si="4"/>
        <v>0.26537786861952273</v>
      </c>
      <c r="G70" s="2"/>
      <c r="H70" s="2">
        <f>SUM(OSRRefH22_11x_0)</f>
        <v>3285.03</v>
      </c>
      <c r="I70" s="2"/>
      <c r="J70" s="6">
        <f t="shared" si="5"/>
        <v>0.88725843698091811</v>
      </c>
      <c r="K70" s="2"/>
      <c r="L70" s="2">
        <f t="shared" si="6"/>
        <v>4773.92</v>
      </c>
      <c r="M70" s="2"/>
      <c r="N70" s="6">
        <f t="shared" si="7"/>
        <v>1.4532348258615597</v>
      </c>
      <c r="O70" s="14"/>
      <c r="P70" s="2">
        <f>SUM(OSRRefP22_11x_0)</f>
        <v>43766</v>
      </c>
      <c r="Q70" s="2"/>
      <c r="R70" s="6">
        <f t="shared" si="8"/>
        <v>0.22443820577638893</v>
      </c>
      <c r="S70" s="2"/>
      <c r="T70" s="2">
        <f>SUM(OSRRefT22_11x_0)</f>
        <v>35798.199999999997</v>
      </c>
      <c r="U70" s="2"/>
      <c r="V70" s="6">
        <f t="shared" si="9"/>
        <v>0.31210973423304506</v>
      </c>
      <c r="W70" s="2"/>
      <c r="X70" s="2">
        <f t="shared" si="10"/>
        <v>7967.8000000000029</v>
      </c>
      <c r="Y70" s="2"/>
      <c r="Z70" s="6">
        <f t="shared" si="11"/>
        <v>0.22257543675380337</v>
      </c>
    </row>
    <row r="71" spans="1:26" s="69" customFormat="1" ht="15" hidden="1" customHeight="1" outlineLevel="2" x14ac:dyDescent="0.3">
      <c r="A71" s="26"/>
      <c r="B71" s="12" t="str">
        <f>CONCATENATE("          ","6234"," - ","EXPENDABLE SUPPLIES &amp; EQUIPMEN")</f>
        <v xml:space="preserve">          6234 - EXPENDABLE SUPPLIES &amp; EQUIPMEN</v>
      </c>
      <c r="C71" s="12"/>
      <c r="D71" s="8">
        <v>4993.3100000000004</v>
      </c>
      <c r="E71" s="3"/>
      <c r="F71" s="7">
        <f t="shared" si="4"/>
        <v>0.16442761962247548</v>
      </c>
      <c r="G71" s="3"/>
      <c r="H71" s="8"/>
      <c r="I71" s="3"/>
      <c r="J71" s="7">
        <f t="shared" si="5"/>
        <v>0</v>
      </c>
      <c r="K71" s="3"/>
      <c r="L71" s="8">
        <f t="shared" si="6"/>
        <v>4993.3100000000004</v>
      </c>
      <c r="M71" s="3"/>
      <c r="N71" s="7">
        <f t="shared" si="7"/>
        <v>0</v>
      </c>
      <c r="O71" s="12"/>
      <c r="P71" s="8">
        <v>4993.3100000000004</v>
      </c>
      <c r="Q71" s="3"/>
      <c r="R71" s="7">
        <f t="shared" si="8"/>
        <v>2.5606396227329447E-2</v>
      </c>
      <c r="S71" s="3"/>
      <c r="T71" s="8"/>
      <c r="U71" s="3"/>
      <c r="V71" s="7">
        <f t="shared" si="9"/>
        <v>0</v>
      </c>
      <c r="W71" s="3"/>
      <c r="X71" s="8">
        <f t="shared" si="10"/>
        <v>4993.3100000000004</v>
      </c>
      <c r="Y71" s="3"/>
      <c r="Z71" s="7">
        <f t="shared" si="11"/>
        <v>0</v>
      </c>
    </row>
    <row r="72" spans="1:26" s="69" customFormat="1" ht="15" hidden="1" customHeight="1" outlineLevel="2" x14ac:dyDescent="0.3">
      <c r="A72" s="26"/>
      <c r="B72" s="12" t="str">
        <f>CONCATENATE("          ","6235"," - ","COVID-19 EXPENSES")</f>
        <v xml:space="preserve">          6235 - COVID-19 EXPENSES</v>
      </c>
      <c r="C72" s="12"/>
      <c r="D72" s="8"/>
      <c r="E72" s="3"/>
      <c r="F72" s="7">
        <f t="shared" si="4"/>
        <v>0</v>
      </c>
      <c r="G72" s="3"/>
      <c r="H72" s="8"/>
      <c r="I72" s="3"/>
      <c r="J72" s="7">
        <f t="shared" si="5"/>
        <v>0</v>
      </c>
      <c r="K72" s="3"/>
      <c r="L72" s="8">
        <f t="shared" si="6"/>
        <v>0</v>
      </c>
      <c r="M72" s="3"/>
      <c r="N72" s="7">
        <f t="shared" si="7"/>
        <v>0</v>
      </c>
      <c r="O72" s="12"/>
      <c r="P72" s="8"/>
      <c r="Q72" s="3"/>
      <c r="R72" s="7">
        <f t="shared" si="8"/>
        <v>0</v>
      </c>
      <c r="S72" s="3"/>
      <c r="T72" s="8">
        <v>310.91000000000003</v>
      </c>
      <c r="U72" s="3"/>
      <c r="V72" s="7">
        <f t="shared" si="9"/>
        <v>2.7106959978545303E-3</v>
      </c>
      <c r="W72" s="3"/>
      <c r="X72" s="8">
        <f t="shared" si="10"/>
        <v>-310.91000000000003</v>
      </c>
      <c r="Y72" s="3"/>
      <c r="Z72" s="7">
        <f t="shared" si="11"/>
        <v>-1</v>
      </c>
    </row>
    <row r="73" spans="1:26" s="69" customFormat="1" ht="15" hidden="1" customHeight="1" outlineLevel="2" x14ac:dyDescent="0.3">
      <c r="A73" s="26"/>
      <c r="B73" s="12" t="str">
        <f>CONCATENATE("          ","6241"," - ","OFFICE EXPENSE")</f>
        <v xml:space="preserve">          6241 - OFFICE EXPENSE</v>
      </c>
      <c r="C73" s="12"/>
      <c r="D73" s="8">
        <v>1786.97</v>
      </c>
      <c r="E73" s="3"/>
      <c r="F73" s="7">
        <f t="shared" si="4"/>
        <v>5.8844178197783641E-2</v>
      </c>
      <c r="G73" s="3"/>
      <c r="H73" s="8">
        <v>6.55</v>
      </c>
      <c r="I73" s="3"/>
      <c r="J73" s="7">
        <f t="shared" si="5"/>
        <v>1.7690988399573257E-3</v>
      </c>
      <c r="K73" s="3"/>
      <c r="L73" s="8">
        <f t="shared" si="6"/>
        <v>1780.42</v>
      </c>
      <c r="M73" s="3"/>
      <c r="N73" s="7">
        <f t="shared" si="7"/>
        <v>271.81984732824429</v>
      </c>
      <c r="O73" s="12"/>
      <c r="P73" s="8">
        <v>11008.35</v>
      </c>
      <c r="Q73" s="3"/>
      <c r="R73" s="7">
        <f t="shared" si="8"/>
        <v>5.6452367649739772E-2</v>
      </c>
      <c r="S73" s="3"/>
      <c r="T73" s="8">
        <v>4657.76</v>
      </c>
      <c r="U73" s="3"/>
      <c r="V73" s="7">
        <f t="shared" si="9"/>
        <v>4.0609087488234268E-2</v>
      </c>
      <c r="W73" s="3"/>
      <c r="X73" s="8">
        <f t="shared" si="10"/>
        <v>6350.59</v>
      </c>
      <c r="Y73" s="3"/>
      <c r="Z73" s="7">
        <f t="shared" si="11"/>
        <v>1.3634429425303149</v>
      </c>
    </row>
    <row r="74" spans="1:26" s="69" customFormat="1" ht="15" hidden="1" customHeight="1" outlineLevel="2" x14ac:dyDescent="0.3">
      <c r="A74" s="26"/>
      <c r="B74" s="12" t="str">
        <f>CONCATENATE("          ","6243"," - ","PAPER SUPPLIES")</f>
        <v xml:space="preserve">          6243 - PAPER SUPPLIES</v>
      </c>
      <c r="C74" s="12"/>
      <c r="D74" s="8">
        <v>410.22</v>
      </c>
      <c r="E74" s="3"/>
      <c r="F74" s="7">
        <f t="shared" si="4"/>
        <v>1.3508373828488898E-2</v>
      </c>
      <c r="G74" s="3"/>
      <c r="H74" s="8">
        <v>199.93</v>
      </c>
      <c r="I74" s="3"/>
      <c r="J74" s="7">
        <f t="shared" si="5"/>
        <v>5.3999378789720325E-2</v>
      </c>
      <c r="K74" s="3"/>
      <c r="L74" s="8">
        <f t="shared" si="6"/>
        <v>210.29000000000002</v>
      </c>
      <c r="M74" s="3"/>
      <c r="N74" s="7">
        <f t="shared" si="7"/>
        <v>1.0518181363477217</v>
      </c>
      <c r="O74" s="12"/>
      <c r="P74" s="8">
        <v>7245.36</v>
      </c>
      <c r="Q74" s="3"/>
      <c r="R74" s="7">
        <f t="shared" si="8"/>
        <v>3.7155225485628503E-2</v>
      </c>
      <c r="S74" s="3"/>
      <c r="T74" s="8">
        <v>6682.58</v>
      </c>
      <c r="U74" s="3"/>
      <c r="V74" s="7">
        <f t="shared" si="9"/>
        <v>5.8262657557951583E-2</v>
      </c>
      <c r="W74" s="3"/>
      <c r="X74" s="8">
        <f t="shared" si="10"/>
        <v>562.77999999999975</v>
      </c>
      <c r="Y74" s="3"/>
      <c r="Z74" s="7">
        <f t="shared" si="11"/>
        <v>8.421597646417997E-2</v>
      </c>
    </row>
    <row r="75" spans="1:26" s="69" customFormat="1" ht="15" hidden="1" customHeight="1" outlineLevel="2" x14ac:dyDescent="0.3">
      <c r="A75" s="26"/>
      <c r="B75" s="12" t="str">
        <f>CONCATENATE("          ","6245"," - ","PRINTING")</f>
        <v xml:space="preserve">          6245 - PRINTING</v>
      </c>
      <c r="C75" s="12"/>
      <c r="D75" s="8">
        <v>-45.84</v>
      </c>
      <c r="E75" s="3"/>
      <c r="F75" s="7">
        <f t="shared" si="4"/>
        <v>-1.5094921171516043E-3</v>
      </c>
      <c r="G75" s="3"/>
      <c r="H75" s="8">
        <v>1766.38</v>
      </c>
      <c r="I75" s="3"/>
      <c r="J75" s="7">
        <f t="shared" si="5"/>
        <v>0.47708409296546889</v>
      </c>
      <c r="K75" s="3"/>
      <c r="L75" s="8">
        <f t="shared" si="6"/>
        <v>-1812.22</v>
      </c>
      <c r="M75" s="3"/>
      <c r="N75" s="7">
        <f t="shared" si="7"/>
        <v>-1.0259513807900904</v>
      </c>
      <c r="O75" s="12"/>
      <c r="P75" s="8">
        <v>5286.69</v>
      </c>
      <c r="Q75" s="3"/>
      <c r="R75" s="7">
        <f t="shared" si="8"/>
        <v>2.7110890145226371E-2</v>
      </c>
      <c r="S75" s="3"/>
      <c r="T75" s="8">
        <v>3051.93</v>
      </c>
      <c r="U75" s="3"/>
      <c r="V75" s="7">
        <f t="shared" si="9"/>
        <v>2.6608518338851035E-2</v>
      </c>
      <c r="W75" s="3"/>
      <c r="X75" s="8">
        <f t="shared" si="10"/>
        <v>2234.7599999999998</v>
      </c>
      <c r="Y75" s="3"/>
      <c r="Z75" s="7">
        <f t="shared" si="11"/>
        <v>0.73224484178863858</v>
      </c>
    </row>
    <row r="76" spans="1:26" s="69" customFormat="1" ht="15" hidden="1" customHeight="1" outlineLevel="2" x14ac:dyDescent="0.3">
      <c r="A76" s="26"/>
      <c r="B76" s="12" t="str">
        <f>CONCATENATE("          ","6247"," - ","STORE SUPPLIES")</f>
        <v xml:space="preserve">          6247 - STORE SUPPLIES</v>
      </c>
      <c r="C76" s="12"/>
      <c r="D76" s="8">
        <v>914.29</v>
      </c>
      <c r="E76" s="3"/>
      <c r="F76" s="7">
        <f t="shared" si="4"/>
        <v>3.0107189087926266E-2</v>
      </c>
      <c r="G76" s="3"/>
      <c r="H76" s="8">
        <v>1312.17</v>
      </c>
      <c r="I76" s="3"/>
      <c r="J76" s="7">
        <f t="shared" si="5"/>
        <v>0.3544058663857716</v>
      </c>
      <c r="K76" s="3"/>
      <c r="L76" s="8">
        <f t="shared" si="6"/>
        <v>-397.88000000000011</v>
      </c>
      <c r="M76" s="3"/>
      <c r="N76" s="7">
        <f t="shared" si="7"/>
        <v>-0.30322290556863829</v>
      </c>
      <c r="O76" s="12"/>
      <c r="P76" s="8">
        <v>15232.29</v>
      </c>
      <c r="Q76" s="3"/>
      <c r="R76" s="7">
        <f t="shared" si="8"/>
        <v>7.8113326268464817E-2</v>
      </c>
      <c r="S76" s="3"/>
      <c r="T76" s="8">
        <v>21095.02</v>
      </c>
      <c r="U76" s="3"/>
      <c r="V76" s="7">
        <f t="shared" si="9"/>
        <v>0.18391877485015365</v>
      </c>
      <c r="W76" s="3"/>
      <c r="X76" s="8">
        <f t="shared" si="10"/>
        <v>-5862.73</v>
      </c>
      <c r="Y76" s="3"/>
      <c r="Z76" s="7">
        <f t="shared" si="11"/>
        <v>-0.27792009678113599</v>
      </c>
    </row>
    <row r="77" spans="1:26" s="68" customFormat="1" ht="15" customHeight="1" outlineLevel="1" collapsed="1" x14ac:dyDescent="0.3">
      <c r="A77" s="25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241.2</v>
      </c>
      <c r="E77" s="2"/>
      <c r="F77" s="6">
        <f t="shared" si="4"/>
        <v>7.9426155902479686E-3</v>
      </c>
      <c r="G77" s="2"/>
      <c r="H77" s="2">
        <f>SUM(OSRRefH22_12x_0)</f>
        <v>82.1</v>
      </c>
      <c r="I77" s="2"/>
      <c r="J77" s="6">
        <f t="shared" si="5"/>
        <v>2.2174506070304797E-2</v>
      </c>
      <c r="K77" s="2"/>
      <c r="L77" s="2">
        <f t="shared" si="6"/>
        <v>159.1</v>
      </c>
      <c r="M77" s="2"/>
      <c r="N77" s="6">
        <f t="shared" si="7"/>
        <v>1.9378806333739342</v>
      </c>
      <c r="O77" s="14"/>
      <c r="P77" s="2">
        <f>SUM(OSRRefP22_12x_0)</f>
        <v>1171.5999999999999</v>
      </c>
      <c r="Q77" s="2"/>
      <c r="R77" s="6">
        <f t="shared" si="8"/>
        <v>6.0081296414480926E-3</v>
      </c>
      <c r="S77" s="2"/>
      <c r="T77" s="2">
        <f>SUM(OSRRefT22_12x_0)</f>
        <v>1585.5</v>
      </c>
      <c r="U77" s="2"/>
      <c r="V77" s="6">
        <f t="shared" si="9"/>
        <v>1.3823320268239547E-2</v>
      </c>
      <c r="W77" s="2"/>
      <c r="X77" s="2">
        <f t="shared" si="10"/>
        <v>-413.90000000000009</v>
      </c>
      <c r="Y77" s="2"/>
      <c r="Z77" s="6">
        <f t="shared" si="11"/>
        <v>-0.26105329549038164</v>
      </c>
    </row>
    <row r="78" spans="1:26" s="69" customFormat="1" ht="15" hidden="1" customHeight="1" outlineLevel="2" x14ac:dyDescent="0.3">
      <c r="A78" s="26"/>
      <c r="B78" s="12" t="str">
        <f>CONCATENATE("          ","6309"," - ","TELEPHONE")</f>
        <v xml:space="preserve">          6309 - TELEPHONE</v>
      </c>
      <c r="C78" s="12"/>
      <c r="D78" s="8">
        <v>241.2</v>
      </c>
      <c r="E78" s="3"/>
      <c r="F78" s="7">
        <f t="shared" si="4"/>
        <v>7.9426155902479686E-3</v>
      </c>
      <c r="G78" s="3"/>
      <c r="H78" s="8">
        <v>82.1</v>
      </c>
      <c r="I78" s="3"/>
      <c r="J78" s="7">
        <f t="shared" si="5"/>
        <v>2.2174506070304797E-2</v>
      </c>
      <c r="K78" s="3"/>
      <c r="L78" s="8">
        <f t="shared" si="6"/>
        <v>159.1</v>
      </c>
      <c r="M78" s="3"/>
      <c r="N78" s="7">
        <f t="shared" si="7"/>
        <v>1.9378806333739342</v>
      </c>
      <c r="O78" s="12"/>
      <c r="P78" s="8">
        <v>1171.5999999999999</v>
      </c>
      <c r="Q78" s="3"/>
      <c r="R78" s="7">
        <f t="shared" si="8"/>
        <v>6.0081296414480926E-3</v>
      </c>
      <c r="S78" s="3"/>
      <c r="T78" s="8">
        <v>1585.5</v>
      </c>
      <c r="U78" s="3"/>
      <c r="V78" s="7">
        <f t="shared" si="9"/>
        <v>1.3823320268239547E-2</v>
      </c>
      <c r="W78" s="3"/>
      <c r="X78" s="8">
        <f t="shared" si="10"/>
        <v>-413.90000000000009</v>
      </c>
      <c r="Y78" s="3"/>
      <c r="Z78" s="7">
        <f t="shared" si="11"/>
        <v>-0.26105329549038164</v>
      </c>
    </row>
    <row r="79" spans="1:26" s="68" customFormat="1" ht="15" customHeight="1" outlineLevel="1" collapsed="1" x14ac:dyDescent="0.3">
      <c r="A79" s="25"/>
      <c r="B79" s="14" t="str">
        <f>CONCATENATE("     ","Utilities                                         ")</f>
        <v xml:space="preserve">     Utilities                                         </v>
      </c>
      <c r="C79" s="14"/>
      <c r="D79" s="2">
        <f>SUM(OSRRefD22_13x_0)</f>
        <v>0</v>
      </c>
      <c r="E79" s="2"/>
      <c r="F79" s="6">
        <f t="shared" si="4"/>
        <v>0</v>
      </c>
      <c r="G79" s="2"/>
      <c r="H79" s="2">
        <f>SUM(OSRRefH22_13x_0)</f>
        <v>0</v>
      </c>
      <c r="I79" s="2"/>
      <c r="J79" s="6">
        <f t="shared" si="5"/>
        <v>0</v>
      </c>
      <c r="K79" s="2"/>
      <c r="L79" s="2">
        <f t="shared" si="6"/>
        <v>0</v>
      </c>
      <c r="M79" s="2"/>
      <c r="N79" s="6">
        <f t="shared" si="7"/>
        <v>0</v>
      </c>
      <c r="O79" s="14"/>
      <c r="P79" s="2">
        <f>SUM(OSRRefP22_13x_0)</f>
        <v>0</v>
      </c>
      <c r="Q79" s="2"/>
      <c r="R79" s="6">
        <f t="shared" si="8"/>
        <v>0</v>
      </c>
      <c r="S79" s="2"/>
      <c r="T79" s="2">
        <f>SUM(OSRRefT22_13x_0)</f>
        <v>15.02</v>
      </c>
      <c r="U79" s="2"/>
      <c r="V79" s="6">
        <f t="shared" si="9"/>
        <v>1.3095318223207693E-4</v>
      </c>
      <c r="W79" s="2"/>
      <c r="X79" s="2">
        <f t="shared" si="10"/>
        <v>-15.02</v>
      </c>
      <c r="Y79" s="2"/>
      <c r="Z79" s="6">
        <f t="shared" si="11"/>
        <v>-1</v>
      </c>
    </row>
    <row r="80" spans="1:26" s="69" customFormat="1" ht="15" hidden="1" customHeight="1" outlineLevel="2" x14ac:dyDescent="0.3">
      <c r="A80" s="26"/>
      <c r="B80" s="12" t="str">
        <f>CONCATENATE("          ","6274"," - ","UTILITIES")</f>
        <v xml:space="preserve">          6274 - UTILITIES</v>
      </c>
      <c r="C80" s="12"/>
      <c r="D80" s="8"/>
      <c r="E80" s="3"/>
      <c r="F80" s="7">
        <f t="shared" si="4"/>
        <v>0</v>
      </c>
      <c r="G80" s="3"/>
      <c r="H80" s="8"/>
      <c r="I80" s="3"/>
      <c r="J80" s="7">
        <f t="shared" si="5"/>
        <v>0</v>
      </c>
      <c r="K80" s="3"/>
      <c r="L80" s="8">
        <f t="shared" si="6"/>
        <v>0</v>
      </c>
      <c r="M80" s="3"/>
      <c r="N80" s="7">
        <f t="shared" si="7"/>
        <v>0</v>
      </c>
      <c r="O80" s="12"/>
      <c r="P80" s="8"/>
      <c r="Q80" s="3"/>
      <c r="R80" s="7">
        <f t="shared" si="8"/>
        <v>0</v>
      </c>
      <c r="S80" s="3"/>
      <c r="T80" s="8">
        <v>15.02</v>
      </c>
      <c r="U80" s="3"/>
      <c r="V80" s="7">
        <f t="shared" si="9"/>
        <v>1.3095318223207693E-4</v>
      </c>
      <c r="W80" s="3"/>
      <c r="X80" s="8">
        <f t="shared" si="10"/>
        <v>-15.02</v>
      </c>
      <c r="Y80" s="3"/>
      <c r="Z80" s="7">
        <f t="shared" si="11"/>
        <v>-1</v>
      </c>
    </row>
    <row r="81" spans="1:26" s="64" customFormat="1" ht="15" customHeight="1" x14ac:dyDescent="0.3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collapsed="1" x14ac:dyDescent="0.3">
      <c r="A82" s="11"/>
      <c r="B82" s="27" t="s">
        <v>290</v>
      </c>
      <c r="C82" s="11"/>
      <c r="D82" s="5">
        <f>SUM(OSRRefD25x_0)</f>
        <v>3060.54</v>
      </c>
      <c r="E82" s="5"/>
      <c r="F82" s="13">
        <f>IF(D$12=0,0,D82/D$12)</f>
        <v>0.10078230812013897</v>
      </c>
      <c r="G82" s="5"/>
      <c r="H82" s="5">
        <f>SUM(OSRRefH25x_0)</f>
        <v>6782</v>
      </c>
      <c r="I82" s="5"/>
      <c r="J82" s="13">
        <f>IF(H$12=0,0,H82/H$12)</f>
        <v>1.8317600507771881</v>
      </c>
      <c r="K82" s="5"/>
      <c r="L82" s="5">
        <f>+D82-H82</f>
        <v>-3721.46</v>
      </c>
      <c r="M82" s="5"/>
      <c r="N82" s="13">
        <f>IF(H82=0,0,L82/H82)</f>
        <v>-0.54872603951636689</v>
      </c>
      <c r="O82" s="11"/>
      <c r="P82" s="5">
        <f>SUM(OSRRefP25x_0)</f>
        <v>18195.98</v>
      </c>
      <c r="Q82" s="5"/>
      <c r="R82" s="13">
        <f>IF(P$12=0,0,P82/P$12)</f>
        <v>9.331154557288894E-2</v>
      </c>
      <c r="S82" s="5"/>
      <c r="T82" s="5">
        <f>SUM(OSRRefT25x_0)</f>
        <v>67820</v>
      </c>
      <c r="U82" s="5"/>
      <c r="V82" s="13">
        <f>IF(T$12=0,0,T82/T$12)</f>
        <v>0.59129459513844596</v>
      </c>
      <c r="W82" s="5"/>
      <c r="X82" s="5">
        <f>+P82-T82</f>
        <v>-49624.020000000004</v>
      </c>
      <c r="Y82" s="5"/>
      <c r="Z82" s="13">
        <f>IF(T82=0,0,X82/T82)</f>
        <v>-0.73170185785903874</v>
      </c>
    </row>
    <row r="83" spans="1:26" s="69" customFormat="1" ht="15" hidden="1" customHeight="1" outlineLevel="1" x14ac:dyDescent="0.3">
      <c r="A83" s="42"/>
      <c r="B83" s="12" t="str">
        <f>CONCATENATE("          ","9150"," - ","MISC. INCOME")</f>
        <v xml:space="preserve">          9150 - MISC. INCOME</v>
      </c>
      <c r="C83" s="12"/>
      <c r="D83" s="3">
        <f>--3060.54</f>
        <v>3060.54</v>
      </c>
      <c r="E83" s="3"/>
      <c r="F83" s="20">
        <f>IF(D$12=0,0,D83/D$12)</f>
        <v>0.10078230812013897</v>
      </c>
      <c r="G83" s="3"/>
      <c r="H83" s="3">
        <f>--6782</f>
        <v>6782</v>
      </c>
      <c r="I83" s="3"/>
      <c r="J83" s="20">
        <f>IF(H$12=0,0,H83/H$12)</f>
        <v>1.8317600507771881</v>
      </c>
      <c r="K83" s="3"/>
      <c r="L83" s="3">
        <f>+D83-H83</f>
        <v>-3721.46</v>
      </c>
      <c r="M83" s="3"/>
      <c r="N83" s="20">
        <f>IF(H83=0,0,L83/H83)</f>
        <v>-0.54872603951636689</v>
      </c>
      <c r="O83" s="12"/>
      <c r="P83" s="3">
        <f>--18195.98</f>
        <v>18195.98</v>
      </c>
      <c r="Q83" s="3"/>
      <c r="R83" s="20">
        <f>IF(P$12=0,0,P83/P$12)</f>
        <v>9.331154557288894E-2</v>
      </c>
      <c r="S83" s="3"/>
      <c r="T83" s="3">
        <f>--67820</f>
        <v>67820</v>
      </c>
      <c r="U83" s="3"/>
      <c r="V83" s="20">
        <f>IF(T$12=0,0,T83/T$12)</f>
        <v>0.59129459513844596</v>
      </c>
      <c r="W83" s="3"/>
      <c r="X83" s="3">
        <f>+P83-T83</f>
        <v>-49624.020000000004</v>
      </c>
      <c r="Y83" s="3"/>
      <c r="Z83" s="20">
        <f>IF(T83=0,0,X83/T83)</f>
        <v>-0.73170185785903874</v>
      </c>
    </row>
    <row r="84" spans="1:26" s="69" customFormat="1" ht="15" hidden="1" customHeight="1" outlineLevel="1" x14ac:dyDescent="0.3">
      <c r="A84" s="42"/>
      <c r="B84" s="12" t="str">
        <f>CONCATENATE("          ","9163"," - ","MISC. INCOME")</f>
        <v xml:space="preserve">          9163 - MISC. INCOME</v>
      </c>
      <c r="C84" s="12"/>
      <c r="D84" s="3">
        <f>0</f>
        <v>0</v>
      </c>
      <c r="E84" s="3"/>
      <c r="F84" s="20">
        <f>IF(D$12=0,0,D84/D$12)</f>
        <v>0</v>
      </c>
      <c r="G84" s="3"/>
      <c r="H84" s="3">
        <f>0</f>
        <v>0</v>
      </c>
      <c r="I84" s="3"/>
      <c r="J84" s="20">
        <f>IF(H$12=0,0,H84/H$12)</f>
        <v>0</v>
      </c>
      <c r="K84" s="3"/>
      <c r="L84" s="3">
        <f>+D84-H84</f>
        <v>0</v>
      </c>
      <c r="M84" s="3"/>
      <c r="N84" s="20">
        <f>IF(H84=0,0,L84/H84)</f>
        <v>0</v>
      </c>
      <c r="O84" s="12"/>
      <c r="P84" s="3">
        <f>0</f>
        <v>0</v>
      </c>
      <c r="Q84" s="3"/>
      <c r="R84" s="20">
        <f>IF(P$12=0,0,P84/P$12)</f>
        <v>0</v>
      </c>
      <c r="S84" s="3"/>
      <c r="T84" s="3">
        <f>0</f>
        <v>0</v>
      </c>
      <c r="U84" s="3"/>
      <c r="V84" s="20">
        <f>IF(T$12=0,0,T84/T$12)</f>
        <v>0</v>
      </c>
      <c r="W84" s="3"/>
      <c r="X84" s="3">
        <f>+P84-T84</f>
        <v>0</v>
      </c>
      <c r="Y84" s="3"/>
      <c r="Z84" s="20">
        <f>IF(T84=0,0,X84/T84)</f>
        <v>0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291</v>
      </c>
      <c r="C86" s="28"/>
      <c r="D86" s="21">
        <f>+D32-D34+D82</f>
        <v>5044.1500000000005</v>
      </c>
      <c r="E86" s="15"/>
      <c r="F86" s="23">
        <f>IF(D$12=0,0,D86/D$12)</f>
        <v>0.16610175965816459</v>
      </c>
      <c r="G86" s="15"/>
      <c r="H86" s="21">
        <f>+H32-H34+H82</f>
        <v>-4810.41</v>
      </c>
      <c r="I86" s="15"/>
      <c r="J86" s="23">
        <f>IF(H$12=0,0,H86/H$12)</f>
        <v>-1.2992504962929952</v>
      </c>
      <c r="K86" s="16"/>
      <c r="L86" s="21">
        <f>+D86-H86</f>
        <v>9854.5600000000013</v>
      </c>
      <c r="M86" s="16"/>
      <c r="N86" s="23">
        <f>IF(H86=0,0,L86/H86)</f>
        <v>-2.0485904527888477</v>
      </c>
      <c r="O86" s="27"/>
      <c r="P86" s="21">
        <f>+P32-P34+P82</f>
        <v>-32081.699999999964</v>
      </c>
      <c r="Q86" s="15"/>
      <c r="R86" s="23">
        <f>IF(P$12=0,0,P86/P$12)</f>
        <v>-0.1645194714220255</v>
      </c>
      <c r="S86" s="15"/>
      <c r="T86" s="21">
        <f>+T32-T34+T82</f>
        <v>-90042.290000000095</v>
      </c>
      <c r="U86" s="15"/>
      <c r="V86" s="23">
        <f>IF(T$12=0,0,T86/T$12)</f>
        <v>-0.78504157196827773</v>
      </c>
      <c r="W86" s="16"/>
      <c r="X86" s="21">
        <f>+P86-T86</f>
        <v>57960.590000000127</v>
      </c>
      <c r="Y86" s="16"/>
      <c r="Z86" s="23">
        <f>IF(T86=0,0,X86/T86)</f>
        <v>-0.64370408615773844</v>
      </c>
    </row>
    <row r="87" spans="1:26" ht="15" customHeight="1" x14ac:dyDescent="0.3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48"/>
      <c r="B88" s="11" t="s">
        <v>292</v>
      </c>
      <c r="C88" s="11"/>
      <c r="D88" s="5">
        <v>2441.89</v>
      </c>
      <c r="E88" s="5"/>
      <c r="F88" s="13">
        <f>IF(D$12=0,0,D88/D$12)</f>
        <v>8.0410421159496731E-2</v>
      </c>
      <c r="G88" s="5"/>
      <c r="H88" s="5">
        <v>1120.05</v>
      </c>
      <c r="I88" s="5"/>
      <c r="J88" s="13">
        <f>IF(H$12=0,0,H88/H$12)</f>
        <v>0.3025159016327027</v>
      </c>
      <c r="K88" s="5"/>
      <c r="L88" s="5">
        <f>+D88-H88</f>
        <v>1321.84</v>
      </c>
      <c r="M88" s="5"/>
      <c r="N88" s="13">
        <f>IF(H88=0,0,L88/H88)</f>
        <v>1.1801615999285746</v>
      </c>
      <c r="O88" s="11"/>
      <c r="P88" s="5">
        <v>22090.63</v>
      </c>
      <c r="Q88" s="5"/>
      <c r="R88" s="13">
        <f>IF(P$12=0,0,P88/P$12)</f>
        <v>0.11328385874126196</v>
      </c>
      <c r="S88" s="5"/>
      <c r="T88" s="5">
        <v>23995.18</v>
      </c>
      <c r="U88" s="5"/>
      <c r="V88" s="13">
        <f>IF(T$12=0,0,T88/T$12)</f>
        <v>0.20920407318451983</v>
      </c>
      <c r="W88" s="5"/>
      <c r="X88" s="5">
        <f>+P88-T88</f>
        <v>-1904.5499999999993</v>
      </c>
      <c r="Y88" s="5"/>
      <c r="Z88" s="13">
        <f>IF(T88=0,0,X88/T88)</f>
        <v>-7.9372190581608437E-2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293</v>
      </c>
      <c r="C90" s="28"/>
      <c r="D90" s="34">
        <f>+D86-D88</f>
        <v>2602.2600000000007</v>
      </c>
      <c r="E90" s="15"/>
      <c r="F90" s="30">
        <f>IF(D$12=0,0,D90/D$12)</f>
        <v>8.5691338498667849E-2</v>
      </c>
      <c r="G90" s="15"/>
      <c r="H90" s="34">
        <f>+H86-H88</f>
        <v>-5930.46</v>
      </c>
      <c r="I90" s="15"/>
      <c r="J90" s="30">
        <f>IF(H$12=0,0,H90/H$12)</f>
        <v>-1.601766397925698</v>
      </c>
      <c r="K90" s="16"/>
      <c r="L90" s="34">
        <f>D90-H90</f>
        <v>8532.7200000000012</v>
      </c>
      <c r="M90" s="16"/>
      <c r="N90" s="30">
        <f>IF(H90=0,0,L90/H90)</f>
        <v>-1.4387956414848091</v>
      </c>
      <c r="O90" s="27"/>
      <c r="P90" s="34">
        <f>+P86-P88</f>
        <v>-54172.329999999965</v>
      </c>
      <c r="Q90" s="15"/>
      <c r="R90" s="30">
        <f>IF(P$12=0,0,P90/P$12)</f>
        <v>-0.27780333016328745</v>
      </c>
      <c r="S90" s="15"/>
      <c r="T90" s="34">
        <f>+T86-T88</f>
        <v>-114037.47000000009</v>
      </c>
      <c r="U90" s="15"/>
      <c r="V90" s="30">
        <f>IF(T$12=0,0,T90/T$12)</f>
        <v>-0.99424564515279756</v>
      </c>
      <c r="W90" s="16"/>
      <c r="X90" s="34">
        <f>P90-T90</f>
        <v>59865.140000000123</v>
      </c>
      <c r="Y90" s="16"/>
      <c r="Z90" s="30">
        <f>IF(T90=0,0,X90/T90)</f>
        <v>-0.52496026086864322</v>
      </c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2" customFormat="1" ht="15" customHeight="1" x14ac:dyDescent="0.3">
      <c r="A93" s="11"/>
      <c r="B93" s="28" t="s">
        <v>296</v>
      </c>
      <c r="C93" s="28"/>
      <c r="D93" s="29">
        <f>SUM(D90:D92)</f>
        <v>2602.2600000000007</v>
      </c>
      <c r="E93" s="15"/>
      <c r="F93" s="35">
        <f>IF(D$12=0,0,D93/D$12)</f>
        <v>8.5691338498667849E-2</v>
      </c>
      <c r="G93" s="15"/>
      <c r="H93" s="29">
        <f>SUM(H90:H92)</f>
        <v>-5930.46</v>
      </c>
      <c r="I93" s="15"/>
      <c r="J93" s="35">
        <f>IF(H$12=0,0,H93/H$12)</f>
        <v>-1.601766397925698</v>
      </c>
      <c r="K93" s="16"/>
      <c r="L93" s="29">
        <f>+D93-H93</f>
        <v>8532.7200000000012</v>
      </c>
      <c r="M93" s="16"/>
      <c r="N93" s="35">
        <f>IF(H93=0,0,L93/H93)</f>
        <v>-1.4387956414848091</v>
      </c>
      <c r="O93" s="27"/>
      <c r="P93" s="29">
        <f>SUM(P90:P92)</f>
        <v>-54172.329999999965</v>
      </c>
      <c r="Q93" s="15"/>
      <c r="R93" s="35">
        <f>IF(P$12=0,0,P93/P$12)</f>
        <v>-0.27780333016328745</v>
      </c>
      <c r="S93" s="15"/>
      <c r="T93" s="29">
        <f>SUM(T90:T92)</f>
        <v>-114037.47000000009</v>
      </c>
      <c r="U93" s="15"/>
      <c r="V93" s="35">
        <f>IF(T$12=0,0,T93/T$12)</f>
        <v>-0.99424564515279756</v>
      </c>
      <c r="W93" s="16"/>
      <c r="X93" s="29">
        <f>+P93-T93</f>
        <v>59865.140000000123</v>
      </c>
      <c r="Y93" s="16"/>
      <c r="Z93" s="35">
        <f>IF(T93=0,0,X93/T93)</f>
        <v>-0.52496026086864322</v>
      </c>
    </row>
    <row r="94" spans="1:26" ht="15" customHeight="1" x14ac:dyDescent="0.3">
      <c r="A94" s="10"/>
      <c r="C94" s="10"/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  <row r="95" spans="1:26" ht="15" customHeight="1" x14ac:dyDescent="0.3">
      <c r="A95" s="10"/>
      <c r="B95" s="56">
        <v>44694.890804861112</v>
      </c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3">
      <c r="A96" s="10"/>
      <c r="B96" s="52" t="s">
        <v>297</v>
      </c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  <row r="97" spans="1:24" ht="15" customHeight="1" x14ac:dyDescent="0.3">
      <c r="A97" s="10"/>
      <c r="B97" s="58"/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  <row r="98" spans="1:24" ht="15" customHeight="1" x14ac:dyDescent="0.3"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26525-63EB-3F0B-3F76-1E1EF22E987D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","316"," - ","Campus Copy Center")</f>
        <v>Department 316 - Campus Copy Center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30367.83</v>
      </c>
      <c r="E12" s="5"/>
      <c r="F12" s="13"/>
      <c r="G12" s="5"/>
      <c r="H12" s="5">
        <f>SUM(OSRRefH13x_0)</f>
        <v>3702.45</v>
      </c>
      <c r="I12" s="5"/>
      <c r="J12" s="13"/>
      <c r="K12" s="5"/>
      <c r="L12" s="5">
        <f t="shared" ref="L12:L25" si="0">+D12-H12</f>
        <v>26665.38</v>
      </c>
      <c r="M12" s="5"/>
      <c r="N12" s="13">
        <f t="shared" ref="N12:N25" si="1">IF(H12=0,0,L12/H12)</f>
        <v>7.2020905076368358</v>
      </c>
      <c r="O12" s="11"/>
      <c r="P12" s="5">
        <f>SUM(OSRRefP13x_0)</f>
        <v>195002.45000000004</v>
      </c>
      <c r="Q12" s="5"/>
      <c r="R12" s="13"/>
      <c r="S12" s="5"/>
      <c r="T12" s="5">
        <f>SUM(OSRRefT13x_0)</f>
        <v>114697.48</v>
      </c>
      <c r="U12" s="5"/>
      <c r="V12" s="13"/>
      <c r="W12" s="5"/>
      <c r="X12" s="5">
        <f t="shared" ref="X12:X25" si="2">+P12-T12</f>
        <v>80304.970000000045</v>
      </c>
      <c r="Y12" s="5"/>
      <c r="Z12" s="13">
        <f t="shared" ref="Z12:Z25" si="3">IF(T12=0,0,X12/T12)</f>
        <v>0.70014589684097717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--21804.84</f>
        <v>21804.84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21804.84</v>
      </c>
      <c r="M13" s="3"/>
      <c r="N13" s="20">
        <f t="shared" si="1"/>
        <v>0</v>
      </c>
      <c r="O13" s="12"/>
      <c r="P13" s="3">
        <f>--149910.67</f>
        <v>149910.67000000001</v>
      </c>
      <c r="Q13" s="3"/>
      <c r="R13" s="20"/>
      <c r="S13" s="3"/>
      <c r="T13" s="3">
        <f>-9.28</f>
        <v>-9.2799999999999994</v>
      </c>
      <c r="U13" s="3"/>
      <c r="V13" s="20"/>
      <c r="W13" s="3"/>
      <c r="X13" s="3">
        <f t="shared" si="2"/>
        <v>149919.95000000001</v>
      </c>
      <c r="Y13" s="3"/>
      <c r="Z13" s="20">
        <f t="shared" si="3"/>
        <v>-16155.167025862071</v>
      </c>
    </row>
    <row r="14" spans="1:26" s="69" customFormat="1" ht="15" hidden="1" customHeight="1" outlineLevel="1" x14ac:dyDescent="0.3">
      <c r="A14" s="42"/>
      <c r="B14" s="12" t="str">
        <f>CONCATENATE("          ","4041"," - ","TAXABLE SALES-LOGO GIFTS")</f>
        <v xml:space="preserve">          4041 - TAXABLE SALES-LOGO GIFTS</v>
      </c>
      <c r="C14" s="12"/>
      <c r="D14" s="3">
        <f>0</f>
        <v>0</v>
      </c>
      <c r="E14" s="3"/>
      <c r="F14" s="20"/>
      <c r="G14" s="3"/>
      <c r="H14" s="3">
        <f>--262.2</f>
        <v>262.2</v>
      </c>
      <c r="I14" s="3"/>
      <c r="J14" s="20"/>
      <c r="K14" s="3"/>
      <c r="L14" s="3">
        <f t="shared" si="0"/>
        <v>-262.2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--92920.17</f>
        <v>92920.17</v>
      </c>
      <c r="U14" s="3"/>
      <c r="V14" s="20"/>
      <c r="W14" s="3"/>
      <c r="X14" s="3">
        <f t="shared" si="2"/>
        <v>-92920.17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","4042"," - ","TAXABLE SALES-EVERYDAY GIFTS")</f>
        <v xml:space="preserve">          4042 - TAXABLE SALES-EVERYDAY GIFTS</v>
      </c>
      <c r="C15" s="12"/>
      <c r="D15" s="3">
        <f>0</f>
        <v>0</v>
      </c>
      <c r="E15" s="3"/>
      <c r="F15" s="20"/>
      <c r="G15" s="3"/>
      <c r="H15" s="3">
        <f>--1279.89</f>
        <v>1279.8900000000001</v>
      </c>
      <c r="I15" s="3"/>
      <c r="J15" s="20"/>
      <c r="K15" s="3"/>
      <c r="L15" s="3">
        <f t="shared" si="0"/>
        <v>-1279.8900000000001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--17099.84</f>
        <v>17099.84</v>
      </c>
      <c r="U15" s="3"/>
      <c r="V15" s="20"/>
      <c r="W15" s="3"/>
      <c r="X15" s="3">
        <f t="shared" si="2"/>
        <v>-17099.84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","4043"," - ","TAXABLE SALES-CARDS")</f>
        <v xml:space="preserve">          4043 - TAXABLE SALES-CARDS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--52.68</f>
        <v>52.68</v>
      </c>
      <c r="U16" s="3"/>
      <c r="V16" s="20"/>
      <c r="W16" s="3"/>
      <c r="X16" s="3">
        <f t="shared" si="2"/>
        <v>-52.68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","4095"," - ","TAXABLE SALES-CUSTOMER SERVICE")</f>
        <v xml:space="preserve">          4095 - TAXABLE SALES-CUSTOMER SERVICE</v>
      </c>
      <c r="C17" s="12"/>
      <c r="D17" s="3">
        <f>0</f>
        <v>0</v>
      </c>
      <c r="E17" s="3"/>
      <c r="F17" s="20"/>
      <c r="G17" s="3"/>
      <c r="H17" s="3">
        <f>--2119.46</f>
        <v>2119.46</v>
      </c>
      <c r="I17" s="3"/>
      <c r="J17" s="20"/>
      <c r="K17" s="3"/>
      <c r="L17" s="3">
        <f t="shared" si="0"/>
        <v>-2119.46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--3034.59</f>
        <v>3034.59</v>
      </c>
      <c r="U17" s="3"/>
      <c r="V17" s="20"/>
      <c r="W17" s="3"/>
      <c r="X17" s="3">
        <f t="shared" si="2"/>
        <v>-3034.59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--8945.27</f>
        <v>8945.27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8945.27</v>
      </c>
      <c r="M18" s="3"/>
      <c r="N18" s="20">
        <f t="shared" si="1"/>
        <v>0</v>
      </c>
      <c r="O18" s="12"/>
      <c r="P18" s="3">
        <f>--46162.8</f>
        <v>46162.8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46162.8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","4141"," - ","NON-TAXABLE SALES-LOGO GIFTS")</f>
        <v xml:space="preserve">          4141 - NON-TAXABLE SALES-LOGO GIFTS</v>
      </c>
      <c r="C19" s="12"/>
      <c r="D19" s="3">
        <f>0</f>
        <v>0</v>
      </c>
      <c r="E19" s="3"/>
      <c r="F19" s="20"/>
      <c r="G19" s="3"/>
      <c r="H19" s="3">
        <f>--0.6</f>
        <v>0.6</v>
      </c>
      <c r="I19" s="3"/>
      <c r="J19" s="20"/>
      <c r="K19" s="3"/>
      <c r="L19" s="3">
        <f t="shared" si="0"/>
        <v>-0.6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--1279.24</f>
        <v>1279.24</v>
      </c>
      <c r="U19" s="3"/>
      <c r="V19" s="20"/>
      <c r="W19" s="3"/>
      <c r="X19" s="3">
        <f t="shared" si="2"/>
        <v>-1279.24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","4142"," - ","NON-TAXABLE SALES-EVERYDAY GIF")</f>
        <v xml:space="preserve">          4142 - NON-TAXABLE SALES-EVERYDAY GIF</v>
      </c>
      <c r="C20" s="12"/>
      <c r="D20" s="3">
        <f>0</f>
        <v>0</v>
      </c>
      <c r="E20" s="3"/>
      <c r="F20" s="20"/>
      <c r="G20" s="3"/>
      <c r="H20" s="3">
        <f>--22.1</f>
        <v>22.1</v>
      </c>
      <c r="I20" s="3"/>
      <c r="J20" s="20"/>
      <c r="K20" s="3"/>
      <c r="L20" s="3">
        <f t="shared" si="0"/>
        <v>-22.1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--1132.69</f>
        <v>1132.69</v>
      </c>
      <c r="U20" s="3"/>
      <c r="V20" s="20"/>
      <c r="W20" s="3"/>
      <c r="X20" s="3">
        <f t="shared" si="2"/>
        <v>-1132.69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","4146"," - ","NON-TAXABLE SALES-COIN OP MACH")</f>
        <v xml:space="preserve">          4146 - NON-TAXABLE SALES-COIN OP MACH</v>
      </c>
      <c r="C21" s="12"/>
      <c r="D21" s="3">
        <f>0</f>
        <v>0</v>
      </c>
      <c r="E21" s="3"/>
      <c r="F21" s="20"/>
      <c r="G21" s="3"/>
      <c r="H21" s="3">
        <f>--30.2</f>
        <v>30.2</v>
      </c>
      <c r="I21" s="3"/>
      <c r="J21" s="20"/>
      <c r="K21" s="3"/>
      <c r="L21" s="3">
        <f t="shared" si="0"/>
        <v>-30.2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--329.3</f>
        <v>329.3</v>
      </c>
      <c r="U21" s="3"/>
      <c r="V21" s="20"/>
      <c r="W21" s="3"/>
      <c r="X21" s="3">
        <f t="shared" si="2"/>
        <v>-329.3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","4147"," - ","NON-TAXABLE SALES-MISC")</f>
        <v xml:space="preserve">          4147 - NON-TAXABLE SALES-MISC</v>
      </c>
      <c r="C22" s="12"/>
      <c r="D22" s="3">
        <f>0</f>
        <v>0</v>
      </c>
      <c r="E22" s="3"/>
      <c r="F22" s="20"/>
      <c r="G22" s="3"/>
      <c r="H22" s="3">
        <f>--11</f>
        <v>11</v>
      </c>
      <c r="I22" s="3"/>
      <c r="J22" s="20"/>
      <c r="K22" s="3"/>
      <c r="L22" s="3">
        <f t="shared" si="0"/>
        <v>-11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--154.5</f>
        <v>154.5</v>
      </c>
      <c r="U22" s="3"/>
      <c r="V22" s="20"/>
      <c r="W22" s="3"/>
      <c r="X22" s="3">
        <f t="shared" si="2"/>
        <v>-154.5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-382.28</f>
        <v>-382.28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-382.28</v>
      </c>
      <c r="M23" s="3"/>
      <c r="N23" s="20">
        <f t="shared" si="1"/>
        <v>0</v>
      </c>
      <c r="O23" s="12"/>
      <c r="P23" s="3">
        <f>-1071.02</f>
        <v>-1071.02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-1071.02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","4241"," - ","SALES RETURN TAXABLE-LOGO GIFT")</f>
        <v xml:space="preserve">          4241 - SALES RETURN TAXABLE-LOGO GIFT</v>
      </c>
      <c r="C24" s="12"/>
      <c r="D24" s="3">
        <f>0</f>
        <v>0</v>
      </c>
      <c r="E24" s="3"/>
      <c r="F24" s="20"/>
      <c r="G24" s="3"/>
      <c r="H24" s="3">
        <f>-23</f>
        <v>-23</v>
      </c>
      <c r="I24" s="3"/>
      <c r="J24" s="20"/>
      <c r="K24" s="3"/>
      <c r="L24" s="3">
        <f t="shared" si="0"/>
        <v>23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-1285.05</f>
        <v>-1285.05</v>
      </c>
      <c r="U24" s="3"/>
      <c r="V24" s="20"/>
      <c r="W24" s="3"/>
      <c r="X24" s="3">
        <f t="shared" si="2"/>
        <v>1285.05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","4341"," - ","SALES RETURN NON TAXABLE-LOGO")</f>
        <v xml:space="preserve">          4341 - SALES RETURN NON TAXABLE-LOGO</v>
      </c>
      <c r="C25" s="12"/>
      <c r="D25" s="3">
        <f>0</f>
        <v>0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0</v>
      </c>
      <c r="M25" s="3"/>
      <c r="N25" s="20">
        <f t="shared" si="1"/>
        <v>0</v>
      </c>
      <c r="O25" s="12"/>
      <c r="P25" s="3">
        <f>0</f>
        <v>0</v>
      </c>
      <c r="Q25" s="3"/>
      <c r="R25" s="20"/>
      <c r="S25" s="3"/>
      <c r="T25" s="3">
        <f>-11.2</f>
        <v>-11.2</v>
      </c>
      <c r="U25" s="3"/>
      <c r="V25" s="20"/>
      <c r="W25" s="3"/>
      <c r="X25" s="3">
        <f t="shared" si="2"/>
        <v>11.2</v>
      </c>
      <c r="Y25" s="3"/>
      <c r="Z25" s="20">
        <f t="shared" si="3"/>
        <v>-1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collapsed="1" x14ac:dyDescent="0.3">
      <c r="A27" s="11"/>
      <c r="B27" s="27" t="s">
        <v>287</v>
      </c>
      <c r="C27" s="11"/>
      <c r="D27" s="5">
        <f>SUM(OSRRefD16x_0)</f>
        <v>0</v>
      </c>
      <c r="E27" s="5"/>
      <c r="F27" s="13">
        <f>IF(D$12=0,0,D27/D$12)</f>
        <v>0</v>
      </c>
      <c r="G27" s="5"/>
      <c r="H27" s="5">
        <f>SUM(OSRRefH16x_0)</f>
        <v>0</v>
      </c>
      <c r="I27" s="5"/>
      <c r="J27" s="13">
        <f>IF(H$12=0,0,H27/H$12)</f>
        <v>0</v>
      </c>
      <c r="K27" s="5"/>
      <c r="L27" s="5">
        <f>+D27-H27</f>
        <v>0</v>
      </c>
      <c r="M27" s="5"/>
      <c r="N27" s="13">
        <f>IF(H27=0,0,L27/H27)</f>
        <v>0</v>
      </c>
      <c r="O27" s="11"/>
      <c r="P27" s="5">
        <f>SUM(OSRRefP16x_0)</f>
        <v>8.26</v>
      </c>
      <c r="Q27" s="5"/>
      <c r="R27" s="13">
        <f>IF(P$12=0,0,P27/P$12)</f>
        <v>4.2358442163162553E-5</v>
      </c>
      <c r="S27" s="5"/>
      <c r="T27" s="5">
        <f>SUM(OSRRefT16x_0)</f>
        <v>0</v>
      </c>
      <c r="U27" s="5"/>
      <c r="V27" s="13">
        <f>IF(T$12=0,0,T27/T$12)</f>
        <v>0</v>
      </c>
      <c r="W27" s="5"/>
      <c r="X27" s="5">
        <f>+P27-T27</f>
        <v>8.26</v>
      </c>
      <c r="Y27" s="5"/>
      <c r="Z27" s="13">
        <f>IF(T27=0,0,X27/T27)</f>
        <v>0</v>
      </c>
    </row>
    <row r="28" spans="1:26" s="69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>IF(D$12=0,0,D28/D$12)</f>
        <v>0</v>
      </c>
      <c r="G28" s="3"/>
      <c r="H28" s="3"/>
      <c r="I28" s="3"/>
      <c r="J28" s="20">
        <f>IF(H$12=0,0,H28/H$12)</f>
        <v>0</v>
      </c>
      <c r="K28" s="3"/>
      <c r="L28" s="3">
        <f>+D28-H28</f>
        <v>0</v>
      </c>
      <c r="M28" s="3"/>
      <c r="N28" s="20">
        <f>IF(H28=0,0,L28/H28)</f>
        <v>0</v>
      </c>
      <c r="O28" s="12"/>
      <c r="P28" s="3">
        <v>8.26</v>
      </c>
      <c r="Q28" s="3"/>
      <c r="R28" s="20">
        <f>IF(P$12=0,0,P28/P$12)</f>
        <v>4.2358442163162553E-5</v>
      </c>
      <c r="S28" s="3"/>
      <c r="T28" s="3"/>
      <c r="U28" s="3"/>
      <c r="V28" s="20">
        <f>IF(T$12=0,0,T28/T$12)</f>
        <v>0</v>
      </c>
      <c r="W28" s="3"/>
      <c r="X28" s="3">
        <f>+P28-T28</f>
        <v>8.26</v>
      </c>
      <c r="Y28" s="3"/>
      <c r="Z28" s="20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288</v>
      </c>
      <c r="C30" s="28"/>
      <c r="D30" s="21">
        <f>D12-D27</f>
        <v>30367.83</v>
      </c>
      <c r="E30" s="15"/>
      <c r="F30" s="23">
        <f>IF(D$12=0,0,D30/D$12)</f>
        <v>1</v>
      </c>
      <c r="G30" s="15"/>
      <c r="H30" s="21">
        <f>H12-H27</f>
        <v>3702.45</v>
      </c>
      <c r="I30" s="15"/>
      <c r="J30" s="23">
        <f>IF(H$12=0,0,H30/H$12)</f>
        <v>1</v>
      </c>
      <c r="K30" s="16"/>
      <c r="L30" s="21">
        <f>+D30-H30</f>
        <v>26665.38</v>
      </c>
      <c r="M30" s="16"/>
      <c r="N30" s="23">
        <f>IF(H30=0,0,L30/H30)</f>
        <v>7.2020905076368358</v>
      </c>
      <c r="O30" s="27"/>
      <c r="P30" s="21">
        <f>P12-P27</f>
        <v>194994.19000000003</v>
      </c>
      <c r="Q30" s="15"/>
      <c r="R30" s="23">
        <f>IF(P$12=0,0,P30/P$12)</f>
        <v>0.99995764155783684</v>
      </c>
      <c r="S30" s="15"/>
      <c r="T30" s="21">
        <f>T12-T27</f>
        <v>114697.48</v>
      </c>
      <c r="U30" s="15"/>
      <c r="V30" s="23">
        <f>IF(T$12=0,0,T30/T$12)</f>
        <v>1</v>
      </c>
      <c r="W30" s="16"/>
      <c r="X30" s="21">
        <f>+P30-T30</f>
        <v>80296.710000000036</v>
      </c>
      <c r="Y30" s="16"/>
      <c r="Z30" s="23">
        <f>IF(T30=0,0,X30/T30)</f>
        <v>0.7000738813093369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7" t="s">
        <v>289</v>
      </c>
      <c r="C32" s="11"/>
      <c r="D32" s="22" cm="1">
        <f t="array" ref="D32">SUM(OSRRefD22x_0)</f>
        <v>28384.22</v>
      </c>
      <c r="E32" s="22"/>
      <c r="F32" s="32">
        <f t="shared" ref="F32:F78" si="4">IF(D$12=0,0,D32/D$12)</f>
        <v>0.93468054846197435</v>
      </c>
      <c r="G32" s="22"/>
      <c r="H32" s="22" cm="1">
        <f t="array" ref="H32">SUM(OSRRefH22x_0)</f>
        <v>15294.86</v>
      </c>
      <c r="I32" s="22"/>
      <c r="J32" s="32">
        <f t="shared" ref="J32:J78" si="5">IF(H$12=0,0,H32/H$12)</f>
        <v>4.1310105470701837</v>
      </c>
      <c r="K32" s="5"/>
      <c r="L32" s="22">
        <f t="shared" ref="L32:L78" si="6">+D32-H32</f>
        <v>13089.36</v>
      </c>
      <c r="M32" s="5"/>
      <c r="N32" s="32">
        <f t="shared" ref="N32:N78" si="7">IF(H32=0,0,L32/H32)</f>
        <v>0.85580122995568442</v>
      </c>
      <c r="O32" s="11"/>
      <c r="P32" s="22" cm="1">
        <f t="array" ref="P32">SUM(OSRRefP22x_0)</f>
        <v>245271.87</v>
      </c>
      <c r="Q32" s="22"/>
      <c r="R32" s="32">
        <f t="shared" ref="R32:R78" si="8">IF(P$12=0,0,P32/P$12)</f>
        <v>1.2577886585527511</v>
      </c>
      <c r="S32" s="22"/>
      <c r="T32" s="22" cm="1">
        <f t="array" ref="T32">SUM(OSRRefT22x_0)</f>
        <v>272559.77000000008</v>
      </c>
      <c r="U32" s="22"/>
      <c r="V32" s="32">
        <f t="shared" ref="V32:V78" si="9">IF(T$12=0,0,T32/T$12)</f>
        <v>2.3763361671067238</v>
      </c>
      <c r="W32" s="5"/>
      <c r="X32" s="22">
        <f t="shared" ref="X32:X78" si="10">+P32-T32</f>
        <v>-27287.900000000081</v>
      </c>
      <c r="Y32" s="5"/>
      <c r="Z32" s="32">
        <f t="shared" ref="Z32:Z78" si="11">IF(T32=0,0,X32/T32)</f>
        <v>-0.10011712293417357</v>
      </c>
    </row>
    <row r="33" spans="1:26" s="68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5692.91</v>
      </c>
      <c r="E33" s="2"/>
      <c r="F33" s="6">
        <f t="shared" si="4"/>
        <v>0.1874651563842395</v>
      </c>
      <c r="G33" s="2"/>
      <c r="H33" s="2">
        <f>SUM(OSRRefH22_0x_0)</f>
        <v>10512.210000000001</v>
      </c>
      <c r="I33" s="2"/>
      <c r="J33" s="6">
        <f t="shared" si="5"/>
        <v>2.839257788761496</v>
      </c>
      <c r="K33" s="2"/>
      <c r="L33" s="2">
        <f t="shared" si="6"/>
        <v>-4819.3000000000011</v>
      </c>
      <c r="M33" s="2"/>
      <c r="N33" s="6">
        <f t="shared" si="7"/>
        <v>-0.45844784303205516</v>
      </c>
      <c r="O33" s="14"/>
      <c r="P33" s="2">
        <f>SUM(OSRRefP22_0x_0)</f>
        <v>72861.66</v>
      </c>
      <c r="Q33" s="2"/>
      <c r="R33" s="6">
        <f t="shared" si="8"/>
        <v>0.37364484394939645</v>
      </c>
      <c r="S33" s="2"/>
      <c r="T33" s="2">
        <f>SUM(OSRRefT22_0x_0)</f>
        <v>94898.33</v>
      </c>
      <c r="U33" s="2"/>
      <c r="V33" s="6">
        <f t="shared" si="9"/>
        <v>0.82737938095937247</v>
      </c>
      <c r="W33" s="2"/>
      <c r="X33" s="2">
        <f t="shared" si="10"/>
        <v>-22036.67</v>
      </c>
      <c r="Y33" s="2"/>
      <c r="Z33" s="6">
        <f t="shared" si="11"/>
        <v>-0.23221346466265527</v>
      </c>
    </row>
    <row r="34" spans="1:26" s="69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8">
        <v>1011.55</v>
      </c>
      <c r="E34" s="3"/>
      <c r="F34" s="7">
        <f t="shared" si="4"/>
        <v>3.3309920399317301E-2</v>
      </c>
      <c r="G34" s="3"/>
      <c r="H34" s="8">
        <v>1823.33</v>
      </c>
      <c r="I34" s="3"/>
      <c r="J34" s="7">
        <f t="shared" si="5"/>
        <v>0.49246579967318937</v>
      </c>
      <c r="K34" s="3"/>
      <c r="L34" s="8">
        <f t="shared" si="6"/>
        <v>-811.78</v>
      </c>
      <c r="M34" s="3"/>
      <c r="N34" s="7">
        <f t="shared" si="7"/>
        <v>-0.4452183642017627</v>
      </c>
      <c r="O34" s="12"/>
      <c r="P34" s="8">
        <v>12192.74</v>
      </c>
      <c r="Q34" s="3"/>
      <c r="R34" s="7">
        <f t="shared" si="8"/>
        <v>6.2526086210711693E-2</v>
      </c>
      <c r="S34" s="3"/>
      <c r="T34" s="8">
        <v>13291.02</v>
      </c>
      <c r="U34" s="3"/>
      <c r="V34" s="7">
        <f t="shared" si="9"/>
        <v>0.1158789190486138</v>
      </c>
      <c r="W34" s="3"/>
      <c r="X34" s="8">
        <f t="shared" si="10"/>
        <v>-1098.2800000000007</v>
      </c>
      <c r="Y34" s="3"/>
      <c r="Z34" s="7">
        <f t="shared" si="11"/>
        <v>-8.263323657627486E-2</v>
      </c>
    </row>
    <row r="35" spans="1:26" s="69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8">
        <v>180.65</v>
      </c>
      <c r="E35" s="3"/>
      <c r="F35" s="7">
        <f t="shared" si="4"/>
        <v>5.9487292967591032E-3</v>
      </c>
      <c r="G35" s="3"/>
      <c r="H35" s="8">
        <v>306.89</v>
      </c>
      <c r="I35" s="3"/>
      <c r="J35" s="7">
        <f t="shared" si="5"/>
        <v>8.2888357709084523E-2</v>
      </c>
      <c r="K35" s="3"/>
      <c r="L35" s="8">
        <f t="shared" si="6"/>
        <v>-126.23999999999998</v>
      </c>
      <c r="M35" s="3"/>
      <c r="N35" s="7">
        <f t="shared" si="7"/>
        <v>-0.41135260190947892</v>
      </c>
      <c r="O35" s="12"/>
      <c r="P35" s="8">
        <v>2715.78</v>
      </c>
      <c r="Q35" s="3"/>
      <c r="R35" s="7">
        <f t="shared" si="8"/>
        <v>1.3926901944052496E-2</v>
      </c>
      <c r="S35" s="3"/>
      <c r="T35" s="8">
        <v>3337.15</v>
      </c>
      <c r="U35" s="3"/>
      <c r="V35" s="7">
        <f t="shared" si="9"/>
        <v>2.9095233827281995E-2</v>
      </c>
      <c r="W35" s="3"/>
      <c r="X35" s="8">
        <f t="shared" si="10"/>
        <v>-621.36999999999989</v>
      </c>
      <c r="Y35" s="3"/>
      <c r="Z35" s="7">
        <f t="shared" si="11"/>
        <v>-0.18619780351497531</v>
      </c>
    </row>
    <row r="36" spans="1:26" s="69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8">
        <v>1287</v>
      </c>
      <c r="E36" s="3"/>
      <c r="F36" s="7">
        <f t="shared" si="4"/>
        <v>4.2380374231547002E-2</v>
      </c>
      <c r="G36" s="3"/>
      <c r="H36" s="8">
        <v>3421.48</v>
      </c>
      <c r="I36" s="3"/>
      <c r="J36" s="7">
        <f t="shared" si="5"/>
        <v>0.92411241205147943</v>
      </c>
      <c r="K36" s="3"/>
      <c r="L36" s="8">
        <f t="shared" si="6"/>
        <v>-2134.48</v>
      </c>
      <c r="M36" s="3"/>
      <c r="N36" s="7">
        <f t="shared" si="7"/>
        <v>-0.62384699019137912</v>
      </c>
      <c r="O36" s="12"/>
      <c r="P36" s="8">
        <v>23034.02</v>
      </c>
      <c r="Q36" s="3"/>
      <c r="R36" s="7">
        <f t="shared" si="8"/>
        <v>0.11812169539408349</v>
      </c>
      <c r="S36" s="3"/>
      <c r="T36" s="8">
        <v>36057.25</v>
      </c>
      <c r="U36" s="3"/>
      <c r="V36" s="7">
        <f t="shared" si="9"/>
        <v>0.31436828429011693</v>
      </c>
      <c r="W36" s="3"/>
      <c r="X36" s="8">
        <f t="shared" si="10"/>
        <v>-13023.23</v>
      </c>
      <c r="Y36" s="3"/>
      <c r="Z36" s="7">
        <f t="shared" si="11"/>
        <v>-0.36118200916597909</v>
      </c>
    </row>
    <row r="37" spans="1:26" s="69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8">
        <v>31.74</v>
      </c>
      <c r="E37" s="3"/>
      <c r="F37" s="7">
        <f t="shared" si="4"/>
        <v>1.0451849868759143E-3</v>
      </c>
      <c r="G37" s="3"/>
      <c r="H37" s="8">
        <v>43.13</v>
      </c>
      <c r="I37" s="3"/>
      <c r="J37" s="7">
        <f t="shared" si="5"/>
        <v>1.1649043201123581E-2</v>
      </c>
      <c r="K37" s="3"/>
      <c r="L37" s="8">
        <f t="shared" si="6"/>
        <v>-11.390000000000004</v>
      </c>
      <c r="M37" s="3"/>
      <c r="N37" s="7">
        <f t="shared" si="7"/>
        <v>-0.26408532344076058</v>
      </c>
      <c r="O37" s="12"/>
      <c r="P37" s="8">
        <v>477.1</v>
      </c>
      <c r="Q37" s="3"/>
      <c r="R37" s="7">
        <f t="shared" si="8"/>
        <v>2.446635926881944E-3</v>
      </c>
      <c r="S37" s="3"/>
      <c r="T37" s="8">
        <v>468.99</v>
      </c>
      <c r="U37" s="3"/>
      <c r="V37" s="7">
        <f t="shared" si="9"/>
        <v>4.088930288616629E-3</v>
      </c>
      <c r="W37" s="3"/>
      <c r="X37" s="8">
        <f t="shared" si="10"/>
        <v>8.1100000000000136</v>
      </c>
      <c r="Y37" s="3"/>
      <c r="Z37" s="7">
        <f t="shared" si="11"/>
        <v>1.7292479583786463E-2</v>
      </c>
    </row>
    <row r="38" spans="1:26" s="69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8">
        <v>1140.55</v>
      </c>
      <c r="E38" s="3"/>
      <c r="F38" s="7">
        <f t="shared" si="4"/>
        <v>3.7557836697584251E-2</v>
      </c>
      <c r="G38" s="3"/>
      <c r="H38" s="8">
        <v>1596.69</v>
      </c>
      <c r="I38" s="3"/>
      <c r="J38" s="7">
        <f t="shared" si="5"/>
        <v>0.43125227889640649</v>
      </c>
      <c r="K38" s="3"/>
      <c r="L38" s="8">
        <f t="shared" si="6"/>
        <v>-456.1400000000001</v>
      </c>
      <c r="M38" s="3"/>
      <c r="N38" s="7">
        <f t="shared" si="7"/>
        <v>-0.28567849739147866</v>
      </c>
      <c r="O38" s="12"/>
      <c r="P38" s="8">
        <v>15225.87</v>
      </c>
      <c r="Q38" s="3"/>
      <c r="R38" s="7">
        <f t="shared" si="8"/>
        <v>7.8080403605185464E-2</v>
      </c>
      <c r="S38" s="3"/>
      <c r="T38" s="8">
        <v>17311.48</v>
      </c>
      <c r="U38" s="3"/>
      <c r="V38" s="7">
        <f t="shared" si="9"/>
        <v>0.15093165080871873</v>
      </c>
      <c r="W38" s="3"/>
      <c r="X38" s="8">
        <f t="shared" si="10"/>
        <v>-2085.6099999999988</v>
      </c>
      <c r="Y38" s="3"/>
      <c r="Z38" s="7">
        <f t="shared" si="11"/>
        <v>-0.1204755457072416</v>
      </c>
    </row>
    <row r="39" spans="1:26" s="69" customFormat="1" ht="15" hidden="1" customHeight="1" outlineLevel="2" x14ac:dyDescent="0.3">
      <c r="A39" s="26"/>
      <c r="B39" s="12" t="str">
        <f>CONCATENATE("          ","6118"," - ","VACATION")</f>
        <v xml:space="preserve">          6118 - VACATION</v>
      </c>
      <c r="C39" s="12"/>
      <c r="D39" s="8">
        <v>976.7</v>
      </c>
      <c r="E39" s="3"/>
      <c r="F39" s="7">
        <f t="shared" si="4"/>
        <v>3.216232440711108E-2</v>
      </c>
      <c r="G39" s="3"/>
      <c r="H39" s="8">
        <v>1824.15</v>
      </c>
      <c r="I39" s="3"/>
      <c r="J39" s="7">
        <f t="shared" si="5"/>
        <v>0.49268727464246653</v>
      </c>
      <c r="K39" s="3"/>
      <c r="L39" s="8">
        <f t="shared" si="6"/>
        <v>-847.45</v>
      </c>
      <c r="M39" s="3"/>
      <c r="N39" s="7">
        <f t="shared" si="7"/>
        <v>-0.46457254063536441</v>
      </c>
      <c r="O39" s="12"/>
      <c r="P39" s="8">
        <v>8501.89</v>
      </c>
      <c r="Q39" s="3"/>
      <c r="R39" s="7">
        <f t="shared" si="8"/>
        <v>4.359888811653391E-2</v>
      </c>
      <c r="S39" s="3"/>
      <c r="T39" s="8">
        <v>13139.88</v>
      </c>
      <c r="U39" s="3"/>
      <c r="V39" s="7">
        <f t="shared" si="9"/>
        <v>0.11456119175416932</v>
      </c>
      <c r="W39" s="3"/>
      <c r="X39" s="8">
        <f t="shared" si="10"/>
        <v>-4637.99</v>
      </c>
      <c r="Y39" s="3"/>
      <c r="Z39" s="7">
        <f t="shared" si="11"/>
        <v>-0.35297049896954918</v>
      </c>
    </row>
    <row r="40" spans="1:26" s="69" customFormat="1" ht="15" hidden="1" customHeight="1" outlineLevel="2" x14ac:dyDescent="0.3">
      <c r="A40" s="26"/>
      <c r="B40" s="12" t="str">
        <f>CONCATENATE("          ","6119"," - ","SICK LEAVE")</f>
        <v xml:space="preserve">          6119 - SICK LEAVE</v>
      </c>
      <c r="C40" s="12"/>
      <c r="D40" s="8">
        <v>616.59</v>
      </c>
      <c r="E40" s="3"/>
      <c r="F40" s="7">
        <f t="shared" si="4"/>
        <v>2.0304052018204791E-2</v>
      </c>
      <c r="G40" s="3"/>
      <c r="H40" s="8">
        <v>1107.75</v>
      </c>
      <c r="I40" s="3"/>
      <c r="J40" s="7">
        <f t="shared" si="5"/>
        <v>0.29919377709354616</v>
      </c>
      <c r="K40" s="3"/>
      <c r="L40" s="8">
        <f t="shared" si="6"/>
        <v>-491.15999999999997</v>
      </c>
      <c r="M40" s="3"/>
      <c r="N40" s="7">
        <f t="shared" si="7"/>
        <v>-0.44338524035206495</v>
      </c>
      <c r="O40" s="12"/>
      <c r="P40" s="8">
        <v>6403.37</v>
      </c>
      <c r="Q40" s="3"/>
      <c r="R40" s="7">
        <f t="shared" si="8"/>
        <v>3.2837382299555719E-2</v>
      </c>
      <c r="S40" s="3"/>
      <c r="T40" s="8">
        <v>8017.52</v>
      </c>
      <c r="U40" s="3"/>
      <c r="V40" s="7">
        <f t="shared" si="9"/>
        <v>6.9901448575853634E-2</v>
      </c>
      <c r="W40" s="3"/>
      <c r="X40" s="8">
        <f t="shared" si="10"/>
        <v>-1614.1500000000005</v>
      </c>
      <c r="Y40" s="3"/>
      <c r="Z40" s="7">
        <f t="shared" si="11"/>
        <v>-0.20132784202596321</v>
      </c>
    </row>
    <row r="41" spans="1:26" s="69" customFormat="1" ht="15" hidden="1" customHeight="1" outlineLevel="2" x14ac:dyDescent="0.3">
      <c r="A41" s="26"/>
      <c r="B41" s="12" t="str">
        <f>CONCATENATE("          ","6156"," - ","EMPLOYEE MEALS")</f>
        <v xml:space="preserve">          6156 - EMPLOYEE MEALS</v>
      </c>
      <c r="C41" s="12"/>
      <c r="D41" s="8">
        <v>448.13</v>
      </c>
      <c r="E41" s="3"/>
      <c r="F41" s="7">
        <f t="shared" si="4"/>
        <v>1.4756734346840059E-2</v>
      </c>
      <c r="G41" s="3"/>
      <c r="H41" s="8">
        <v>388.79</v>
      </c>
      <c r="I41" s="3"/>
      <c r="J41" s="7">
        <f t="shared" si="5"/>
        <v>0.1050088454941998</v>
      </c>
      <c r="K41" s="3"/>
      <c r="L41" s="8">
        <f t="shared" si="6"/>
        <v>59.339999999999975</v>
      </c>
      <c r="M41" s="3"/>
      <c r="N41" s="7">
        <f t="shared" si="7"/>
        <v>0.15262738239152235</v>
      </c>
      <c r="O41" s="12"/>
      <c r="P41" s="8">
        <v>4310.8900000000003</v>
      </c>
      <c r="Q41" s="3"/>
      <c r="R41" s="7">
        <f t="shared" si="8"/>
        <v>2.210685045239175E-2</v>
      </c>
      <c r="S41" s="3"/>
      <c r="T41" s="8">
        <v>3275.04</v>
      </c>
      <c r="U41" s="3"/>
      <c r="V41" s="7">
        <f t="shared" si="9"/>
        <v>2.8553722366001417E-2</v>
      </c>
      <c r="W41" s="3"/>
      <c r="X41" s="8">
        <f t="shared" si="10"/>
        <v>1035.8500000000004</v>
      </c>
      <c r="Y41" s="3"/>
      <c r="Z41" s="7">
        <f t="shared" si="11"/>
        <v>0.31628621329815831</v>
      </c>
    </row>
    <row r="42" spans="1:26" s="68" customFormat="1" ht="15" customHeight="1" outlineLevel="1" collapsed="1" x14ac:dyDescent="0.3">
      <c r="A42" s="25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14795.57</v>
      </c>
      <c r="E42" s="2"/>
      <c r="F42" s="6">
        <f t="shared" si="4"/>
        <v>0.48721196081511253</v>
      </c>
      <c r="G42" s="2"/>
      <c r="H42" s="2">
        <f>SUM(OSRRefH22_1x_0)</f>
        <v>16035.06</v>
      </c>
      <c r="I42" s="2"/>
      <c r="J42" s="6">
        <f t="shared" si="5"/>
        <v>4.3309322205566589</v>
      </c>
      <c r="K42" s="2"/>
      <c r="L42" s="2">
        <f t="shared" si="6"/>
        <v>-1239.4899999999998</v>
      </c>
      <c r="M42" s="2"/>
      <c r="N42" s="6">
        <f t="shared" si="7"/>
        <v>-7.7298744126931843E-2</v>
      </c>
      <c r="O42" s="14"/>
      <c r="P42" s="2">
        <f>SUM(OSRRefP22_1x_0)</f>
        <v>141656.26</v>
      </c>
      <c r="Q42" s="2"/>
      <c r="R42" s="6">
        <f t="shared" si="8"/>
        <v>0.72643323199272614</v>
      </c>
      <c r="S42" s="2"/>
      <c r="T42" s="2">
        <f>SUM(OSRRefT22_1x_0)</f>
        <v>154853.63</v>
      </c>
      <c r="U42" s="2"/>
      <c r="V42" s="6">
        <f t="shared" si="9"/>
        <v>1.3501049020431837</v>
      </c>
      <c r="W42" s="2"/>
      <c r="X42" s="2">
        <f t="shared" si="10"/>
        <v>-13197.369999999995</v>
      </c>
      <c r="Y42" s="2"/>
      <c r="Z42" s="6">
        <f t="shared" si="11"/>
        <v>-8.5224802285874701E-2</v>
      </c>
    </row>
    <row r="43" spans="1:26" s="69" customFormat="1" ht="15" hidden="1" customHeight="1" outlineLevel="2" x14ac:dyDescent="0.3">
      <c r="A43" s="26"/>
      <c r="B43" s="12" t="str">
        <f>CONCATENATE("          ","6002"," - ","STAFF SALARIES")</f>
        <v xml:space="preserve">          6002 - STAFF SALARIES</v>
      </c>
      <c r="C43" s="12"/>
      <c r="D43" s="8">
        <v>10626.39</v>
      </c>
      <c r="E43" s="3"/>
      <c r="F43" s="7">
        <f t="shared" si="4"/>
        <v>0.34992259901349548</v>
      </c>
      <c r="G43" s="3"/>
      <c r="H43" s="8">
        <v>15385.34</v>
      </c>
      <c r="I43" s="3"/>
      <c r="J43" s="7">
        <f t="shared" si="5"/>
        <v>4.1554484192899297</v>
      </c>
      <c r="K43" s="3"/>
      <c r="L43" s="8">
        <f t="shared" si="6"/>
        <v>-4758.9500000000007</v>
      </c>
      <c r="M43" s="3"/>
      <c r="N43" s="7">
        <f t="shared" si="7"/>
        <v>-0.3093171811607674</v>
      </c>
      <c r="O43" s="12"/>
      <c r="P43" s="8">
        <v>113663.81</v>
      </c>
      <c r="Q43" s="3"/>
      <c r="R43" s="7">
        <f t="shared" si="8"/>
        <v>0.58288400991884959</v>
      </c>
      <c r="S43" s="3"/>
      <c r="T43" s="8">
        <v>147857.13</v>
      </c>
      <c r="U43" s="3"/>
      <c r="V43" s="7">
        <f t="shared" si="9"/>
        <v>1.2891053055394068</v>
      </c>
      <c r="W43" s="3"/>
      <c r="X43" s="8">
        <f t="shared" si="10"/>
        <v>-34193.320000000007</v>
      </c>
      <c r="Y43" s="3"/>
      <c r="Z43" s="7">
        <f t="shared" si="11"/>
        <v>-0.23125918919162036</v>
      </c>
    </row>
    <row r="44" spans="1:26" s="69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/>
      <c r="E44" s="3"/>
      <c r="F44" s="7">
        <f t="shared" si="4"/>
        <v>0</v>
      </c>
      <c r="G44" s="3"/>
      <c r="H44" s="8"/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383.25</v>
      </c>
      <c r="U44" s="3"/>
      <c r="V44" s="7">
        <f t="shared" si="9"/>
        <v>3.3413986078857181E-3</v>
      </c>
      <c r="W44" s="3"/>
      <c r="X44" s="8">
        <f t="shared" si="10"/>
        <v>-383.25</v>
      </c>
      <c r="Y44" s="3"/>
      <c r="Z44" s="7">
        <f t="shared" si="11"/>
        <v>-1</v>
      </c>
    </row>
    <row r="45" spans="1:26" s="69" customFormat="1" ht="15" hidden="1" customHeight="1" outlineLevel="2" x14ac:dyDescent="0.3">
      <c r="A45" s="26"/>
      <c r="B45" s="12" t="str">
        <f>CONCATENATE("          ","6007"," - ","STUDENT HOURLY")</f>
        <v xml:space="preserve">          6007 - STUDENT HOURLY</v>
      </c>
      <c r="C45" s="12"/>
      <c r="D45" s="8">
        <v>3416.93</v>
      </c>
      <c r="E45" s="3"/>
      <c r="F45" s="7">
        <f t="shared" si="4"/>
        <v>0.11251808245765337</v>
      </c>
      <c r="G45" s="3"/>
      <c r="H45" s="8">
        <v>649.72</v>
      </c>
      <c r="I45" s="3"/>
      <c r="J45" s="7">
        <f t="shared" si="5"/>
        <v>0.1754838012667288</v>
      </c>
      <c r="K45" s="3"/>
      <c r="L45" s="8">
        <f t="shared" si="6"/>
        <v>2767.21</v>
      </c>
      <c r="M45" s="3"/>
      <c r="N45" s="7">
        <f t="shared" si="7"/>
        <v>4.2590808348211535</v>
      </c>
      <c r="O45" s="12"/>
      <c r="P45" s="8">
        <v>27240.2</v>
      </c>
      <c r="Q45" s="3"/>
      <c r="R45" s="7">
        <f t="shared" si="8"/>
        <v>0.13969157823401704</v>
      </c>
      <c r="S45" s="3"/>
      <c r="T45" s="8">
        <v>6613.25</v>
      </c>
      <c r="U45" s="3"/>
      <c r="V45" s="7">
        <f t="shared" si="9"/>
        <v>5.7658197895891002E-2</v>
      </c>
      <c r="W45" s="3"/>
      <c r="X45" s="8">
        <f t="shared" si="10"/>
        <v>20626.95</v>
      </c>
      <c r="Y45" s="3"/>
      <c r="Z45" s="7">
        <f t="shared" si="11"/>
        <v>3.119033757985862</v>
      </c>
    </row>
    <row r="46" spans="1:26" s="69" customFormat="1" ht="15" hidden="1" customHeight="1" outlineLevel="2" x14ac:dyDescent="0.3">
      <c r="A46" s="26"/>
      <c r="B46" s="12" t="str">
        <f>CONCATENATE("          ","6008"," - ","STUDENT HOURLY-FICA EXEMPT")</f>
        <v xml:space="preserve">          6008 - STUDENT HOURLY-FICA EXEMPT</v>
      </c>
      <c r="C46" s="12"/>
      <c r="D46" s="8">
        <v>752.25</v>
      </c>
      <c r="E46" s="3"/>
      <c r="F46" s="7">
        <f t="shared" si="4"/>
        <v>2.477127934396366E-2</v>
      </c>
      <c r="G46" s="3"/>
      <c r="H46" s="8"/>
      <c r="I46" s="3"/>
      <c r="J46" s="7">
        <f t="shared" si="5"/>
        <v>0</v>
      </c>
      <c r="K46" s="3"/>
      <c r="L46" s="8">
        <f t="shared" si="6"/>
        <v>752.25</v>
      </c>
      <c r="M46" s="3"/>
      <c r="N46" s="7">
        <f t="shared" si="7"/>
        <v>0</v>
      </c>
      <c r="O46" s="12"/>
      <c r="P46" s="8">
        <v>752.25</v>
      </c>
      <c r="Q46" s="3"/>
      <c r="R46" s="7">
        <f t="shared" si="8"/>
        <v>3.8576438398594472E-3</v>
      </c>
      <c r="S46" s="3"/>
      <c r="T46" s="8"/>
      <c r="U46" s="3"/>
      <c r="V46" s="7">
        <f t="shared" si="9"/>
        <v>0</v>
      </c>
      <c r="W46" s="3"/>
      <c r="X46" s="8">
        <f t="shared" si="10"/>
        <v>752.25</v>
      </c>
      <c r="Y46" s="3"/>
      <c r="Z46" s="7">
        <f t="shared" si="11"/>
        <v>0</v>
      </c>
    </row>
    <row r="47" spans="1:26" s="68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0</v>
      </c>
      <c r="I47" s="2"/>
      <c r="J47" s="6">
        <f t="shared" si="5"/>
        <v>0</v>
      </c>
      <c r="K47" s="2"/>
      <c r="L47" s="2">
        <f t="shared" si="6"/>
        <v>0</v>
      </c>
      <c r="M47" s="2"/>
      <c r="N47" s="6">
        <f t="shared" si="7"/>
        <v>0</v>
      </c>
      <c r="O47" s="14"/>
      <c r="P47" s="2">
        <f>SUM(OSRRefP22_2x_0)</f>
        <v>151.85</v>
      </c>
      <c r="Q47" s="2"/>
      <c r="R47" s="6">
        <f t="shared" si="8"/>
        <v>7.7870816494869665E-4</v>
      </c>
      <c r="S47" s="2"/>
      <c r="T47" s="2">
        <f>SUM(OSRRefT22_2x_0)</f>
        <v>0</v>
      </c>
      <c r="U47" s="2"/>
      <c r="V47" s="6">
        <f t="shared" si="9"/>
        <v>0</v>
      </c>
      <c r="W47" s="2"/>
      <c r="X47" s="2">
        <f t="shared" si="10"/>
        <v>151.85</v>
      </c>
      <c r="Y47" s="2"/>
      <c r="Z47" s="6">
        <f t="shared" si="11"/>
        <v>0</v>
      </c>
    </row>
    <row r="48" spans="1:26" s="69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8"/>
      <c r="E48" s="3"/>
      <c r="F48" s="7">
        <f t="shared" si="4"/>
        <v>0</v>
      </c>
      <c r="G48" s="3"/>
      <c r="H48" s="8"/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>
        <v>151.85</v>
      </c>
      <c r="Q48" s="3"/>
      <c r="R48" s="7">
        <f t="shared" si="8"/>
        <v>7.7870816494869665E-4</v>
      </c>
      <c r="S48" s="3"/>
      <c r="T48" s="8"/>
      <c r="U48" s="3"/>
      <c r="V48" s="7">
        <f t="shared" si="9"/>
        <v>0</v>
      </c>
      <c r="W48" s="3"/>
      <c r="X48" s="8">
        <f t="shared" si="10"/>
        <v>151.85</v>
      </c>
      <c r="Y48" s="3"/>
      <c r="Z48" s="7">
        <f t="shared" si="11"/>
        <v>0</v>
      </c>
    </row>
    <row r="49" spans="1:26" s="68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5.5940776802293739E-3</v>
      </c>
      <c r="G49" s="2"/>
      <c r="H49" s="2">
        <f>SUM(OSRRefH22_3x_0)</f>
        <v>169.88</v>
      </c>
      <c r="I49" s="2"/>
      <c r="J49" s="6">
        <f t="shared" si="5"/>
        <v>4.5883131439992439E-2</v>
      </c>
      <c r="K49" s="2"/>
      <c r="L49" s="2">
        <f t="shared" si="6"/>
        <v>0</v>
      </c>
      <c r="M49" s="2"/>
      <c r="N49" s="6">
        <f t="shared" si="7"/>
        <v>0</v>
      </c>
      <c r="O49" s="14"/>
      <c r="P49" s="2">
        <f>SUM(OSRRefP22_3x_0)</f>
        <v>1698.8</v>
      </c>
      <c r="Q49" s="2"/>
      <c r="R49" s="6">
        <f t="shared" si="8"/>
        <v>8.7116854172857808E-3</v>
      </c>
      <c r="S49" s="2"/>
      <c r="T49" s="2">
        <f>SUM(OSRRefT22_3x_0)</f>
        <v>1698.8</v>
      </c>
      <c r="U49" s="2"/>
      <c r="V49" s="6">
        <f t="shared" si="9"/>
        <v>1.4811136216767797E-2</v>
      </c>
      <c r="W49" s="2"/>
      <c r="X49" s="2">
        <f t="shared" si="10"/>
        <v>0</v>
      </c>
      <c r="Y49" s="2"/>
      <c r="Z49" s="6">
        <f t="shared" si="11"/>
        <v>0</v>
      </c>
    </row>
    <row r="50" spans="1:26" s="69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169.88</v>
      </c>
      <c r="E50" s="3"/>
      <c r="F50" s="7">
        <f t="shared" si="4"/>
        <v>5.5940776802293739E-3</v>
      </c>
      <c r="G50" s="3"/>
      <c r="H50" s="8">
        <v>169.88</v>
      </c>
      <c r="I50" s="3"/>
      <c r="J50" s="7">
        <f t="shared" si="5"/>
        <v>4.5883131439992439E-2</v>
      </c>
      <c r="K50" s="3"/>
      <c r="L50" s="8">
        <f t="shared" si="6"/>
        <v>0</v>
      </c>
      <c r="M50" s="3"/>
      <c r="N50" s="7">
        <f t="shared" si="7"/>
        <v>0</v>
      </c>
      <c r="O50" s="12"/>
      <c r="P50" s="8">
        <v>1698.8</v>
      </c>
      <c r="Q50" s="3"/>
      <c r="R50" s="7">
        <f t="shared" si="8"/>
        <v>8.7116854172857808E-3</v>
      </c>
      <c r="S50" s="3"/>
      <c r="T50" s="8">
        <v>1698.8</v>
      </c>
      <c r="U50" s="3"/>
      <c r="V50" s="7">
        <f t="shared" si="9"/>
        <v>1.4811136216767797E-2</v>
      </c>
      <c r="W50" s="3"/>
      <c r="X50" s="8">
        <f t="shared" si="10"/>
        <v>0</v>
      </c>
      <c r="Y50" s="3"/>
      <c r="Z50" s="7">
        <f t="shared" si="11"/>
        <v>0</v>
      </c>
    </row>
    <row r="51" spans="1:26" s="68" customFormat="1" ht="15" customHeight="1" outlineLevel="1" collapsed="1" x14ac:dyDescent="0.3">
      <c r="A51" s="25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SUM(OSRRefD22_4x_0)</f>
        <v>0</v>
      </c>
      <c r="E51" s="2"/>
      <c r="F51" s="6">
        <f t="shared" si="4"/>
        <v>0</v>
      </c>
      <c r="G51" s="2"/>
      <c r="H51" s="2">
        <f>SUM(OSRRefH22_4x_0)</f>
        <v>0</v>
      </c>
      <c r="I51" s="2"/>
      <c r="J51" s="6">
        <f t="shared" si="5"/>
        <v>0</v>
      </c>
      <c r="K51" s="2"/>
      <c r="L51" s="2">
        <f t="shared" si="6"/>
        <v>0</v>
      </c>
      <c r="M51" s="2"/>
      <c r="N51" s="6">
        <f t="shared" si="7"/>
        <v>0</v>
      </c>
      <c r="O51" s="14"/>
      <c r="P51" s="2">
        <f>SUM(OSRRefP22_4x_0)</f>
        <v>0</v>
      </c>
      <c r="Q51" s="2"/>
      <c r="R51" s="6">
        <f t="shared" si="8"/>
        <v>0</v>
      </c>
      <c r="S51" s="2"/>
      <c r="T51" s="2">
        <f>SUM(OSRRefT22_4x_0)</f>
        <v>0</v>
      </c>
      <c r="U51" s="2"/>
      <c r="V51" s="6">
        <f t="shared" si="9"/>
        <v>0</v>
      </c>
      <c r="W51" s="2"/>
      <c r="X51" s="2">
        <f t="shared" si="10"/>
        <v>0</v>
      </c>
      <c r="Y51" s="2"/>
      <c r="Z51" s="6">
        <f t="shared" si="11"/>
        <v>0</v>
      </c>
    </row>
    <row r="52" spans="1:26" s="69" customFormat="1" ht="15" hidden="1" customHeight="1" outlineLevel="2" x14ac:dyDescent="0.3">
      <c r="A52" s="26"/>
      <c r="B52" s="12" t="str">
        <f>CONCATENATE("          ","6382"," - ","DISCOUNTS/MARK DOWNS")</f>
        <v xml:space="preserve">          6382 - DISCOUNTS/MARK DOWNS</v>
      </c>
      <c r="C52" s="12"/>
      <c r="D52" s="8"/>
      <c r="E52" s="3"/>
      <c r="F52" s="7">
        <f t="shared" si="4"/>
        <v>0</v>
      </c>
      <c r="G52" s="3"/>
      <c r="H52" s="8"/>
      <c r="I52" s="3"/>
      <c r="J52" s="7">
        <f t="shared" si="5"/>
        <v>0</v>
      </c>
      <c r="K52" s="3"/>
      <c r="L52" s="8">
        <f t="shared" si="6"/>
        <v>0</v>
      </c>
      <c r="M52" s="3"/>
      <c r="N52" s="7">
        <f t="shared" si="7"/>
        <v>0</v>
      </c>
      <c r="O52" s="12"/>
      <c r="P52" s="8"/>
      <c r="Q52" s="3"/>
      <c r="R52" s="7">
        <f t="shared" si="8"/>
        <v>0</v>
      </c>
      <c r="S52" s="3"/>
      <c r="T52" s="8">
        <v>0</v>
      </c>
      <c r="U52" s="3"/>
      <c r="V52" s="7">
        <f t="shared" si="9"/>
        <v>0</v>
      </c>
      <c r="W52" s="3"/>
      <c r="X52" s="8">
        <f t="shared" si="10"/>
        <v>0</v>
      </c>
      <c r="Y52" s="3"/>
      <c r="Z52" s="7">
        <f t="shared" si="11"/>
        <v>0</v>
      </c>
    </row>
    <row r="53" spans="1:26" s="68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SUM(OSRRefD22_5x_0)</f>
        <v>1205.6400000000001</v>
      </c>
      <c r="E53" s="2"/>
      <c r="F53" s="6">
        <f t="shared" si="4"/>
        <v>3.9701223301105149E-2</v>
      </c>
      <c r="G53" s="2"/>
      <c r="H53" s="2">
        <f>SUM(OSRRefH22_5x_0)</f>
        <v>1205.6400000000001</v>
      </c>
      <c r="I53" s="2"/>
      <c r="J53" s="6">
        <f t="shared" si="5"/>
        <v>0.3256330267795649</v>
      </c>
      <c r="K53" s="2"/>
      <c r="L53" s="2">
        <f t="shared" si="6"/>
        <v>0</v>
      </c>
      <c r="M53" s="2"/>
      <c r="N53" s="6">
        <f t="shared" si="7"/>
        <v>0</v>
      </c>
      <c r="O53" s="14"/>
      <c r="P53" s="2">
        <f>SUM(OSRRefP22_5x_0)</f>
        <v>12147.66</v>
      </c>
      <c r="Q53" s="2"/>
      <c r="R53" s="6">
        <f t="shared" si="8"/>
        <v>6.2294909628058504E-2</v>
      </c>
      <c r="S53" s="2"/>
      <c r="T53" s="2">
        <f>SUM(OSRRefT22_5x_0)</f>
        <v>12056.4</v>
      </c>
      <c r="U53" s="2"/>
      <c r="V53" s="6">
        <f t="shared" si="9"/>
        <v>0.10511477671523385</v>
      </c>
      <c r="W53" s="2"/>
      <c r="X53" s="2">
        <f t="shared" si="10"/>
        <v>91.260000000000218</v>
      </c>
      <c r="Y53" s="2"/>
      <c r="Z53" s="6">
        <f t="shared" si="11"/>
        <v>7.5694237085697407E-3</v>
      </c>
    </row>
    <row r="54" spans="1:26" s="69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1205.6400000000001</v>
      </c>
      <c r="E54" s="3"/>
      <c r="F54" s="7">
        <f t="shared" si="4"/>
        <v>3.9701223301105149E-2</v>
      </c>
      <c r="G54" s="3"/>
      <c r="H54" s="8">
        <v>1205.6400000000001</v>
      </c>
      <c r="I54" s="3"/>
      <c r="J54" s="7">
        <f t="shared" si="5"/>
        <v>0.3256330267795649</v>
      </c>
      <c r="K54" s="3"/>
      <c r="L54" s="8">
        <f t="shared" si="6"/>
        <v>0</v>
      </c>
      <c r="M54" s="3"/>
      <c r="N54" s="7">
        <f t="shared" si="7"/>
        <v>0</v>
      </c>
      <c r="O54" s="12"/>
      <c r="P54" s="8">
        <v>12147.66</v>
      </c>
      <c r="Q54" s="3"/>
      <c r="R54" s="7">
        <f t="shared" si="8"/>
        <v>6.2294909628058504E-2</v>
      </c>
      <c r="S54" s="3"/>
      <c r="T54" s="8">
        <v>12056.4</v>
      </c>
      <c r="U54" s="3"/>
      <c r="V54" s="7">
        <f t="shared" si="9"/>
        <v>0.10511477671523385</v>
      </c>
      <c r="W54" s="3"/>
      <c r="X54" s="8">
        <f t="shared" si="10"/>
        <v>91.260000000000218</v>
      </c>
      <c r="Y54" s="3"/>
      <c r="Z54" s="7">
        <f t="shared" si="11"/>
        <v>7.5694237085697407E-3</v>
      </c>
    </row>
    <row r="55" spans="1:26" s="68" customFormat="1" ht="15" customHeight="1" outlineLevel="1" collapsed="1" x14ac:dyDescent="0.3">
      <c r="A55" s="25"/>
      <c r="B55" s="14" t="str">
        <f>CONCATENATE("     ","Freight out/Postage                               ")</f>
        <v xml:space="preserve">     Freight out/Postage                               </v>
      </c>
      <c r="C55" s="14"/>
      <c r="D55" s="2">
        <f>SUM(OSRRefD22_6x_0)</f>
        <v>-6034.4100000000008</v>
      </c>
      <c r="E55" s="2"/>
      <c r="F55" s="6">
        <f t="shared" si="4"/>
        <v>-0.1987106092203493</v>
      </c>
      <c r="G55" s="2"/>
      <c r="H55" s="2">
        <f>SUM(OSRRefH22_6x_0)</f>
        <v>-18667.690000000002</v>
      </c>
      <c r="I55" s="2"/>
      <c r="J55" s="6">
        <f t="shared" si="5"/>
        <v>-5.0419830112493091</v>
      </c>
      <c r="K55" s="2"/>
      <c r="L55" s="2">
        <f t="shared" si="6"/>
        <v>12633.280000000002</v>
      </c>
      <c r="M55" s="2"/>
      <c r="N55" s="6">
        <f t="shared" si="7"/>
        <v>-0.67674575697368022</v>
      </c>
      <c r="O55" s="14"/>
      <c r="P55" s="2">
        <f>SUM(OSRRefP22_6x_0)</f>
        <v>-68634.239999999991</v>
      </c>
      <c r="Q55" s="2"/>
      <c r="R55" s="6">
        <f t="shared" si="8"/>
        <v>-0.35196603940104332</v>
      </c>
      <c r="S55" s="2"/>
      <c r="T55" s="2">
        <f>SUM(OSRRefT22_6x_0)</f>
        <v>-72673.700000000012</v>
      </c>
      <c r="U55" s="2"/>
      <c r="V55" s="6">
        <f t="shared" si="9"/>
        <v>-0.63361200263510598</v>
      </c>
      <c r="W55" s="2"/>
      <c r="X55" s="2">
        <f t="shared" si="10"/>
        <v>4039.460000000021</v>
      </c>
      <c r="Y55" s="2"/>
      <c r="Z55" s="6">
        <f t="shared" si="11"/>
        <v>-5.5583519209838228E-2</v>
      </c>
    </row>
    <row r="56" spans="1:26" s="69" customFormat="1" ht="15" hidden="1" customHeight="1" outlineLevel="2" x14ac:dyDescent="0.3">
      <c r="A56" s="26"/>
      <c r="B56" s="12" t="str">
        <f>CONCATENATE("          ","6305"," - ","FREIGHT OUT")</f>
        <v xml:space="preserve">          6305 - FREIGHT OUT</v>
      </c>
      <c r="C56" s="12"/>
      <c r="D56" s="8">
        <v>7450.71</v>
      </c>
      <c r="E56" s="3"/>
      <c r="F56" s="7">
        <f t="shared" si="4"/>
        <v>0.24534877862527549</v>
      </c>
      <c r="G56" s="3"/>
      <c r="H56" s="8">
        <v>16530.71</v>
      </c>
      <c r="I56" s="3"/>
      <c r="J56" s="7">
        <f t="shared" si="5"/>
        <v>4.4648030358276278</v>
      </c>
      <c r="K56" s="3"/>
      <c r="L56" s="8">
        <f t="shared" si="6"/>
        <v>-9080</v>
      </c>
      <c r="M56" s="3"/>
      <c r="N56" s="7">
        <f t="shared" si="7"/>
        <v>-0.54928070240177229</v>
      </c>
      <c r="O56" s="12"/>
      <c r="P56" s="8">
        <v>113053.12</v>
      </c>
      <c r="Q56" s="3"/>
      <c r="R56" s="7">
        <f t="shared" si="8"/>
        <v>0.57975230567615932</v>
      </c>
      <c r="S56" s="3"/>
      <c r="T56" s="8">
        <v>178009.9</v>
      </c>
      <c r="U56" s="3"/>
      <c r="V56" s="7">
        <f t="shared" si="9"/>
        <v>1.5519948651007851</v>
      </c>
      <c r="W56" s="3"/>
      <c r="X56" s="8">
        <f t="shared" si="10"/>
        <v>-64956.78</v>
      </c>
      <c r="Y56" s="3"/>
      <c r="Z56" s="7">
        <f t="shared" si="11"/>
        <v>-0.364905435034793</v>
      </c>
    </row>
    <row r="57" spans="1:26" s="69" customFormat="1" ht="15" hidden="1" customHeight="1" outlineLevel="2" x14ac:dyDescent="0.3">
      <c r="A57" s="26"/>
      <c r="B57" s="12" t="str">
        <f>CONCATENATE("          ","6307"," - ","POSTAGE")</f>
        <v xml:space="preserve">          6307 - POSTAGE</v>
      </c>
      <c r="C57" s="12"/>
      <c r="D57" s="8">
        <v>-13485.12</v>
      </c>
      <c r="E57" s="3"/>
      <c r="F57" s="7">
        <f t="shared" si="4"/>
        <v>-0.44405938784562482</v>
      </c>
      <c r="G57" s="3"/>
      <c r="H57" s="8">
        <v>-35198.400000000001</v>
      </c>
      <c r="I57" s="3"/>
      <c r="J57" s="7">
        <f t="shared" si="5"/>
        <v>-9.5067860470769361</v>
      </c>
      <c r="K57" s="3"/>
      <c r="L57" s="8">
        <f t="shared" si="6"/>
        <v>21713.279999999999</v>
      </c>
      <c r="M57" s="3"/>
      <c r="N57" s="7">
        <f t="shared" si="7"/>
        <v>-0.61688258557207143</v>
      </c>
      <c r="O57" s="12"/>
      <c r="P57" s="8">
        <v>-181687.36</v>
      </c>
      <c r="Q57" s="3"/>
      <c r="R57" s="7">
        <f t="shared" si="8"/>
        <v>-0.93171834507720264</v>
      </c>
      <c r="S57" s="3"/>
      <c r="T57" s="8">
        <v>-250683.6</v>
      </c>
      <c r="U57" s="3"/>
      <c r="V57" s="7">
        <f t="shared" si="9"/>
        <v>-2.1856068677358911</v>
      </c>
      <c r="W57" s="3"/>
      <c r="X57" s="8">
        <f t="shared" si="10"/>
        <v>68996.24000000002</v>
      </c>
      <c r="Y57" s="3"/>
      <c r="Z57" s="7">
        <f t="shared" si="11"/>
        <v>-0.27523236462217721</v>
      </c>
    </row>
    <row r="58" spans="1:26" s="68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0</v>
      </c>
      <c r="E58" s="2"/>
      <c r="F58" s="6">
        <f t="shared" si="4"/>
        <v>0</v>
      </c>
      <c r="G58" s="2"/>
      <c r="H58" s="2">
        <f>SUM(OSRRefH22_7x_0)</f>
        <v>0</v>
      </c>
      <c r="I58" s="2"/>
      <c r="J58" s="6">
        <f t="shared" si="5"/>
        <v>0</v>
      </c>
      <c r="K58" s="2"/>
      <c r="L58" s="2">
        <f t="shared" si="6"/>
        <v>0</v>
      </c>
      <c r="M58" s="2"/>
      <c r="N58" s="6">
        <f t="shared" si="7"/>
        <v>0</v>
      </c>
      <c r="O58" s="14"/>
      <c r="P58" s="2">
        <f>SUM(OSRRefP22_7x_0)</f>
        <v>91.31</v>
      </c>
      <c r="Q58" s="2"/>
      <c r="R58" s="6">
        <f t="shared" si="8"/>
        <v>4.6825052710876188E-4</v>
      </c>
      <c r="S58" s="2"/>
      <c r="T58" s="2">
        <f>SUM(OSRRefT22_7x_0)</f>
        <v>0</v>
      </c>
      <c r="U58" s="2"/>
      <c r="V58" s="6">
        <f t="shared" si="9"/>
        <v>0</v>
      </c>
      <c r="W58" s="2"/>
      <c r="X58" s="2">
        <f t="shared" si="10"/>
        <v>91.31</v>
      </c>
      <c r="Y58" s="2"/>
      <c r="Z58" s="6">
        <f t="shared" si="11"/>
        <v>0</v>
      </c>
    </row>
    <row r="59" spans="1:26" s="69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8"/>
      <c r="E59" s="3"/>
      <c r="F59" s="7">
        <f t="shared" si="4"/>
        <v>0</v>
      </c>
      <c r="G59" s="3"/>
      <c r="H59" s="8"/>
      <c r="I59" s="3"/>
      <c r="J59" s="7">
        <f t="shared" si="5"/>
        <v>0</v>
      </c>
      <c r="K59" s="3"/>
      <c r="L59" s="8">
        <f t="shared" si="6"/>
        <v>0</v>
      </c>
      <c r="M59" s="3"/>
      <c r="N59" s="7">
        <f t="shared" si="7"/>
        <v>0</v>
      </c>
      <c r="O59" s="12"/>
      <c r="P59" s="8">
        <v>91.31</v>
      </c>
      <c r="Q59" s="3"/>
      <c r="R59" s="7">
        <f t="shared" si="8"/>
        <v>4.6825052710876188E-4</v>
      </c>
      <c r="S59" s="3"/>
      <c r="T59" s="8"/>
      <c r="U59" s="3"/>
      <c r="V59" s="7">
        <f t="shared" si="9"/>
        <v>0</v>
      </c>
      <c r="W59" s="3"/>
      <c r="X59" s="8">
        <f t="shared" si="10"/>
        <v>91.31</v>
      </c>
      <c r="Y59" s="3"/>
      <c r="Z59" s="7">
        <f t="shared" si="11"/>
        <v>0</v>
      </c>
    </row>
    <row r="60" spans="1:26" s="68" customFormat="1" ht="15" customHeight="1" outlineLevel="1" collapsed="1" x14ac:dyDescent="0.3">
      <c r="A60" s="25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SUM(OSRRefD22_8x_0)</f>
        <v>2209.4499999999998</v>
      </c>
      <c r="E60" s="2"/>
      <c r="F60" s="6">
        <f t="shared" si="4"/>
        <v>7.2756268722526427E-2</v>
      </c>
      <c r="G60" s="2"/>
      <c r="H60" s="2">
        <f>SUM(OSRRefH22_8x_0)</f>
        <v>102.36</v>
      </c>
      <c r="I60" s="2"/>
      <c r="J60" s="6">
        <f t="shared" si="5"/>
        <v>2.7646558360004864E-2</v>
      </c>
      <c r="K60" s="2"/>
      <c r="L60" s="2">
        <f t="shared" si="6"/>
        <v>2107.0899999999997</v>
      </c>
      <c r="M60" s="2"/>
      <c r="N60" s="6">
        <f t="shared" si="7"/>
        <v>20.585091832747164</v>
      </c>
      <c r="O60" s="14"/>
      <c r="P60" s="2">
        <f>SUM(OSRRefP22_8x_0)</f>
        <v>28305.040000000001</v>
      </c>
      <c r="Q60" s="2"/>
      <c r="R60" s="6">
        <f t="shared" si="8"/>
        <v>0.1451522275745766</v>
      </c>
      <c r="S60" s="2"/>
      <c r="T60" s="2">
        <f>SUM(OSRRefT22_8x_0)</f>
        <v>31093.699999999997</v>
      </c>
      <c r="U60" s="2"/>
      <c r="V60" s="6">
        <f t="shared" si="9"/>
        <v>0.27109313997134027</v>
      </c>
      <c r="W60" s="2"/>
      <c r="X60" s="2">
        <f t="shared" si="10"/>
        <v>-2788.6599999999962</v>
      </c>
      <c r="Y60" s="2"/>
      <c r="Z60" s="6">
        <f t="shared" si="11"/>
        <v>-8.9685691956891481E-2</v>
      </c>
    </row>
    <row r="61" spans="1:26" s="69" customFormat="1" ht="15" hidden="1" customHeight="1" outlineLevel="2" x14ac:dyDescent="0.3">
      <c r="A61" s="26"/>
      <c r="B61" s="12" t="str">
        <f>CONCATENATE("          ","6371"," - ","COMPUTER SOFTWARE MAINTENANCE")</f>
        <v xml:space="preserve">          6371 - COMPUTER SOFTWARE MAINTENANCE</v>
      </c>
      <c r="C61" s="12"/>
      <c r="D61" s="8"/>
      <c r="E61" s="3"/>
      <c r="F61" s="7">
        <f t="shared" si="4"/>
        <v>0</v>
      </c>
      <c r="G61" s="3"/>
      <c r="H61" s="8"/>
      <c r="I61" s="3"/>
      <c r="J61" s="7">
        <f t="shared" si="5"/>
        <v>0</v>
      </c>
      <c r="K61" s="3"/>
      <c r="L61" s="8">
        <f t="shared" si="6"/>
        <v>0</v>
      </c>
      <c r="M61" s="3"/>
      <c r="N61" s="7">
        <f t="shared" si="7"/>
        <v>0</v>
      </c>
      <c r="O61" s="12"/>
      <c r="P61" s="8"/>
      <c r="Q61" s="3"/>
      <c r="R61" s="7">
        <f t="shared" si="8"/>
        <v>0</v>
      </c>
      <c r="S61" s="3"/>
      <c r="T61" s="8">
        <v>7.69</v>
      </c>
      <c r="U61" s="3"/>
      <c r="V61" s="7">
        <f t="shared" si="9"/>
        <v>6.7045936841855644E-5</v>
      </c>
      <c r="W61" s="3"/>
      <c r="X61" s="8">
        <f t="shared" si="10"/>
        <v>-7.69</v>
      </c>
      <c r="Y61" s="3"/>
      <c r="Z61" s="7">
        <f t="shared" si="11"/>
        <v>-1</v>
      </c>
    </row>
    <row r="62" spans="1:26" s="69" customFormat="1" ht="15" hidden="1" customHeight="1" outlineLevel="2" x14ac:dyDescent="0.3">
      <c r="A62" s="26"/>
      <c r="B62" s="12" t="str">
        <f>CONCATENATE("          ","6373"," - ","MAINTENANCE CONTRACTS")</f>
        <v xml:space="preserve">          6373 - MAINTENANCE CONTRACTS</v>
      </c>
      <c r="C62" s="12"/>
      <c r="D62" s="8">
        <v>770.04</v>
      </c>
      <c r="E62" s="3"/>
      <c r="F62" s="7">
        <f t="shared" si="4"/>
        <v>2.5357096638120007E-2</v>
      </c>
      <c r="G62" s="3"/>
      <c r="H62" s="8">
        <v>97.76</v>
      </c>
      <c r="I62" s="3"/>
      <c r="J62" s="7">
        <f t="shared" si="5"/>
        <v>2.640413780064552E-2</v>
      </c>
      <c r="K62" s="3"/>
      <c r="L62" s="8">
        <f t="shared" si="6"/>
        <v>672.28</v>
      </c>
      <c r="M62" s="3"/>
      <c r="N62" s="7">
        <f t="shared" si="7"/>
        <v>6.8768412438625202</v>
      </c>
      <c r="O62" s="12"/>
      <c r="P62" s="8">
        <v>9247.89</v>
      </c>
      <c r="Q62" s="3"/>
      <c r="R62" s="7">
        <f t="shared" si="8"/>
        <v>4.7424481077032607E-2</v>
      </c>
      <c r="S62" s="3"/>
      <c r="T62" s="8">
        <v>31081.41</v>
      </c>
      <c r="U62" s="3"/>
      <c r="V62" s="7">
        <f t="shared" si="9"/>
        <v>0.27098598853261641</v>
      </c>
      <c r="W62" s="3"/>
      <c r="X62" s="8">
        <f t="shared" si="10"/>
        <v>-21833.52</v>
      </c>
      <c r="Y62" s="3"/>
      <c r="Z62" s="7">
        <f t="shared" si="11"/>
        <v>-0.70246234002897556</v>
      </c>
    </row>
    <row r="63" spans="1:26" s="69" customFormat="1" ht="15" hidden="1" customHeight="1" outlineLevel="2" x14ac:dyDescent="0.3">
      <c r="A63" s="26"/>
      <c r="B63" s="12" t="str">
        <f>CONCATENATE("          ","6375"," - ","OUTSIDE REPAIRS &amp; MAINTENANCE")</f>
        <v xml:space="preserve">          6375 - OUTSIDE REPAIRS &amp; MAINTENANCE</v>
      </c>
      <c r="C63" s="12"/>
      <c r="D63" s="8">
        <v>1439.41</v>
      </c>
      <c r="E63" s="3"/>
      <c r="F63" s="7">
        <f t="shared" si="4"/>
        <v>4.7399172084406423E-2</v>
      </c>
      <c r="G63" s="3"/>
      <c r="H63" s="8">
        <v>4.5999999999999996</v>
      </c>
      <c r="I63" s="3"/>
      <c r="J63" s="7">
        <f t="shared" si="5"/>
        <v>1.2424205593593431E-3</v>
      </c>
      <c r="K63" s="3"/>
      <c r="L63" s="8">
        <f t="shared" si="6"/>
        <v>1434.8100000000002</v>
      </c>
      <c r="M63" s="3"/>
      <c r="N63" s="7">
        <f t="shared" si="7"/>
        <v>311.9152173913044</v>
      </c>
      <c r="O63" s="12"/>
      <c r="P63" s="8">
        <v>19057.150000000001</v>
      </c>
      <c r="Q63" s="3"/>
      <c r="R63" s="7">
        <f t="shared" si="8"/>
        <v>9.7727746497543996E-2</v>
      </c>
      <c r="S63" s="3"/>
      <c r="T63" s="8">
        <v>4.5999999999999996</v>
      </c>
      <c r="U63" s="3"/>
      <c r="V63" s="7">
        <f t="shared" si="9"/>
        <v>4.0105501881994266E-5</v>
      </c>
      <c r="W63" s="3"/>
      <c r="X63" s="8">
        <f t="shared" si="10"/>
        <v>19052.550000000003</v>
      </c>
      <c r="Y63" s="3"/>
      <c r="Z63" s="7">
        <f t="shared" si="11"/>
        <v>4141.8586956521749</v>
      </c>
    </row>
    <row r="64" spans="1:26" s="68" customFormat="1" ht="15" customHeight="1" outlineLevel="1" collapsed="1" x14ac:dyDescent="0.3">
      <c r="A64" s="25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2">
        <f>SUM(OSRRefD22_9x_0)</f>
        <v>2045.03</v>
      </c>
      <c r="E64" s="2"/>
      <c r="F64" s="6">
        <f t="shared" si="4"/>
        <v>6.7341986569339984E-2</v>
      </c>
      <c r="G64" s="2"/>
      <c r="H64" s="2">
        <f>SUM(OSRRefH22_9x_0)</f>
        <v>2570.27</v>
      </c>
      <c r="I64" s="2"/>
      <c r="J64" s="6">
        <f t="shared" si="5"/>
        <v>0.694207889370552</v>
      </c>
      <c r="K64" s="2"/>
      <c r="L64" s="2">
        <f t="shared" si="6"/>
        <v>-525.24</v>
      </c>
      <c r="M64" s="2"/>
      <c r="N64" s="6">
        <f t="shared" si="7"/>
        <v>-0.20435207196131147</v>
      </c>
      <c r="O64" s="14"/>
      <c r="P64" s="2">
        <f>SUM(OSRRefP22_9x_0)</f>
        <v>12050.65</v>
      </c>
      <c r="Q64" s="2"/>
      <c r="R64" s="6">
        <f t="shared" si="8"/>
        <v>6.1797428698972742E-2</v>
      </c>
      <c r="S64" s="2"/>
      <c r="T64" s="2">
        <f>SUM(OSRRefT22_9x_0)</f>
        <v>13233.89</v>
      </c>
      <c r="U64" s="2"/>
      <c r="V64" s="6">
        <f t="shared" si="9"/>
        <v>0.11538082615241416</v>
      </c>
      <c r="W64" s="2"/>
      <c r="X64" s="2">
        <f t="shared" si="10"/>
        <v>-1183.2399999999998</v>
      </c>
      <c r="Y64" s="2"/>
      <c r="Z64" s="6">
        <f t="shared" si="11"/>
        <v>-8.940984094623726E-2</v>
      </c>
    </row>
    <row r="65" spans="1:26" s="69" customFormat="1" ht="15" hidden="1" customHeight="1" outlineLevel="2" x14ac:dyDescent="0.3">
      <c r="A65" s="26"/>
      <c r="B65" s="12" t="str">
        <f>CONCATENATE("          ","6259"," - ","ROYALTY &amp; COMMISSIONS")</f>
        <v xml:space="preserve">          6259 - ROYALTY &amp; COMMISSIONS</v>
      </c>
      <c r="C65" s="12"/>
      <c r="D65" s="8">
        <v>2045.03</v>
      </c>
      <c r="E65" s="3"/>
      <c r="F65" s="7">
        <f t="shared" si="4"/>
        <v>6.7341986569339984E-2</v>
      </c>
      <c r="G65" s="3"/>
      <c r="H65" s="8">
        <v>2570.27</v>
      </c>
      <c r="I65" s="3"/>
      <c r="J65" s="7">
        <f t="shared" si="5"/>
        <v>0.694207889370552</v>
      </c>
      <c r="K65" s="3"/>
      <c r="L65" s="8">
        <f t="shared" si="6"/>
        <v>-525.24</v>
      </c>
      <c r="M65" s="3"/>
      <c r="N65" s="7">
        <f t="shared" si="7"/>
        <v>-0.20435207196131147</v>
      </c>
      <c r="O65" s="12"/>
      <c r="P65" s="8">
        <v>12050.65</v>
      </c>
      <c r="Q65" s="3"/>
      <c r="R65" s="7">
        <f t="shared" si="8"/>
        <v>6.1797428698972742E-2</v>
      </c>
      <c r="S65" s="3"/>
      <c r="T65" s="8">
        <v>13233.89</v>
      </c>
      <c r="U65" s="3"/>
      <c r="V65" s="7">
        <f t="shared" si="9"/>
        <v>0.11538082615241416</v>
      </c>
      <c r="W65" s="3"/>
      <c r="X65" s="8">
        <f t="shared" si="10"/>
        <v>-1183.2399999999998</v>
      </c>
      <c r="Y65" s="3"/>
      <c r="Z65" s="7">
        <f t="shared" si="11"/>
        <v>-8.940984094623726E-2</v>
      </c>
    </row>
    <row r="66" spans="1:26" s="68" customFormat="1" ht="15" customHeight="1" outlineLevel="1" collapsed="1" x14ac:dyDescent="0.3">
      <c r="A66" s="25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0</v>
      </c>
      <c r="E66" s="2"/>
      <c r="F66" s="6">
        <f t="shared" si="4"/>
        <v>0</v>
      </c>
      <c r="G66" s="2"/>
      <c r="H66" s="2">
        <f>SUM(OSRRefH22_10x_0)</f>
        <v>0</v>
      </c>
      <c r="I66" s="2"/>
      <c r="J66" s="6">
        <f t="shared" si="5"/>
        <v>0</v>
      </c>
      <c r="K66" s="2"/>
      <c r="L66" s="2">
        <f t="shared" si="6"/>
        <v>0</v>
      </c>
      <c r="M66" s="2"/>
      <c r="N66" s="6">
        <f t="shared" si="7"/>
        <v>0</v>
      </c>
      <c r="O66" s="14"/>
      <c r="P66" s="2">
        <f>SUM(OSRRefP22_10x_0)</f>
        <v>5.28</v>
      </c>
      <c r="Q66" s="2"/>
      <c r="R66" s="6">
        <f t="shared" si="8"/>
        <v>2.7076582883958632E-5</v>
      </c>
      <c r="S66" s="2"/>
      <c r="T66" s="2">
        <f>SUM(OSRRefT22_10x_0)</f>
        <v>0</v>
      </c>
      <c r="U66" s="2"/>
      <c r="V66" s="6">
        <f t="shared" si="9"/>
        <v>0</v>
      </c>
      <c r="W66" s="2"/>
      <c r="X66" s="2">
        <f t="shared" si="10"/>
        <v>5.28</v>
      </c>
      <c r="Y66" s="2"/>
      <c r="Z66" s="6">
        <f t="shared" si="11"/>
        <v>0</v>
      </c>
    </row>
    <row r="67" spans="1:26" s="69" customFormat="1" ht="15" hidden="1" customHeight="1" outlineLevel="2" x14ac:dyDescent="0.3">
      <c r="A67" s="26"/>
      <c r="B67" s="12" t="str">
        <f>CONCATENATE("          ","6258"," - ","MEMBERSHIP DUES")</f>
        <v xml:space="preserve">          6258 - MEMBERSHIP DUES</v>
      </c>
      <c r="C67" s="12"/>
      <c r="D67" s="8"/>
      <c r="E67" s="3"/>
      <c r="F67" s="7">
        <f t="shared" si="4"/>
        <v>0</v>
      </c>
      <c r="G67" s="3"/>
      <c r="H67" s="8"/>
      <c r="I67" s="3"/>
      <c r="J67" s="7">
        <f t="shared" si="5"/>
        <v>0</v>
      </c>
      <c r="K67" s="3"/>
      <c r="L67" s="8">
        <f t="shared" si="6"/>
        <v>0</v>
      </c>
      <c r="M67" s="3"/>
      <c r="N67" s="7">
        <f t="shared" si="7"/>
        <v>0</v>
      </c>
      <c r="O67" s="12"/>
      <c r="P67" s="8">
        <v>5.28</v>
      </c>
      <c r="Q67" s="3"/>
      <c r="R67" s="7">
        <f t="shared" si="8"/>
        <v>2.7076582883958632E-5</v>
      </c>
      <c r="S67" s="3"/>
      <c r="T67" s="8"/>
      <c r="U67" s="3"/>
      <c r="V67" s="7">
        <f t="shared" si="9"/>
        <v>0</v>
      </c>
      <c r="W67" s="3"/>
      <c r="X67" s="8">
        <f t="shared" si="10"/>
        <v>5.28</v>
      </c>
      <c r="Y67" s="3"/>
      <c r="Z67" s="7">
        <f t="shared" si="11"/>
        <v>0</v>
      </c>
    </row>
    <row r="68" spans="1:26" s="68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8058.9500000000007</v>
      </c>
      <c r="E68" s="2"/>
      <c r="F68" s="6">
        <f t="shared" si="4"/>
        <v>0.26537786861952273</v>
      </c>
      <c r="G68" s="2"/>
      <c r="H68" s="2">
        <f>SUM(OSRRefH22_11x_0)</f>
        <v>3285.03</v>
      </c>
      <c r="I68" s="2"/>
      <c r="J68" s="6">
        <f t="shared" si="5"/>
        <v>0.88725843698091811</v>
      </c>
      <c r="K68" s="2"/>
      <c r="L68" s="2">
        <f t="shared" si="6"/>
        <v>4773.92</v>
      </c>
      <c r="M68" s="2"/>
      <c r="N68" s="6">
        <f t="shared" si="7"/>
        <v>1.4532348258615597</v>
      </c>
      <c r="O68" s="14"/>
      <c r="P68" s="2">
        <f>SUM(OSRRefP22_11x_0)</f>
        <v>43766</v>
      </c>
      <c r="Q68" s="2"/>
      <c r="R68" s="6">
        <f t="shared" si="8"/>
        <v>0.22443820577638893</v>
      </c>
      <c r="S68" s="2"/>
      <c r="T68" s="2">
        <f>SUM(OSRRefT22_11x_0)</f>
        <v>35798.199999999997</v>
      </c>
      <c r="U68" s="2"/>
      <c r="V68" s="6">
        <f t="shared" si="9"/>
        <v>0.31210973423304506</v>
      </c>
      <c r="W68" s="2"/>
      <c r="X68" s="2">
        <f t="shared" si="10"/>
        <v>7967.8000000000029</v>
      </c>
      <c r="Y68" s="2"/>
      <c r="Z68" s="6">
        <f t="shared" si="11"/>
        <v>0.22257543675380337</v>
      </c>
    </row>
    <row r="69" spans="1:26" s="69" customFormat="1" ht="15" hidden="1" customHeight="1" outlineLevel="2" x14ac:dyDescent="0.3">
      <c r="A69" s="26"/>
      <c r="B69" s="12" t="str">
        <f>CONCATENATE("          ","6234"," - ","EXPENDABLE SUPPLIES &amp; EQUIPMEN")</f>
        <v xml:space="preserve">          6234 - EXPENDABLE SUPPLIES &amp; EQUIPMEN</v>
      </c>
      <c r="C69" s="12"/>
      <c r="D69" s="8">
        <v>4993.3100000000004</v>
      </c>
      <c r="E69" s="3"/>
      <c r="F69" s="7">
        <f t="shared" si="4"/>
        <v>0.16442761962247548</v>
      </c>
      <c r="G69" s="3"/>
      <c r="H69" s="8"/>
      <c r="I69" s="3"/>
      <c r="J69" s="7">
        <f t="shared" si="5"/>
        <v>0</v>
      </c>
      <c r="K69" s="3"/>
      <c r="L69" s="8">
        <f t="shared" si="6"/>
        <v>4993.3100000000004</v>
      </c>
      <c r="M69" s="3"/>
      <c r="N69" s="7">
        <f t="shared" si="7"/>
        <v>0</v>
      </c>
      <c r="O69" s="12"/>
      <c r="P69" s="8">
        <v>4993.3100000000004</v>
      </c>
      <c r="Q69" s="3"/>
      <c r="R69" s="7">
        <f t="shared" si="8"/>
        <v>2.5606396227329447E-2</v>
      </c>
      <c r="S69" s="3"/>
      <c r="T69" s="8"/>
      <c r="U69" s="3"/>
      <c r="V69" s="7">
        <f t="shared" si="9"/>
        <v>0</v>
      </c>
      <c r="W69" s="3"/>
      <c r="X69" s="8">
        <f t="shared" si="10"/>
        <v>4993.3100000000004</v>
      </c>
      <c r="Y69" s="3"/>
      <c r="Z69" s="7">
        <f t="shared" si="11"/>
        <v>0</v>
      </c>
    </row>
    <row r="70" spans="1:26" s="69" customFormat="1" ht="15" hidden="1" customHeight="1" outlineLevel="2" x14ac:dyDescent="0.3">
      <c r="A70" s="26"/>
      <c r="B70" s="12" t="str">
        <f>CONCATENATE("          ","6235"," - ","COVID-19 EXPENSES")</f>
        <v xml:space="preserve">          6235 - COVID-19 EXPENSES</v>
      </c>
      <c r="C70" s="12"/>
      <c r="D70" s="8"/>
      <c r="E70" s="3"/>
      <c r="F70" s="7">
        <f t="shared" si="4"/>
        <v>0</v>
      </c>
      <c r="G70" s="3"/>
      <c r="H70" s="8"/>
      <c r="I70" s="3"/>
      <c r="J70" s="7">
        <f t="shared" si="5"/>
        <v>0</v>
      </c>
      <c r="K70" s="3"/>
      <c r="L70" s="8">
        <f t="shared" si="6"/>
        <v>0</v>
      </c>
      <c r="M70" s="3"/>
      <c r="N70" s="7">
        <f t="shared" si="7"/>
        <v>0</v>
      </c>
      <c r="O70" s="12"/>
      <c r="P70" s="8"/>
      <c r="Q70" s="3"/>
      <c r="R70" s="7">
        <f t="shared" si="8"/>
        <v>0</v>
      </c>
      <c r="S70" s="3"/>
      <c r="T70" s="8">
        <v>310.91000000000003</v>
      </c>
      <c r="U70" s="3"/>
      <c r="V70" s="7">
        <f t="shared" si="9"/>
        <v>2.7106959978545303E-3</v>
      </c>
      <c r="W70" s="3"/>
      <c r="X70" s="8">
        <f t="shared" si="10"/>
        <v>-310.91000000000003</v>
      </c>
      <c r="Y70" s="3"/>
      <c r="Z70" s="7">
        <f t="shared" si="11"/>
        <v>-1</v>
      </c>
    </row>
    <row r="71" spans="1:26" s="69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8">
        <v>1786.97</v>
      </c>
      <c r="E71" s="3"/>
      <c r="F71" s="7">
        <f t="shared" si="4"/>
        <v>5.8844178197783641E-2</v>
      </c>
      <c r="G71" s="3"/>
      <c r="H71" s="8">
        <v>6.55</v>
      </c>
      <c r="I71" s="3"/>
      <c r="J71" s="7">
        <f t="shared" si="5"/>
        <v>1.7690988399573257E-3</v>
      </c>
      <c r="K71" s="3"/>
      <c r="L71" s="8">
        <f t="shared" si="6"/>
        <v>1780.42</v>
      </c>
      <c r="M71" s="3"/>
      <c r="N71" s="7">
        <f t="shared" si="7"/>
        <v>271.81984732824429</v>
      </c>
      <c r="O71" s="12"/>
      <c r="P71" s="8">
        <v>11008.35</v>
      </c>
      <c r="Q71" s="3"/>
      <c r="R71" s="7">
        <f t="shared" si="8"/>
        <v>5.6452367649739772E-2</v>
      </c>
      <c r="S71" s="3"/>
      <c r="T71" s="8">
        <v>4657.76</v>
      </c>
      <c r="U71" s="3"/>
      <c r="V71" s="7">
        <f t="shared" si="9"/>
        <v>4.0609087488234268E-2</v>
      </c>
      <c r="W71" s="3"/>
      <c r="X71" s="8">
        <f t="shared" si="10"/>
        <v>6350.59</v>
      </c>
      <c r="Y71" s="3"/>
      <c r="Z71" s="7">
        <f t="shared" si="11"/>
        <v>1.3634429425303149</v>
      </c>
    </row>
    <row r="72" spans="1:26" s="69" customFormat="1" ht="15" hidden="1" customHeight="1" outlineLevel="2" x14ac:dyDescent="0.3">
      <c r="A72" s="26"/>
      <c r="B72" s="12" t="str">
        <f>CONCATENATE("          ","6243"," - ","PAPER SUPPLIES")</f>
        <v xml:space="preserve">          6243 - PAPER SUPPLIES</v>
      </c>
      <c r="C72" s="12"/>
      <c r="D72" s="8">
        <v>410.22</v>
      </c>
      <c r="E72" s="3"/>
      <c r="F72" s="7">
        <f t="shared" si="4"/>
        <v>1.3508373828488898E-2</v>
      </c>
      <c r="G72" s="3"/>
      <c r="H72" s="8">
        <v>199.93</v>
      </c>
      <c r="I72" s="3"/>
      <c r="J72" s="7">
        <f t="shared" si="5"/>
        <v>5.3999378789720325E-2</v>
      </c>
      <c r="K72" s="3"/>
      <c r="L72" s="8">
        <f t="shared" si="6"/>
        <v>210.29000000000002</v>
      </c>
      <c r="M72" s="3"/>
      <c r="N72" s="7">
        <f t="shared" si="7"/>
        <v>1.0518181363477217</v>
      </c>
      <c r="O72" s="12"/>
      <c r="P72" s="8">
        <v>7245.36</v>
      </c>
      <c r="Q72" s="3"/>
      <c r="R72" s="7">
        <f t="shared" si="8"/>
        <v>3.7155225485628503E-2</v>
      </c>
      <c r="S72" s="3"/>
      <c r="T72" s="8">
        <v>6682.58</v>
      </c>
      <c r="U72" s="3"/>
      <c r="V72" s="7">
        <f t="shared" si="9"/>
        <v>5.8262657557951583E-2</v>
      </c>
      <c r="W72" s="3"/>
      <c r="X72" s="8">
        <f t="shared" si="10"/>
        <v>562.77999999999975</v>
      </c>
      <c r="Y72" s="3"/>
      <c r="Z72" s="7">
        <f t="shared" si="11"/>
        <v>8.421597646417997E-2</v>
      </c>
    </row>
    <row r="73" spans="1:26" s="69" customFormat="1" ht="15" hidden="1" customHeight="1" outlineLevel="2" x14ac:dyDescent="0.3">
      <c r="A73" s="26"/>
      <c r="B73" s="12" t="str">
        <f>CONCATENATE("          ","6245"," - ","PRINTING")</f>
        <v xml:space="preserve">          6245 - PRINTING</v>
      </c>
      <c r="C73" s="12"/>
      <c r="D73" s="8">
        <v>-45.84</v>
      </c>
      <c r="E73" s="3"/>
      <c r="F73" s="7">
        <f t="shared" si="4"/>
        <v>-1.5094921171516043E-3</v>
      </c>
      <c r="G73" s="3"/>
      <c r="H73" s="8">
        <v>1766.38</v>
      </c>
      <c r="I73" s="3"/>
      <c r="J73" s="7">
        <f t="shared" si="5"/>
        <v>0.47708409296546889</v>
      </c>
      <c r="K73" s="3"/>
      <c r="L73" s="8">
        <f t="shared" si="6"/>
        <v>-1812.22</v>
      </c>
      <c r="M73" s="3"/>
      <c r="N73" s="7">
        <f t="shared" si="7"/>
        <v>-1.0259513807900904</v>
      </c>
      <c r="O73" s="12"/>
      <c r="P73" s="8">
        <v>5286.69</v>
      </c>
      <c r="Q73" s="3"/>
      <c r="R73" s="7">
        <f t="shared" si="8"/>
        <v>2.7110890145226371E-2</v>
      </c>
      <c r="S73" s="3"/>
      <c r="T73" s="8">
        <v>3051.93</v>
      </c>
      <c r="U73" s="3"/>
      <c r="V73" s="7">
        <f t="shared" si="9"/>
        <v>2.6608518338851035E-2</v>
      </c>
      <c r="W73" s="3"/>
      <c r="X73" s="8">
        <f t="shared" si="10"/>
        <v>2234.7599999999998</v>
      </c>
      <c r="Y73" s="3"/>
      <c r="Z73" s="7">
        <f t="shared" si="11"/>
        <v>0.73224484178863858</v>
      </c>
    </row>
    <row r="74" spans="1:26" s="69" customFormat="1" ht="15" hidden="1" customHeight="1" outlineLevel="2" x14ac:dyDescent="0.3">
      <c r="A74" s="26"/>
      <c r="B74" s="12" t="str">
        <f>CONCATENATE("          ","6247"," - ","STORE SUPPLIES")</f>
        <v xml:space="preserve">          6247 - STORE SUPPLIES</v>
      </c>
      <c r="C74" s="12"/>
      <c r="D74" s="8">
        <v>914.29</v>
      </c>
      <c r="E74" s="3"/>
      <c r="F74" s="7">
        <f t="shared" si="4"/>
        <v>3.0107189087926266E-2</v>
      </c>
      <c r="G74" s="3"/>
      <c r="H74" s="8">
        <v>1312.17</v>
      </c>
      <c r="I74" s="3"/>
      <c r="J74" s="7">
        <f t="shared" si="5"/>
        <v>0.3544058663857716</v>
      </c>
      <c r="K74" s="3"/>
      <c r="L74" s="8">
        <f t="shared" si="6"/>
        <v>-397.88000000000011</v>
      </c>
      <c r="M74" s="3"/>
      <c r="N74" s="7">
        <f t="shared" si="7"/>
        <v>-0.30322290556863829</v>
      </c>
      <c r="O74" s="12"/>
      <c r="P74" s="8">
        <v>15232.29</v>
      </c>
      <c r="Q74" s="3"/>
      <c r="R74" s="7">
        <f t="shared" si="8"/>
        <v>7.8113326268464817E-2</v>
      </c>
      <c r="S74" s="3"/>
      <c r="T74" s="8">
        <v>21095.02</v>
      </c>
      <c r="U74" s="3"/>
      <c r="V74" s="7">
        <f t="shared" si="9"/>
        <v>0.18391877485015365</v>
      </c>
      <c r="W74" s="3"/>
      <c r="X74" s="8">
        <f t="shared" si="10"/>
        <v>-5862.73</v>
      </c>
      <c r="Y74" s="3"/>
      <c r="Z74" s="7">
        <f t="shared" si="11"/>
        <v>-0.27792009678113599</v>
      </c>
    </row>
    <row r="75" spans="1:26" s="68" customFormat="1" ht="15" customHeight="1" outlineLevel="1" collapsed="1" x14ac:dyDescent="0.3">
      <c r="A75" s="25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SUM(OSRRefD22_12x_0)</f>
        <v>241.2</v>
      </c>
      <c r="E75" s="2"/>
      <c r="F75" s="6">
        <f t="shared" si="4"/>
        <v>7.9426155902479686E-3</v>
      </c>
      <c r="G75" s="2"/>
      <c r="H75" s="2">
        <f>SUM(OSRRefH22_12x_0)</f>
        <v>82.1</v>
      </c>
      <c r="I75" s="2"/>
      <c r="J75" s="6">
        <f t="shared" si="5"/>
        <v>2.2174506070304797E-2</v>
      </c>
      <c r="K75" s="2"/>
      <c r="L75" s="2">
        <f t="shared" si="6"/>
        <v>159.1</v>
      </c>
      <c r="M75" s="2"/>
      <c r="N75" s="6">
        <f t="shared" si="7"/>
        <v>1.9378806333739342</v>
      </c>
      <c r="O75" s="14"/>
      <c r="P75" s="2">
        <f>SUM(OSRRefP22_12x_0)</f>
        <v>1171.5999999999999</v>
      </c>
      <c r="Q75" s="2"/>
      <c r="R75" s="6">
        <f t="shared" si="8"/>
        <v>6.0081296414480926E-3</v>
      </c>
      <c r="S75" s="2"/>
      <c r="T75" s="2">
        <f>SUM(OSRRefT22_12x_0)</f>
        <v>1585.5</v>
      </c>
      <c r="U75" s="2"/>
      <c r="V75" s="6">
        <f t="shared" si="9"/>
        <v>1.3823320268239547E-2</v>
      </c>
      <c r="W75" s="2"/>
      <c r="X75" s="2">
        <f t="shared" si="10"/>
        <v>-413.90000000000009</v>
      </c>
      <c r="Y75" s="2"/>
      <c r="Z75" s="6">
        <f t="shared" si="11"/>
        <v>-0.26105329549038164</v>
      </c>
    </row>
    <row r="76" spans="1:26" s="69" customFormat="1" ht="15" hidden="1" customHeight="1" outlineLevel="2" x14ac:dyDescent="0.3">
      <c r="A76" s="26"/>
      <c r="B76" s="12" t="str">
        <f>CONCATENATE("          ","6309"," - ","TELEPHONE")</f>
        <v xml:space="preserve">          6309 - TELEPHONE</v>
      </c>
      <c r="C76" s="12"/>
      <c r="D76" s="8">
        <v>241.2</v>
      </c>
      <c r="E76" s="3"/>
      <c r="F76" s="7">
        <f t="shared" si="4"/>
        <v>7.9426155902479686E-3</v>
      </c>
      <c r="G76" s="3"/>
      <c r="H76" s="8">
        <v>82.1</v>
      </c>
      <c r="I76" s="3"/>
      <c r="J76" s="7">
        <f t="shared" si="5"/>
        <v>2.2174506070304797E-2</v>
      </c>
      <c r="K76" s="3"/>
      <c r="L76" s="8">
        <f t="shared" si="6"/>
        <v>159.1</v>
      </c>
      <c r="M76" s="3"/>
      <c r="N76" s="7">
        <f t="shared" si="7"/>
        <v>1.9378806333739342</v>
      </c>
      <c r="O76" s="12"/>
      <c r="P76" s="8">
        <v>1171.5999999999999</v>
      </c>
      <c r="Q76" s="3"/>
      <c r="R76" s="7">
        <f t="shared" si="8"/>
        <v>6.0081296414480926E-3</v>
      </c>
      <c r="S76" s="3"/>
      <c r="T76" s="8">
        <v>1585.5</v>
      </c>
      <c r="U76" s="3"/>
      <c r="V76" s="7">
        <f t="shared" si="9"/>
        <v>1.3823320268239547E-2</v>
      </c>
      <c r="W76" s="3"/>
      <c r="X76" s="8">
        <f t="shared" si="10"/>
        <v>-413.90000000000009</v>
      </c>
      <c r="Y76" s="3"/>
      <c r="Z76" s="7">
        <f t="shared" si="11"/>
        <v>-0.26105329549038164</v>
      </c>
    </row>
    <row r="77" spans="1:26" s="68" customFormat="1" ht="15" customHeight="1" outlineLevel="1" collapsed="1" x14ac:dyDescent="0.3">
      <c r="A77" s="25"/>
      <c r="B77" s="14" t="str">
        <f>CONCATENATE("     ","Utilities                                         ")</f>
        <v xml:space="preserve">     Utilities                                         </v>
      </c>
      <c r="C77" s="14"/>
      <c r="D77" s="2">
        <f>SUM(OSRRefD22_13x_0)</f>
        <v>0</v>
      </c>
      <c r="E77" s="2"/>
      <c r="F77" s="6">
        <f t="shared" si="4"/>
        <v>0</v>
      </c>
      <c r="G77" s="2"/>
      <c r="H77" s="2">
        <f>SUM(OSRRefH22_13x_0)</f>
        <v>0</v>
      </c>
      <c r="I77" s="2"/>
      <c r="J77" s="6">
        <f t="shared" si="5"/>
        <v>0</v>
      </c>
      <c r="K77" s="2"/>
      <c r="L77" s="2">
        <f t="shared" si="6"/>
        <v>0</v>
      </c>
      <c r="M77" s="2"/>
      <c r="N77" s="6">
        <f t="shared" si="7"/>
        <v>0</v>
      </c>
      <c r="O77" s="14"/>
      <c r="P77" s="2">
        <f>SUM(OSRRefP22_13x_0)</f>
        <v>0</v>
      </c>
      <c r="Q77" s="2"/>
      <c r="R77" s="6">
        <f t="shared" si="8"/>
        <v>0</v>
      </c>
      <c r="S77" s="2"/>
      <c r="T77" s="2">
        <f>SUM(OSRRefT22_13x_0)</f>
        <v>15.02</v>
      </c>
      <c r="U77" s="2"/>
      <c r="V77" s="6">
        <f t="shared" si="9"/>
        <v>1.3095318223207693E-4</v>
      </c>
      <c r="W77" s="2"/>
      <c r="X77" s="2">
        <f t="shared" si="10"/>
        <v>-15.02</v>
      </c>
      <c r="Y77" s="2"/>
      <c r="Z77" s="6">
        <f t="shared" si="11"/>
        <v>-1</v>
      </c>
    </row>
    <row r="78" spans="1:26" s="69" customFormat="1" ht="15" hidden="1" customHeight="1" outlineLevel="2" x14ac:dyDescent="0.3">
      <c r="A78" s="26"/>
      <c r="B78" s="12" t="str">
        <f>CONCATENATE("          ","6274"," - ","UTILITIES")</f>
        <v xml:space="preserve">          6274 - UTILITIES</v>
      </c>
      <c r="C78" s="12"/>
      <c r="D78" s="8"/>
      <c r="E78" s="3"/>
      <c r="F78" s="7">
        <f t="shared" si="4"/>
        <v>0</v>
      </c>
      <c r="G78" s="3"/>
      <c r="H78" s="8"/>
      <c r="I78" s="3"/>
      <c r="J78" s="7">
        <f t="shared" si="5"/>
        <v>0</v>
      </c>
      <c r="K78" s="3"/>
      <c r="L78" s="8">
        <f t="shared" si="6"/>
        <v>0</v>
      </c>
      <c r="M78" s="3"/>
      <c r="N78" s="7">
        <f t="shared" si="7"/>
        <v>0</v>
      </c>
      <c r="O78" s="12"/>
      <c r="P78" s="8"/>
      <c r="Q78" s="3"/>
      <c r="R78" s="7">
        <f t="shared" si="8"/>
        <v>0</v>
      </c>
      <c r="S78" s="3"/>
      <c r="T78" s="8">
        <v>15.02</v>
      </c>
      <c r="U78" s="3"/>
      <c r="V78" s="7">
        <f t="shared" si="9"/>
        <v>1.3095318223207693E-4</v>
      </c>
      <c r="W78" s="3"/>
      <c r="X78" s="8">
        <f t="shared" si="10"/>
        <v>-15.02</v>
      </c>
      <c r="Y78" s="3"/>
      <c r="Z78" s="7">
        <f t="shared" si="11"/>
        <v>-1</v>
      </c>
    </row>
    <row r="79" spans="1:26" s="64" customFormat="1" ht="15" customHeight="1" x14ac:dyDescent="0.3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collapsed="1" x14ac:dyDescent="0.3">
      <c r="A80" s="11"/>
      <c r="B80" s="27" t="s">
        <v>290</v>
      </c>
      <c r="C80" s="11"/>
      <c r="D80" s="5">
        <f>SUM(OSRRefD25x_0)</f>
        <v>3060.54</v>
      </c>
      <c r="E80" s="5"/>
      <c r="F80" s="13">
        <f>IF(D$12=0,0,D80/D$12)</f>
        <v>0.10078230812013897</v>
      </c>
      <c r="G80" s="5"/>
      <c r="H80" s="5">
        <f>SUM(OSRRefH25x_0)</f>
        <v>6782</v>
      </c>
      <c r="I80" s="5"/>
      <c r="J80" s="13">
        <f>IF(H$12=0,0,H80/H$12)</f>
        <v>1.8317600507771881</v>
      </c>
      <c r="K80" s="5"/>
      <c r="L80" s="5">
        <f>+D80-H80</f>
        <v>-3721.46</v>
      </c>
      <c r="M80" s="5"/>
      <c r="N80" s="13">
        <f>IF(H80=0,0,L80/H80)</f>
        <v>-0.54872603951636689</v>
      </c>
      <c r="O80" s="11"/>
      <c r="P80" s="5">
        <f>SUM(OSRRefP25x_0)</f>
        <v>18195.98</v>
      </c>
      <c r="Q80" s="5"/>
      <c r="R80" s="13">
        <f>IF(P$12=0,0,P80/P$12)</f>
        <v>9.331154557288894E-2</v>
      </c>
      <c r="S80" s="5"/>
      <c r="T80" s="5">
        <f>SUM(OSRRefT25x_0)</f>
        <v>67820</v>
      </c>
      <c r="U80" s="5"/>
      <c r="V80" s="13">
        <f>IF(T$12=0,0,T80/T$12)</f>
        <v>0.59129459513844596</v>
      </c>
      <c r="W80" s="5"/>
      <c r="X80" s="5">
        <f>+P80-T80</f>
        <v>-49624.020000000004</v>
      </c>
      <c r="Y80" s="5"/>
      <c r="Z80" s="13">
        <f>IF(T80=0,0,X80/T80)</f>
        <v>-0.73170185785903874</v>
      </c>
    </row>
    <row r="81" spans="1:26" s="69" customFormat="1" ht="15" hidden="1" customHeight="1" outlineLevel="1" x14ac:dyDescent="0.3">
      <c r="A81" s="42"/>
      <c r="B81" s="12" t="str">
        <f>CONCATENATE("          ","9150"," - ","MISC. INCOME")</f>
        <v xml:space="preserve">          9150 - MISC. INCOME</v>
      </c>
      <c r="C81" s="12"/>
      <c r="D81" s="3">
        <f>--3060.54</f>
        <v>3060.54</v>
      </c>
      <c r="E81" s="3"/>
      <c r="F81" s="20">
        <f>IF(D$12=0,0,D81/D$12)</f>
        <v>0.10078230812013897</v>
      </c>
      <c r="G81" s="3"/>
      <c r="H81" s="3">
        <f>--6782</f>
        <v>6782</v>
      </c>
      <c r="I81" s="3"/>
      <c r="J81" s="20">
        <f>IF(H$12=0,0,H81/H$12)</f>
        <v>1.8317600507771881</v>
      </c>
      <c r="K81" s="3"/>
      <c r="L81" s="3">
        <f>+D81-H81</f>
        <v>-3721.46</v>
      </c>
      <c r="M81" s="3"/>
      <c r="N81" s="20">
        <f>IF(H81=0,0,L81/H81)</f>
        <v>-0.54872603951636689</v>
      </c>
      <c r="O81" s="12"/>
      <c r="P81" s="3">
        <f>--18195.98</f>
        <v>18195.98</v>
      </c>
      <c r="Q81" s="3"/>
      <c r="R81" s="20">
        <f>IF(P$12=0,0,P81/P$12)</f>
        <v>9.331154557288894E-2</v>
      </c>
      <c r="S81" s="3"/>
      <c r="T81" s="3">
        <f>--67820</f>
        <v>67820</v>
      </c>
      <c r="U81" s="3"/>
      <c r="V81" s="20">
        <f>IF(T$12=0,0,T81/T$12)</f>
        <v>0.59129459513844596</v>
      </c>
      <c r="W81" s="3"/>
      <c r="X81" s="3">
        <f>+P81-T81</f>
        <v>-49624.020000000004</v>
      </c>
      <c r="Y81" s="3"/>
      <c r="Z81" s="20">
        <f>IF(T81=0,0,X81/T81)</f>
        <v>-0.73170185785903874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291</v>
      </c>
      <c r="C83" s="28"/>
      <c r="D83" s="21">
        <f>+D30-D32+D80</f>
        <v>5044.1500000000005</v>
      </c>
      <c r="E83" s="15"/>
      <c r="F83" s="23">
        <f>IF(D$12=0,0,D83/D$12)</f>
        <v>0.16610175965816459</v>
      </c>
      <c r="G83" s="15"/>
      <c r="H83" s="21">
        <f>+H30-H32+H80</f>
        <v>-4810.41</v>
      </c>
      <c r="I83" s="15"/>
      <c r="J83" s="23">
        <f>IF(H$12=0,0,H83/H$12)</f>
        <v>-1.2992504962929952</v>
      </c>
      <c r="K83" s="16"/>
      <c r="L83" s="21">
        <f>+D83-H83</f>
        <v>9854.5600000000013</v>
      </c>
      <c r="M83" s="16"/>
      <c r="N83" s="23">
        <f>IF(H83=0,0,L83/H83)</f>
        <v>-2.0485904527888477</v>
      </c>
      <c r="O83" s="27"/>
      <c r="P83" s="21">
        <f>+P30-P32+P80</f>
        <v>-32081.699999999964</v>
      </c>
      <c r="Q83" s="15"/>
      <c r="R83" s="23">
        <f>IF(P$12=0,0,P83/P$12)</f>
        <v>-0.1645194714220255</v>
      </c>
      <c r="S83" s="15"/>
      <c r="T83" s="21">
        <f>+T30-T32+T80</f>
        <v>-90042.290000000095</v>
      </c>
      <c r="U83" s="15"/>
      <c r="V83" s="23">
        <f>IF(T$12=0,0,T83/T$12)</f>
        <v>-0.78504157196827773</v>
      </c>
      <c r="W83" s="16"/>
      <c r="X83" s="21">
        <f>+P83-T83</f>
        <v>57960.590000000127</v>
      </c>
      <c r="Y83" s="16"/>
      <c r="Z83" s="23">
        <f>IF(T83=0,0,X83/T83)</f>
        <v>-0.64370408615773844</v>
      </c>
    </row>
    <row r="84" spans="1:26" ht="15" customHeight="1" x14ac:dyDescent="0.3">
      <c r="A84" s="10"/>
      <c r="B84" s="11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48"/>
      <c r="B85" s="11" t="s">
        <v>292</v>
      </c>
      <c r="C85" s="11"/>
      <c r="D85" s="5">
        <v>2441.89</v>
      </c>
      <c r="E85" s="5"/>
      <c r="F85" s="13">
        <f>IF(D$12=0,0,D85/D$12)</f>
        <v>8.0410421159496731E-2</v>
      </c>
      <c r="G85" s="5"/>
      <c r="H85" s="5">
        <v>1120.05</v>
      </c>
      <c r="I85" s="5"/>
      <c r="J85" s="13">
        <f>IF(H$12=0,0,H85/H$12)</f>
        <v>0.3025159016327027</v>
      </c>
      <c r="K85" s="5"/>
      <c r="L85" s="5">
        <f>+D85-H85</f>
        <v>1321.84</v>
      </c>
      <c r="M85" s="5"/>
      <c r="N85" s="13">
        <f>IF(H85=0,0,L85/H85)</f>
        <v>1.1801615999285746</v>
      </c>
      <c r="O85" s="11"/>
      <c r="P85" s="5">
        <v>22090.63</v>
      </c>
      <c r="Q85" s="5"/>
      <c r="R85" s="13">
        <f>IF(P$12=0,0,P85/P$12)</f>
        <v>0.11328385874126196</v>
      </c>
      <c r="S85" s="5"/>
      <c r="T85" s="5">
        <v>23995.18</v>
      </c>
      <c r="U85" s="5"/>
      <c r="V85" s="13">
        <f>IF(T$12=0,0,T85/T$12)</f>
        <v>0.20920407318451983</v>
      </c>
      <c r="W85" s="5"/>
      <c r="X85" s="5">
        <f>+P85-T85</f>
        <v>-1904.5499999999993</v>
      </c>
      <c r="Y85" s="5"/>
      <c r="Z85" s="13">
        <f>IF(T85=0,0,X85/T85)</f>
        <v>-7.9372190581608437E-2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8" t="s">
        <v>293</v>
      </c>
      <c r="C87" s="28"/>
      <c r="D87" s="34">
        <f>+D83-D85</f>
        <v>2602.2600000000007</v>
      </c>
      <c r="E87" s="15"/>
      <c r="F87" s="30">
        <f>IF(D$12=0,0,D87/D$12)</f>
        <v>8.5691338498667849E-2</v>
      </c>
      <c r="G87" s="15"/>
      <c r="H87" s="34">
        <f>+H83-H85</f>
        <v>-5930.46</v>
      </c>
      <c r="I87" s="15"/>
      <c r="J87" s="30">
        <f>IF(H$12=0,0,H87/H$12)</f>
        <v>-1.601766397925698</v>
      </c>
      <c r="K87" s="16"/>
      <c r="L87" s="34">
        <f>D87-H87</f>
        <v>8532.7200000000012</v>
      </c>
      <c r="M87" s="16"/>
      <c r="N87" s="30">
        <f>IF(H87=0,0,L87/H87)</f>
        <v>-1.4387956414848091</v>
      </c>
      <c r="O87" s="27"/>
      <c r="P87" s="34">
        <f>+P83-P85</f>
        <v>-54172.329999999965</v>
      </c>
      <c r="Q87" s="15"/>
      <c r="R87" s="30">
        <f>IF(P$12=0,0,P87/P$12)</f>
        <v>-0.27780333016328745</v>
      </c>
      <c r="S87" s="15"/>
      <c r="T87" s="34">
        <f>+T83-T85</f>
        <v>-114037.47000000009</v>
      </c>
      <c r="U87" s="15"/>
      <c r="V87" s="30">
        <f>IF(T$12=0,0,T87/T$12)</f>
        <v>-0.99424564515279756</v>
      </c>
      <c r="W87" s="16"/>
      <c r="X87" s="34">
        <f>P87-T87</f>
        <v>59865.140000000123</v>
      </c>
      <c r="Y87" s="16"/>
      <c r="Z87" s="30">
        <f>IF(T87=0,0,X87/T87)</f>
        <v>-0.52496026086864322</v>
      </c>
    </row>
    <row r="88" spans="1:26" ht="15" customHeight="1" x14ac:dyDescent="0.3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296</v>
      </c>
      <c r="C90" s="28"/>
      <c r="D90" s="29">
        <f>SUM(D87:D89)</f>
        <v>2602.2600000000007</v>
      </c>
      <c r="E90" s="15"/>
      <c r="F90" s="35">
        <f>IF(D$12=0,0,D90/D$12)</f>
        <v>8.5691338498667849E-2</v>
      </c>
      <c r="G90" s="15"/>
      <c r="H90" s="29">
        <f>SUM(H87:H89)</f>
        <v>-5930.46</v>
      </c>
      <c r="I90" s="15"/>
      <c r="J90" s="35">
        <f>IF(H$12=0,0,H90/H$12)</f>
        <v>-1.601766397925698</v>
      </c>
      <c r="K90" s="16"/>
      <c r="L90" s="29">
        <f>+D90-H90</f>
        <v>8532.7200000000012</v>
      </c>
      <c r="M90" s="16"/>
      <c r="N90" s="35">
        <f>IF(H90=0,0,L90/H90)</f>
        <v>-1.4387956414848091</v>
      </c>
      <c r="O90" s="27"/>
      <c r="P90" s="29">
        <f>SUM(P87:P89)</f>
        <v>-54172.329999999965</v>
      </c>
      <c r="Q90" s="15"/>
      <c r="R90" s="35">
        <f>IF(P$12=0,0,P90/P$12)</f>
        <v>-0.27780333016328745</v>
      </c>
      <c r="S90" s="15"/>
      <c r="T90" s="29">
        <f>SUM(T87:T89)</f>
        <v>-114037.47000000009</v>
      </c>
      <c r="U90" s="15"/>
      <c r="V90" s="35">
        <f>IF(T$12=0,0,T90/T$12)</f>
        <v>-0.99424564515279756</v>
      </c>
      <c r="W90" s="16"/>
      <c r="X90" s="29">
        <f>+P90-T90</f>
        <v>59865.140000000123</v>
      </c>
      <c r="Y90" s="16"/>
      <c r="Z90" s="35">
        <f>IF(T90=0,0,X90/T90)</f>
        <v>-0.52496026086864322</v>
      </c>
    </row>
    <row r="91" spans="1:26" ht="15" customHeight="1" x14ac:dyDescent="0.3">
      <c r="A91" s="10"/>
      <c r="C91" s="10"/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3">
      <c r="A92" s="10"/>
      <c r="B92" s="56">
        <v>44694.890829479169</v>
      </c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3">
      <c r="A93" s="10"/>
      <c r="B93" s="52" t="s">
        <v>297</v>
      </c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3">
      <c r="A94" s="10"/>
      <c r="B94" s="58"/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  <row r="95" spans="1:26" ht="15" customHeight="1" x14ac:dyDescent="0.3"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050E2-3D6C-16F8-7434-5BD827C88D41}">
  <sheetPr>
    <tabColor rgb="FFFFC000"/>
    <outlinePr summaryBelow="0" summaryRight="0"/>
  </sheetPr>
  <dimension ref="A2:Z11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314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320045.63000000006</v>
      </c>
      <c r="E12" s="5"/>
      <c r="F12" s="13"/>
      <c r="G12" s="5"/>
      <c r="H12" s="5">
        <f>SUM(OSRRefH13x_0)</f>
        <v>403227.43999999994</v>
      </c>
      <c r="I12" s="5"/>
      <c r="J12" s="13"/>
      <c r="K12" s="5"/>
      <c r="L12" s="5">
        <f t="shared" ref="L12:L34" si="0">+D12-H12</f>
        <v>-83181.809999999881</v>
      </c>
      <c r="M12" s="5"/>
      <c r="N12" s="13">
        <f t="shared" ref="N12:N34" si="1">IF(H12=0,0,L12/H12)</f>
        <v>-0.20629005307773671</v>
      </c>
      <c r="O12" s="11"/>
      <c r="P12" s="5">
        <f>SUM(OSRRefP13x_0)</f>
        <v>2070517.48</v>
      </c>
      <c r="Q12" s="5"/>
      <c r="R12" s="13"/>
      <c r="S12" s="5"/>
      <c r="T12" s="5">
        <f>SUM(OSRRefT13x_0)</f>
        <v>2422783.8999999994</v>
      </c>
      <c r="U12" s="5"/>
      <c r="V12" s="13"/>
      <c r="W12" s="5"/>
      <c r="X12" s="5">
        <f t="shared" ref="X12:X34" si="2">+P12-T12</f>
        <v>-352266.41999999946</v>
      </c>
      <c r="Y12" s="5"/>
      <c r="Z12" s="13">
        <f t="shared" ref="Z12:Z34" si="3">IF(T12=0,0,X12/T12)</f>
        <v>-0.1453973753086272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--489932.51</f>
        <v>489932.51</v>
      </c>
      <c r="E13" s="3"/>
      <c r="F13" s="20"/>
      <c r="G13" s="3"/>
      <c r="H13" s="3">
        <f>-174.96</f>
        <v>-174.96</v>
      </c>
      <c r="I13" s="3"/>
      <c r="J13" s="20"/>
      <c r="K13" s="3"/>
      <c r="L13" s="3">
        <f t="shared" si="0"/>
        <v>490107.47000000003</v>
      </c>
      <c r="M13" s="3"/>
      <c r="N13" s="20">
        <f t="shared" si="1"/>
        <v>-2801.2544010059441</v>
      </c>
      <c r="O13" s="12"/>
      <c r="P13" s="3">
        <f>--1948608.19</f>
        <v>1948608.19</v>
      </c>
      <c r="Q13" s="3"/>
      <c r="R13" s="20"/>
      <c r="S13" s="3"/>
      <c r="T13" s="3">
        <f>-2908.11</f>
        <v>-2908.11</v>
      </c>
      <c r="U13" s="3"/>
      <c r="V13" s="20"/>
      <c r="W13" s="3"/>
      <c r="X13" s="3">
        <f t="shared" si="2"/>
        <v>1951516.3</v>
      </c>
      <c r="Y13" s="3"/>
      <c r="Z13" s="20">
        <f t="shared" si="3"/>
        <v>-671.06000116914424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--1628.82</f>
        <v>1628.82</v>
      </c>
      <c r="I14" s="3"/>
      <c r="J14" s="20"/>
      <c r="K14" s="3"/>
      <c r="L14" s="3">
        <f t="shared" si="0"/>
        <v>-1628.82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--62096.07</f>
        <v>62096.07</v>
      </c>
      <c r="U14" s="3"/>
      <c r="V14" s="20"/>
      <c r="W14" s="3"/>
      <c r="X14" s="3">
        <f t="shared" si="2"/>
        <v>-62096.07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--354181.27</f>
        <v>354181.27</v>
      </c>
      <c r="I15" s="3"/>
      <c r="J15" s="20"/>
      <c r="K15" s="3"/>
      <c r="L15" s="3">
        <f t="shared" si="0"/>
        <v>-354181.27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--2012047.63</f>
        <v>2012047.63</v>
      </c>
      <c r="U15" s="3"/>
      <c r="V15" s="20"/>
      <c r="W15" s="3"/>
      <c r="X15" s="3">
        <f t="shared" si="2"/>
        <v>-2012047.63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--7273.67</f>
        <v>7273.67</v>
      </c>
      <c r="I16" s="3"/>
      <c r="J16" s="20"/>
      <c r="K16" s="3"/>
      <c r="L16" s="3">
        <f t="shared" si="0"/>
        <v>-7273.67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--126932.94</f>
        <v>126932.94</v>
      </c>
      <c r="U16" s="3"/>
      <c r="V16" s="20"/>
      <c r="W16" s="3"/>
      <c r="X16" s="3">
        <f t="shared" si="2"/>
        <v>-126932.94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--1771.88</f>
        <v>1771.88</v>
      </c>
      <c r="I17" s="3"/>
      <c r="J17" s="20"/>
      <c r="K17" s="3"/>
      <c r="L17" s="3">
        <f t="shared" si="0"/>
        <v>-1771.88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--4870.79</f>
        <v>4870.79</v>
      </c>
      <c r="U17" s="3"/>
      <c r="V17" s="20"/>
      <c r="W17" s="3"/>
      <c r="X17" s="3">
        <f t="shared" si="2"/>
        <v>-4870.79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--5818.73</f>
        <v>5818.73</v>
      </c>
      <c r="I18" s="3"/>
      <c r="J18" s="20"/>
      <c r="K18" s="3"/>
      <c r="L18" s="3">
        <f t="shared" si="0"/>
        <v>-5818.73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--65269.63</f>
        <v>65269.63</v>
      </c>
      <c r="U18" s="3"/>
      <c r="V18" s="20"/>
      <c r="W18" s="3"/>
      <c r="X18" s="3">
        <f t="shared" si="2"/>
        <v>-65269.63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--52054.68</f>
        <v>52054.68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52054.68</v>
      </c>
      <c r="M19" s="3"/>
      <c r="N19" s="20">
        <f t="shared" si="1"/>
        <v>0</v>
      </c>
      <c r="O19" s="12"/>
      <c r="P19" s="3">
        <f>--625634</f>
        <v>625634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625634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--29.99</f>
        <v>29.99</v>
      </c>
      <c r="I20" s="3"/>
      <c r="J20" s="20"/>
      <c r="K20" s="3"/>
      <c r="L20" s="3">
        <f t="shared" si="0"/>
        <v>-29.99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--12508.62</f>
        <v>12508.62</v>
      </c>
      <c r="U20" s="3"/>
      <c r="V20" s="20"/>
      <c r="W20" s="3"/>
      <c r="X20" s="3">
        <f t="shared" si="2"/>
        <v>-12508.62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--61075.64</f>
        <v>61075.64</v>
      </c>
      <c r="I21" s="3"/>
      <c r="J21" s="20"/>
      <c r="K21" s="3"/>
      <c r="L21" s="3">
        <f t="shared" si="0"/>
        <v>-61075.64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--314490.47</f>
        <v>314490.46999999997</v>
      </c>
      <c r="U21" s="3"/>
      <c r="V21" s="20"/>
      <c r="W21" s="3"/>
      <c r="X21" s="3">
        <f t="shared" si="2"/>
        <v>-314490.46999999997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--2879.59</f>
        <v>2879.59</v>
      </c>
      <c r="I22" s="3"/>
      <c r="J22" s="20"/>
      <c r="K22" s="3"/>
      <c r="L22" s="3">
        <f t="shared" si="0"/>
        <v>-2879.59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--19486.02</f>
        <v>19486.02</v>
      </c>
      <c r="U22" s="3"/>
      <c r="V22" s="20"/>
      <c r="W22" s="3"/>
      <c r="X22" s="3">
        <f t="shared" si="2"/>
        <v>-19486.02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--11345.61</f>
        <v>11345.61</v>
      </c>
      <c r="I23" s="3"/>
      <c r="J23" s="20"/>
      <c r="K23" s="3"/>
      <c r="L23" s="3">
        <f t="shared" si="0"/>
        <v>-11345.61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--50032.39</f>
        <v>50032.39</v>
      </c>
      <c r="U23" s="3"/>
      <c r="V23" s="20"/>
      <c r="W23" s="3"/>
      <c r="X23" s="3">
        <f t="shared" si="2"/>
        <v>-50032.39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--89.97</f>
        <v>89.97</v>
      </c>
      <c r="I24" s="3"/>
      <c r="J24" s="20"/>
      <c r="K24" s="3"/>
      <c r="L24" s="3">
        <f t="shared" si="0"/>
        <v>-89.97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--3345.17</f>
        <v>3345.17</v>
      </c>
      <c r="U24" s="3"/>
      <c r="V24" s="20"/>
      <c r="W24" s="3"/>
      <c r="X24" s="3">
        <f t="shared" si="2"/>
        <v>-3345.17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-221809.74</f>
        <v>-221809.74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-221809.74</v>
      </c>
      <c r="M25" s="3"/>
      <c r="N25" s="20">
        <f t="shared" si="1"/>
        <v>0</v>
      </c>
      <c r="O25" s="12"/>
      <c r="P25" s="3">
        <f>-501319.95</f>
        <v>-501319.95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-501319.95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-42380</f>
        <v>-42380</v>
      </c>
      <c r="I27" s="3"/>
      <c r="J27" s="20"/>
      <c r="K27" s="3"/>
      <c r="L27" s="3">
        <f t="shared" si="0"/>
        <v>42380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-215145.16</f>
        <v>-215145.16</v>
      </c>
      <c r="U27" s="3"/>
      <c r="V27" s="20"/>
      <c r="W27" s="3"/>
      <c r="X27" s="3">
        <f t="shared" si="2"/>
        <v>215145.16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-197.95</f>
        <v>-197.95</v>
      </c>
      <c r="I28" s="3"/>
      <c r="J28" s="20"/>
      <c r="K28" s="3"/>
      <c r="L28" s="3">
        <f t="shared" si="0"/>
        <v>197.95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-3947.2</f>
        <v>-3947.2</v>
      </c>
      <c r="U28" s="3"/>
      <c r="V28" s="20"/>
      <c r="W28" s="3"/>
      <c r="X28" s="3">
        <f t="shared" si="2"/>
        <v>3947.2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-99.83</f>
        <v>-99.83</v>
      </c>
      <c r="I29" s="3"/>
      <c r="J29" s="20"/>
      <c r="K29" s="3"/>
      <c r="L29" s="3">
        <f t="shared" si="0"/>
        <v>99.83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-1091.79</f>
        <v>-1091.79</v>
      </c>
      <c r="U29" s="3"/>
      <c r="V29" s="20"/>
      <c r="W29" s="3"/>
      <c r="X29" s="3">
        <f t="shared" si="2"/>
        <v>1091.79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","4383"," - ","SALES RETURN NON TAXABLE-COMPU")</f>
        <v xml:space="preserve">          4383 - SALES RETURN NON TAXABLE-COMPU</v>
      </c>
      <c r="C33" s="12"/>
      <c r="D33" s="3">
        <f>0</f>
        <v>0</v>
      </c>
      <c r="E33" s="3"/>
      <c r="F33" s="20"/>
      <c r="G33" s="3"/>
      <c r="H33" s="3">
        <f>-14.99</f>
        <v>-14.99</v>
      </c>
      <c r="I33" s="3"/>
      <c r="J33" s="20"/>
      <c r="K33" s="3"/>
      <c r="L33" s="3">
        <f t="shared" si="0"/>
        <v>14.99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-14.99</f>
        <v>-14.99</v>
      </c>
      <c r="U33" s="3"/>
      <c r="V33" s="20"/>
      <c r="W33" s="3"/>
      <c r="X33" s="3">
        <f t="shared" si="2"/>
        <v>14.99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","4500"," - ","SALES DISCOUNT")</f>
        <v xml:space="preserve">          4500 - SALES DISCOUNT</v>
      </c>
      <c r="C34" s="12"/>
      <c r="D34" s="3">
        <f>-131.82</f>
        <v>-131.82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-131.82</v>
      </c>
      <c r="M34" s="3"/>
      <c r="N34" s="20">
        <f t="shared" si="1"/>
        <v>0</v>
      </c>
      <c r="O34" s="12"/>
      <c r="P34" s="3">
        <f>-1290.24</f>
        <v>-1290.24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-1290.24</v>
      </c>
      <c r="Y34" s="3"/>
      <c r="Z34" s="20">
        <f t="shared" si="3"/>
        <v>0</v>
      </c>
    </row>
    <row r="35" spans="1:26" ht="15" customHeight="1" x14ac:dyDescent="0.3">
      <c r="A35" s="10"/>
      <c r="B35" s="11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collapsed="1" x14ac:dyDescent="0.3">
      <c r="A36" s="11"/>
      <c r="B36" s="27" t="s">
        <v>287</v>
      </c>
      <c r="C36" s="11"/>
      <c r="D36" s="5">
        <f>SUM(OSRRefD16x_0)</f>
        <v>291821.21000000002</v>
      </c>
      <c r="E36" s="5"/>
      <c r="F36" s="13">
        <f t="shared" ref="F36:F50" si="4">IF(D$12=0,0,D36/D$12)</f>
        <v>0.91181126266276458</v>
      </c>
      <c r="G36" s="5"/>
      <c r="H36" s="5">
        <f>SUM(OSRRefH16x_0)</f>
        <v>369412.99999999994</v>
      </c>
      <c r="I36" s="5"/>
      <c r="J36" s="13">
        <f t="shared" ref="J36:J50" si="5">IF(H$12=0,0,H36/H$12)</f>
        <v>0.91614052853149075</v>
      </c>
      <c r="K36" s="5"/>
      <c r="L36" s="5">
        <f t="shared" ref="L36:L50" si="6">+D36-H36</f>
        <v>-77591.789999999921</v>
      </c>
      <c r="M36" s="5"/>
      <c r="N36" s="13">
        <f t="shared" ref="N36:N50" si="7">IF(H36=0,0,L36/H36)</f>
        <v>-0.21004076737959934</v>
      </c>
      <c r="O36" s="11"/>
      <c r="P36" s="5">
        <f>SUM(OSRRefP16x_0)</f>
        <v>1768593.54</v>
      </c>
      <c r="Q36" s="5"/>
      <c r="R36" s="13">
        <f t="shared" ref="R36:R50" si="8">IF(P$12=0,0,P36/P$12)</f>
        <v>0.85417947787622639</v>
      </c>
      <c r="S36" s="5"/>
      <c r="T36" s="5">
        <f>SUM(OSRRefT16x_0)</f>
        <v>2233934.84</v>
      </c>
      <c r="U36" s="5"/>
      <c r="V36" s="13">
        <f t="shared" ref="V36:V50" si="9">IF(T$12=0,0,T36/T$12)</f>
        <v>0.92205286653919083</v>
      </c>
      <c r="W36" s="5"/>
      <c r="X36" s="5">
        <f t="shared" ref="X36:X50" si="10">+P36-T36</f>
        <v>-465341.29999999981</v>
      </c>
      <c r="Y36" s="5"/>
      <c r="Z36" s="13">
        <f t="shared" ref="Z36:Z50" si="11">IF(T36=0,0,X36/T36)</f>
        <v>-0.20830567287271451</v>
      </c>
    </row>
    <row r="37" spans="1:26" s="69" customFormat="1" ht="15" hidden="1" customHeight="1" outlineLevel="1" x14ac:dyDescent="0.3">
      <c r="A37" s="42"/>
      <c r="B37" s="12" t="str">
        <f>CONCATENATE("          ","5000"," - ","PURCHASES @ COST")</f>
        <v xml:space="preserve">          5000 - PURCHASES @ COST</v>
      </c>
      <c r="C37" s="12"/>
      <c r="D37" s="3">
        <v>208073.68</v>
      </c>
      <c r="E37" s="3"/>
      <c r="F37" s="20">
        <f t="shared" si="4"/>
        <v>0.65013754444952099</v>
      </c>
      <c r="G37" s="3"/>
      <c r="H37" s="3"/>
      <c r="I37" s="3"/>
      <c r="J37" s="20">
        <f t="shared" si="5"/>
        <v>0</v>
      </c>
      <c r="K37" s="3"/>
      <c r="L37" s="3">
        <f t="shared" si="6"/>
        <v>208073.68</v>
      </c>
      <c r="M37" s="3"/>
      <c r="N37" s="20">
        <f t="shared" si="7"/>
        <v>0</v>
      </c>
      <c r="O37" s="12"/>
      <c r="P37" s="3">
        <v>1758099.22</v>
      </c>
      <c r="Q37" s="3"/>
      <c r="R37" s="20">
        <f t="shared" si="8"/>
        <v>0.8491110251336782</v>
      </c>
      <c r="S37" s="3"/>
      <c r="T37" s="3">
        <v>0</v>
      </c>
      <c r="U37" s="3"/>
      <c r="V37" s="20">
        <f t="shared" si="9"/>
        <v>0</v>
      </c>
      <c r="W37" s="3"/>
      <c r="X37" s="3">
        <f t="shared" si="10"/>
        <v>1758099.22</v>
      </c>
      <c r="Y37" s="3"/>
      <c r="Z37" s="20">
        <f t="shared" si="11"/>
        <v>0</v>
      </c>
    </row>
    <row r="38" spans="1:26" s="69" customFormat="1" ht="15" hidden="1" customHeight="1" outlineLevel="1" x14ac:dyDescent="0.3">
      <c r="A38" s="42"/>
      <c r="B38" s="12" t="str">
        <f>CONCATENATE("          ","5081"," - ","PURCHASES @ COST-ELECTRONICS")</f>
        <v xml:space="preserve">          5081 - PURCHASES @ COST-ELECTRONICS</v>
      </c>
      <c r="C38" s="12"/>
      <c r="D38" s="3"/>
      <c r="E38" s="3"/>
      <c r="F38" s="20">
        <f t="shared" si="4"/>
        <v>0</v>
      </c>
      <c r="G38" s="3"/>
      <c r="H38" s="3">
        <v>-19.5</v>
      </c>
      <c r="I38" s="3"/>
      <c r="J38" s="20">
        <f t="shared" si="5"/>
        <v>-4.8359804084761701E-5</v>
      </c>
      <c r="K38" s="3"/>
      <c r="L38" s="3">
        <f t="shared" si="6"/>
        <v>19.5</v>
      </c>
      <c r="M38" s="3"/>
      <c r="N38" s="20">
        <f t="shared" si="7"/>
        <v>-1</v>
      </c>
      <c r="O38" s="12"/>
      <c r="P38" s="3">
        <v>0</v>
      </c>
      <c r="Q38" s="3"/>
      <c r="R38" s="20">
        <f t="shared" si="8"/>
        <v>0</v>
      </c>
      <c r="S38" s="3"/>
      <c r="T38" s="3">
        <v>32448.37</v>
      </c>
      <c r="U38" s="3"/>
      <c r="V38" s="20">
        <f t="shared" si="9"/>
        <v>1.3393010412525858E-2</v>
      </c>
      <c r="W38" s="3"/>
      <c r="X38" s="3">
        <f t="shared" si="10"/>
        <v>-32448.37</v>
      </c>
      <c r="Y38" s="3"/>
      <c r="Z38" s="20">
        <f t="shared" si="11"/>
        <v>-1</v>
      </c>
    </row>
    <row r="39" spans="1:26" s="69" customFormat="1" ht="15" hidden="1" customHeight="1" outlineLevel="1" x14ac:dyDescent="0.3">
      <c r="A39" s="42"/>
      <c r="B39" s="12" t="str">
        <f>CONCATENATE("          ","5082"," - ","PURCHASES @ COST-COMPUTER HARD")</f>
        <v xml:space="preserve">          5082 - PURCHASES @ COST-COMPUTER HARD</v>
      </c>
      <c r="C39" s="12"/>
      <c r="D39" s="3"/>
      <c r="E39" s="3"/>
      <c r="F39" s="20">
        <f t="shared" si="4"/>
        <v>0</v>
      </c>
      <c r="G39" s="3"/>
      <c r="H39" s="3">
        <v>277047.03999999998</v>
      </c>
      <c r="I39" s="3"/>
      <c r="J39" s="20">
        <f t="shared" si="5"/>
        <v>0.68707387572631473</v>
      </c>
      <c r="K39" s="3"/>
      <c r="L39" s="3">
        <f t="shared" si="6"/>
        <v>-277047.03999999998</v>
      </c>
      <c r="M39" s="3"/>
      <c r="N39" s="20">
        <f t="shared" si="7"/>
        <v>-1</v>
      </c>
      <c r="O39" s="12"/>
      <c r="P39" s="3">
        <v>-110193.26</v>
      </c>
      <c r="Q39" s="3"/>
      <c r="R39" s="20">
        <f t="shared" si="8"/>
        <v>-5.3220154412799259E-2</v>
      </c>
      <c r="S39" s="3"/>
      <c r="T39" s="3">
        <v>1673340.8</v>
      </c>
      <c r="U39" s="3"/>
      <c r="V39" s="20">
        <f t="shared" si="9"/>
        <v>0.69066861472870134</v>
      </c>
      <c r="W39" s="3"/>
      <c r="X39" s="3">
        <f t="shared" si="10"/>
        <v>-1783534.06</v>
      </c>
      <c r="Y39" s="3"/>
      <c r="Z39" s="20">
        <f t="shared" si="11"/>
        <v>-1.065852251974015</v>
      </c>
    </row>
    <row r="40" spans="1:26" s="69" customFormat="1" ht="15" hidden="1" customHeight="1" outlineLevel="1" x14ac:dyDescent="0.3">
      <c r="A40" s="42"/>
      <c r="B40" s="12" t="str">
        <f>CONCATENATE("          ","5083"," - ","PURCHASES @ COST-COMPUTER EQUI")</f>
        <v xml:space="preserve">          5083 - PURCHASES @ COST-COMPUTER EQUI</v>
      </c>
      <c r="C40" s="12"/>
      <c r="D40" s="3"/>
      <c r="E40" s="3"/>
      <c r="F40" s="20">
        <f t="shared" si="4"/>
        <v>0</v>
      </c>
      <c r="G40" s="3"/>
      <c r="H40" s="3">
        <v>14312.16</v>
      </c>
      <c r="I40" s="3"/>
      <c r="J40" s="20">
        <f t="shared" si="5"/>
        <v>3.5494013006654515E-2</v>
      </c>
      <c r="K40" s="3"/>
      <c r="L40" s="3">
        <f t="shared" si="6"/>
        <v>-14312.16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119515.49</v>
      </c>
      <c r="U40" s="3"/>
      <c r="V40" s="20">
        <f t="shared" si="9"/>
        <v>4.9329818478651782E-2</v>
      </c>
      <c r="W40" s="3"/>
      <c r="X40" s="3">
        <f t="shared" si="10"/>
        <v>-119515.49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","5085"," - ","PURCHASES @ COST-SOFTWARE")</f>
        <v xml:space="preserve">          5085 - PURCHASES @ COST-SOFTWARE</v>
      </c>
      <c r="C41" s="12"/>
      <c r="D41" s="3"/>
      <c r="E41" s="3"/>
      <c r="F41" s="20">
        <f t="shared" si="4"/>
        <v>0</v>
      </c>
      <c r="G41" s="3"/>
      <c r="H41" s="3">
        <v>4012.17</v>
      </c>
      <c r="I41" s="3"/>
      <c r="J41" s="20">
        <f t="shared" si="5"/>
        <v>9.9501412899876077E-3</v>
      </c>
      <c r="K41" s="3"/>
      <c r="L41" s="3">
        <f t="shared" si="6"/>
        <v>-4012.17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37910.879999999997</v>
      </c>
      <c r="U41" s="3"/>
      <c r="V41" s="20">
        <f t="shared" si="9"/>
        <v>1.5647652273073138E-2</v>
      </c>
      <c r="W41" s="3"/>
      <c r="X41" s="3">
        <f t="shared" si="10"/>
        <v>-37910.879999999997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","5086"," - ","PURCHASES @ COST-COMPUTER SUPP")</f>
        <v xml:space="preserve">          5086 - PURCHASES @ COST-COMPUTER SUPP</v>
      </c>
      <c r="C42" s="12"/>
      <c r="D42" s="3"/>
      <c r="E42" s="3"/>
      <c r="F42" s="20">
        <f t="shared" si="4"/>
        <v>0</v>
      </c>
      <c r="G42" s="3"/>
      <c r="H42" s="3">
        <v>28.4</v>
      </c>
      <c r="I42" s="3"/>
      <c r="J42" s="20">
        <f t="shared" si="5"/>
        <v>7.0431714667037548E-5</v>
      </c>
      <c r="K42" s="3"/>
      <c r="L42" s="3">
        <f t="shared" si="6"/>
        <v>-28.4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23679.39</v>
      </c>
      <c r="U42" s="3"/>
      <c r="V42" s="20">
        <f t="shared" si="9"/>
        <v>9.7736285931238048E-3</v>
      </c>
      <c r="W42" s="3"/>
      <c r="X42" s="3">
        <f t="shared" si="10"/>
        <v>-23679.39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","5200"," - ","PURCHASES OFFSET")</f>
        <v xml:space="preserve">          5200 - PURCHASES OFFSET</v>
      </c>
      <c r="C43" s="12"/>
      <c r="D43" s="3">
        <v>-208105.25</v>
      </c>
      <c r="E43" s="3"/>
      <c r="F43" s="20">
        <f t="shared" si="4"/>
        <v>-0.65023618663376204</v>
      </c>
      <c r="G43" s="3"/>
      <c r="H43" s="3">
        <v>-295380.27</v>
      </c>
      <c r="I43" s="3"/>
      <c r="J43" s="20">
        <f t="shared" si="5"/>
        <v>-0.73254010193353924</v>
      </c>
      <c r="K43" s="3"/>
      <c r="L43" s="3">
        <f t="shared" si="6"/>
        <v>87275.020000000019</v>
      </c>
      <c r="M43" s="3"/>
      <c r="N43" s="20">
        <f t="shared" si="7"/>
        <v>-0.2954666538831453</v>
      </c>
      <c r="O43" s="12"/>
      <c r="P43" s="3">
        <v>-1758302.34</v>
      </c>
      <c r="Q43" s="3"/>
      <c r="R43" s="20">
        <f t="shared" si="8"/>
        <v>-0.84920912621322087</v>
      </c>
      <c r="S43" s="3"/>
      <c r="T43" s="3">
        <v>-1883381.08</v>
      </c>
      <c r="U43" s="3"/>
      <c r="V43" s="20">
        <f t="shared" si="9"/>
        <v>-0.77736238877928832</v>
      </c>
      <c r="W43" s="3"/>
      <c r="X43" s="3">
        <f t="shared" si="10"/>
        <v>125078.73999999999</v>
      </c>
      <c r="Y43" s="3"/>
      <c r="Z43" s="20">
        <f t="shared" si="11"/>
        <v>-6.6411806579261157E-2</v>
      </c>
    </row>
    <row r="44" spans="1:26" s="69" customFormat="1" ht="15" hidden="1" customHeight="1" outlineLevel="1" x14ac:dyDescent="0.3">
      <c r="A44" s="42"/>
      <c r="B44" s="12" t="str">
        <f>CONCATENATE("          ","5300"," - ","COG$ OFFSET")</f>
        <v xml:space="preserve">          5300 - COG$ OFFSET</v>
      </c>
      <c r="C44" s="12"/>
      <c r="D44" s="3">
        <v>291821.21000000002</v>
      </c>
      <c r="E44" s="3"/>
      <c r="F44" s="20">
        <f t="shared" si="4"/>
        <v>0.91181126266276458</v>
      </c>
      <c r="G44" s="3"/>
      <c r="H44" s="3">
        <v>369413</v>
      </c>
      <c r="I44" s="3"/>
      <c r="J44" s="20">
        <f t="shared" si="5"/>
        <v>0.91614052853149097</v>
      </c>
      <c r="K44" s="3"/>
      <c r="L44" s="3">
        <f t="shared" si="6"/>
        <v>-77591.789999999979</v>
      </c>
      <c r="M44" s="3"/>
      <c r="N44" s="20">
        <f t="shared" si="7"/>
        <v>-0.21004076737959948</v>
      </c>
      <c r="O44" s="12"/>
      <c r="P44" s="3">
        <v>1878786.8</v>
      </c>
      <c r="Q44" s="3"/>
      <c r="R44" s="20">
        <f t="shared" si="8"/>
        <v>0.90739963228902565</v>
      </c>
      <c r="S44" s="3"/>
      <c r="T44" s="3">
        <v>2229989</v>
      </c>
      <c r="U44" s="3"/>
      <c r="V44" s="20">
        <f t="shared" si="9"/>
        <v>0.92042422768287357</v>
      </c>
      <c r="W44" s="3"/>
      <c r="X44" s="3">
        <f t="shared" si="10"/>
        <v>-351202.19999999995</v>
      </c>
      <c r="Y44" s="3"/>
      <c r="Z44" s="20">
        <f t="shared" si="11"/>
        <v>-0.15749055264398162</v>
      </c>
    </row>
    <row r="45" spans="1:26" s="69" customFormat="1" ht="15" hidden="1" customHeight="1" outlineLevel="1" x14ac:dyDescent="0.3">
      <c r="A45" s="42"/>
      <c r="B45" s="12" t="str">
        <f>CONCATENATE("          ","5500"," - ","FREIGHT-IN")</f>
        <v xml:space="preserve">          5500 - FREIGHT-IN</v>
      </c>
      <c r="C45" s="12"/>
      <c r="D45" s="3">
        <v>31.57</v>
      </c>
      <c r="E45" s="3"/>
      <c r="F45" s="20">
        <f t="shared" si="4"/>
        <v>9.8642184241040862E-5</v>
      </c>
      <c r="G45" s="3"/>
      <c r="H45" s="3"/>
      <c r="I45" s="3"/>
      <c r="J45" s="20">
        <f t="shared" si="5"/>
        <v>0</v>
      </c>
      <c r="K45" s="3"/>
      <c r="L45" s="3">
        <f t="shared" si="6"/>
        <v>31.57</v>
      </c>
      <c r="M45" s="3"/>
      <c r="N45" s="20">
        <f t="shared" si="7"/>
        <v>0</v>
      </c>
      <c r="O45" s="12"/>
      <c r="P45" s="3">
        <v>203.12</v>
      </c>
      <c r="Q45" s="3"/>
      <c r="R45" s="20">
        <f t="shared" si="8"/>
        <v>9.8101079542685143E-5</v>
      </c>
      <c r="S45" s="3"/>
      <c r="T45" s="3">
        <v>0</v>
      </c>
      <c r="U45" s="3"/>
      <c r="V45" s="20">
        <f t="shared" si="9"/>
        <v>0</v>
      </c>
      <c r="W45" s="3"/>
      <c r="X45" s="3">
        <f t="shared" si="10"/>
        <v>203.12</v>
      </c>
      <c r="Y45" s="3"/>
      <c r="Z45" s="20">
        <f t="shared" si="11"/>
        <v>0</v>
      </c>
    </row>
    <row r="46" spans="1:26" s="69" customFormat="1" ht="15" hidden="1" customHeight="1" outlineLevel="1" x14ac:dyDescent="0.3">
      <c r="A46" s="42"/>
      <c r="B46" s="12" t="str">
        <f>CONCATENATE("          ","5581"," - ","FREIGHT-IN-ELECTRONICS")</f>
        <v xml:space="preserve">          5581 - FREIGHT-IN-ELECTRONICS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31</v>
      </c>
      <c r="U46" s="3"/>
      <c r="V46" s="20">
        <f t="shared" si="9"/>
        <v>1.2795198118990309E-5</v>
      </c>
      <c r="W46" s="3"/>
      <c r="X46" s="3">
        <f t="shared" si="10"/>
        <v>-31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","5582"," - ","FREIGHT-IN-COMPUTER HARDWARE")</f>
        <v xml:space="preserve">          5582 - FREIGHT-IN-COMPUTER HARDWARE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/>
      <c r="Q47" s="3"/>
      <c r="R47" s="20">
        <f t="shared" si="8"/>
        <v>0</v>
      </c>
      <c r="S47" s="3"/>
      <c r="T47" s="3">
        <v>125</v>
      </c>
      <c r="U47" s="3"/>
      <c r="V47" s="20">
        <f t="shared" si="9"/>
        <v>5.159354080238028E-5</v>
      </c>
      <c r="W47" s="3"/>
      <c r="X47" s="3">
        <f t="shared" si="10"/>
        <v>-125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","5583"," - ","FREIGHT-IN-COMPUTER EQUIPMENT")</f>
        <v xml:space="preserve">          5583 - FREIGHT-IN-COMPUTER EQUIPMENT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>
        <v>242.46</v>
      </c>
      <c r="U48" s="3"/>
      <c r="V48" s="20">
        <f t="shared" si="9"/>
        <v>1.0007495922356099E-4</v>
      </c>
      <c r="W48" s="3"/>
      <c r="X48" s="3">
        <f t="shared" si="10"/>
        <v>-242.46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","5585"," - ","FREIGHT-IN-SOFTWARE")</f>
        <v xml:space="preserve">          5585 - FREIGHT-IN-SOFTWARE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9.41</v>
      </c>
      <c r="U49" s="3"/>
      <c r="V49" s="20">
        <f t="shared" si="9"/>
        <v>3.8839617516031877E-6</v>
      </c>
      <c r="W49" s="3"/>
      <c r="X49" s="3">
        <f t="shared" si="10"/>
        <v>-9.41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","5586"," - ","FREIGHT-IN-COMPUTER SUPPLIES")</f>
        <v xml:space="preserve">          5586 - FREIGHT-IN-COMPUTER SUPPLIES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/>
      <c r="Q50" s="3"/>
      <c r="R50" s="20">
        <f t="shared" si="8"/>
        <v>0</v>
      </c>
      <c r="S50" s="3"/>
      <c r="T50" s="3">
        <v>24.12</v>
      </c>
      <c r="U50" s="3"/>
      <c r="V50" s="20">
        <f t="shared" si="9"/>
        <v>9.9554896332272994E-6</v>
      </c>
      <c r="W50" s="3"/>
      <c r="X50" s="3">
        <f t="shared" si="10"/>
        <v>-24.12</v>
      </c>
      <c r="Y50" s="3"/>
      <c r="Z50" s="20">
        <f t="shared" si="11"/>
        <v>-1</v>
      </c>
    </row>
    <row r="51" spans="1:26" ht="15" customHeight="1" x14ac:dyDescent="0.3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11"/>
      <c r="B52" s="28" t="s">
        <v>288</v>
      </c>
      <c r="C52" s="28"/>
      <c r="D52" s="21">
        <f>D12-D36</f>
        <v>28224.420000000042</v>
      </c>
      <c r="E52" s="15"/>
      <c r="F52" s="23">
        <f>IF(D$12=0,0,D52/D$12)</f>
        <v>8.8188737337235437E-2</v>
      </c>
      <c r="G52" s="15"/>
      <c r="H52" s="21">
        <f>H12-H36</f>
        <v>33814.44</v>
      </c>
      <c r="I52" s="15"/>
      <c r="J52" s="23">
        <f>IF(H$12=0,0,H52/H$12)</f>
        <v>8.3859471468509209E-2</v>
      </c>
      <c r="K52" s="16"/>
      <c r="L52" s="21">
        <f>+D52-H52</f>
        <v>-5590.0199999999604</v>
      </c>
      <c r="M52" s="16"/>
      <c r="N52" s="23">
        <f>IF(H52=0,0,L52/H52)</f>
        <v>-0.16531458158112214</v>
      </c>
      <c r="O52" s="27"/>
      <c r="P52" s="21">
        <f>P12-P36</f>
        <v>301923.93999999994</v>
      </c>
      <c r="Q52" s="15"/>
      <c r="R52" s="23">
        <f>IF(P$12=0,0,P52/P$12)</f>
        <v>0.14582052212377358</v>
      </c>
      <c r="S52" s="15"/>
      <c r="T52" s="21">
        <f>T12-T36</f>
        <v>188849.05999999959</v>
      </c>
      <c r="U52" s="15"/>
      <c r="V52" s="23">
        <f>IF(T$12=0,0,T52/T$12)</f>
        <v>7.7947133460809129E-2</v>
      </c>
      <c r="W52" s="16"/>
      <c r="X52" s="21">
        <f>+P52-T52</f>
        <v>113074.88000000035</v>
      </c>
      <c r="Y52" s="16"/>
      <c r="Z52" s="23">
        <f>IF(T52=0,0,X52/T52)</f>
        <v>0.5987579710484161</v>
      </c>
    </row>
    <row r="53" spans="1:26" ht="15" customHeight="1" x14ac:dyDescent="0.3">
      <c r="A53" s="10"/>
      <c r="B53" s="11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3">
      <c r="A54" s="11"/>
      <c r="B54" s="27" t="s">
        <v>289</v>
      </c>
      <c r="C54" s="11"/>
      <c r="D54" s="22" cm="1">
        <f t="array" ref="D54">SUM(OSRRefD22x_0)</f>
        <v>20773.600000000002</v>
      </c>
      <c r="E54" s="22"/>
      <c r="F54" s="32">
        <f t="shared" ref="F54:F96" si="12">IF(D$12=0,0,D54/D$12)</f>
        <v>6.4908244490012243E-2</v>
      </c>
      <c r="G54" s="22"/>
      <c r="H54" s="22" cm="1">
        <f t="array" ref="H54">SUM(OSRRefH22x_0)</f>
        <v>13637.129999999997</v>
      </c>
      <c r="I54" s="22"/>
      <c r="J54" s="32">
        <f t="shared" ref="J54:J96" si="13">IF(H$12=0,0,H54/H$12)</f>
        <v>3.3819945388637238E-2</v>
      </c>
      <c r="K54" s="5"/>
      <c r="L54" s="22">
        <f t="shared" ref="L54:L96" si="14">+D54-H54</f>
        <v>7136.4700000000048</v>
      </c>
      <c r="M54" s="5"/>
      <c r="N54" s="32">
        <f t="shared" ref="N54:N96" si="15">IF(H54=0,0,L54/H54)</f>
        <v>0.52331172321448916</v>
      </c>
      <c r="O54" s="11"/>
      <c r="P54" s="22" cm="1">
        <f t="array" ref="P54">SUM(OSRRefP22x_0)</f>
        <v>153428.51999999996</v>
      </c>
      <c r="Q54" s="22"/>
      <c r="R54" s="32">
        <f t="shared" ref="R54:R96" si="16">IF(P$12=0,0,P54/P$12)</f>
        <v>7.4101533303645412E-2</v>
      </c>
      <c r="S54" s="22"/>
      <c r="T54" s="22" cm="1">
        <f t="array" ref="T54">SUM(OSRRefT22x_0)</f>
        <v>137695.78</v>
      </c>
      <c r="U54" s="22"/>
      <c r="V54" s="32">
        <f t="shared" ref="V54:V96" si="17">IF(T$12=0,0,T54/T$12)</f>
        <v>5.6833702749964632E-2</v>
      </c>
      <c r="W54" s="5"/>
      <c r="X54" s="22">
        <f t="shared" ref="X54:X96" si="18">+P54-T54</f>
        <v>15732.739999999962</v>
      </c>
      <c r="Y54" s="5"/>
      <c r="Z54" s="32">
        <f t="shared" ref="Z54:Z96" si="19">IF(T54=0,0,X54/T54)</f>
        <v>0.11425724157995228</v>
      </c>
    </row>
    <row r="55" spans="1:26" s="68" customFormat="1" ht="15" customHeight="1" outlineLevel="1" collapsed="1" x14ac:dyDescent="0.3">
      <c r="A55" s="25"/>
      <c r="B55" s="14" t="str">
        <f>CONCATENATE("     ","*Benefits                                         ")</f>
        <v xml:space="preserve">     *Benefits                                         </v>
      </c>
      <c r="C55" s="14"/>
      <c r="D55" s="2">
        <f>SUM(OSRRefD22_0x_0)</f>
        <v>3918.19</v>
      </c>
      <c r="E55" s="2"/>
      <c r="F55" s="6">
        <f t="shared" si="12"/>
        <v>1.2242598032036867E-2</v>
      </c>
      <c r="G55" s="2"/>
      <c r="H55" s="2">
        <f>SUM(OSRRefH22_0x_0)</f>
        <v>3356.18</v>
      </c>
      <c r="I55" s="2"/>
      <c r="J55" s="6">
        <f t="shared" si="13"/>
        <v>8.3232926806766933E-3</v>
      </c>
      <c r="K55" s="2"/>
      <c r="L55" s="2">
        <f t="shared" si="14"/>
        <v>562.01000000000022</v>
      </c>
      <c r="M55" s="2"/>
      <c r="N55" s="6">
        <f t="shared" si="15"/>
        <v>0.16745526163674185</v>
      </c>
      <c r="O55" s="14"/>
      <c r="P55" s="2">
        <f>SUM(OSRRefP22_0x_0)</f>
        <v>27166.349999999995</v>
      </c>
      <c r="Q55" s="2"/>
      <c r="R55" s="6">
        <f t="shared" si="16"/>
        <v>1.312056056633726E-2</v>
      </c>
      <c r="S55" s="2"/>
      <c r="T55" s="2">
        <f>SUM(OSRRefT22_0x_0)</f>
        <v>29578.5</v>
      </c>
      <c r="U55" s="2"/>
      <c r="V55" s="6">
        <f t="shared" si="17"/>
        <v>1.2208476372985642E-2</v>
      </c>
      <c r="W55" s="2"/>
      <c r="X55" s="2">
        <f t="shared" si="18"/>
        <v>-2412.1500000000051</v>
      </c>
      <c r="Y55" s="2"/>
      <c r="Z55" s="6">
        <f t="shared" si="19"/>
        <v>-8.1550788579542746E-2</v>
      </c>
    </row>
    <row r="56" spans="1:26" s="69" customFormat="1" ht="15" hidden="1" customHeight="1" outlineLevel="2" x14ac:dyDescent="0.3">
      <c r="A56" s="26"/>
      <c r="B56" s="12" t="str">
        <f>CONCATENATE("          ","6111"," - ","F.I.C.A.")</f>
        <v xml:space="preserve">          6111 - F.I.C.A.</v>
      </c>
      <c r="C56" s="12"/>
      <c r="D56" s="8">
        <v>860.47</v>
      </c>
      <c r="E56" s="3"/>
      <c r="F56" s="7">
        <f t="shared" si="12"/>
        <v>2.6885853745292503E-3</v>
      </c>
      <c r="G56" s="3"/>
      <c r="H56" s="8">
        <v>675.75</v>
      </c>
      <c r="I56" s="3"/>
      <c r="J56" s="7">
        <f t="shared" si="13"/>
        <v>1.6758532107834726E-3</v>
      </c>
      <c r="K56" s="3"/>
      <c r="L56" s="8">
        <f t="shared" si="14"/>
        <v>184.72000000000003</v>
      </c>
      <c r="M56" s="3"/>
      <c r="N56" s="7">
        <f t="shared" si="15"/>
        <v>0.27335553089160197</v>
      </c>
      <c r="O56" s="12"/>
      <c r="P56" s="8">
        <v>5754.15</v>
      </c>
      <c r="Q56" s="3"/>
      <c r="R56" s="7">
        <f t="shared" si="16"/>
        <v>2.7790878635808474E-3</v>
      </c>
      <c r="S56" s="3"/>
      <c r="T56" s="8">
        <v>5413.83</v>
      </c>
      <c r="U56" s="3"/>
      <c r="V56" s="7">
        <f t="shared" si="17"/>
        <v>2.2345492720172036E-3</v>
      </c>
      <c r="W56" s="3"/>
      <c r="X56" s="8">
        <f t="shared" si="18"/>
        <v>340.31999999999971</v>
      </c>
      <c r="Y56" s="3"/>
      <c r="Z56" s="7">
        <f t="shared" si="19"/>
        <v>6.2861227633671482E-2</v>
      </c>
    </row>
    <row r="57" spans="1:26" s="69" customFormat="1" ht="15" hidden="1" customHeight="1" outlineLevel="2" x14ac:dyDescent="0.3">
      <c r="A57" s="26"/>
      <c r="B57" s="12" t="str">
        <f>CONCATENATE("          ","6112"," - ","COMPENSATION INSURANCE")</f>
        <v xml:space="preserve">          6112 - COMPENSATION INSURANCE</v>
      </c>
      <c r="C57" s="12"/>
      <c r="D57" s="8">
        <v>147.80000000000001</v>
      </c>
      <c r="E57" s="3"/>
      <c r="F57" s="7">
        <f t="shared" si="12"/>
        <v>4.6180914890167374E-4</v>
      </c>
      <c r="G57" s="3"/>
      <c r="H57" s="8">
        <v>175.68</v>
      </c>
      <c r="I57" s="3"/>
      <c r="J57" s="7">
        <f t="shared" si="13"/>
        <v>4.3568463495440696E-4</v>
      </c>
      <c r="K57" s="3"/>
      <c r="L57" s="8">
        <f t="shared" si="14"/>
        <v>-27.879999999999995</v>
      </c>
      <c r="M57" s="3"/>
      <c r="N57" s="7">
        <f t="shared" si="15"/>
        <v>-0.15869763205828777</v>
      </c>
      <c r="O57" s="12"/>
      <c r="P57" s="8">
        <v>1446.9</v>
      </c>
      <c r="Q57" s="3"/>
      <c r="R57" s="7">
        <f t="shared" si="16"/>
        <v>6.988108112953483E-4</v>
      </c>
      <c r="S57" s="3"/>
      <c r="T57" s="8">
        <v>1534.43</v>
      </c>
      <c r="U57" s="3"/>
      <c r="V57" s="7">
        <f t="shared" si="17"/>
        <v>6.3333341450717102E-4</v>
      </c>
      <c r="W57" s="3"/>
      <c r="X57" s="8">
        <f t="shared" si="18"/>
        <v>-87.529999999999973</v>
      </c>
      <c r="Y57" s="3"/>
      <c r="Z57" s="7">
        <f t="shared" si="19"/>
        <v>-5.7043983759441599E-2</v>
      </c>
    </row>
    <row r="58" spans="1:26" s="69" customFormat="1" ht="15" hidden="1" customHeight="1" outlineLevel="2" x14ac:dyDescent="0.3">
      <c r="A58" s="26"/>
      <c r="B58" s="12" t="str">
        <f>CONCATENATE("          ","6113"," - ","GROUP INSURANCE")</f>
        <v xml:space="preserve">          6113 - GROUP INSURANCE</v>
      </c>
      <c r="C58" s="12"/>
      <c r="D58" s="8">
        <v>1539.12</v>
      </c>
      <c r="E58" s="3"/>
      <c r="F58" s="7">
        <f t="shared" si="12"/>
        <v>4.8090642574935318E-3</v>
      </c>
      <c r="G58" s="3"/>
      <c r="H58" s="8">
        <v>1053.8499999999999</v>
      </c>
      <c r="I58" s="3"/>
      <c r="J58" s="7">
        <f t="shared" si="13"/>
        <v>2.6135374120372363E-3</v>
      </c>
      <c r="K58" s="3"/>
      <c r="L58" s="8">
        <f t="shared" si="14"/>
        <v>485.27</v>
      </c>
      <c r="M58" s="3"/>
      <c r="N58" s="7">
        <f t="shared" si="15"/>
        <v>0.46047350192152586</v>
      </c>
      <c r="O58" s="12"/>
      <c r="P58" s="8">
        <v>9906.89</v>
      </c>
      <c r="Q58" s="3"/>
      <c r="R58" s="7">
        <f t="shared" si="16"/>
        <v>4.7847410590322569E-3</v>
      </c>
      <c r="S58" s="3"/>
      <c r="T58" s="8">
        <v>10430.18</v>
      </c>
      <c r="U58" s="3"/>
      <c r="V58" s="7">
        <f t="shared" si="17"/>
        <v>4.3050393392493665E-3</v>
      </c>
      <c r="W58" s="3"/>
      <c r="X58" s="8">
        <f t="shared" si="18"/>
        <v>-523.29000000000087</v>
      </c>
      <c r="Y58" s="3"/>
      <c r="Z58" s="7">
        <f t="shared" si="19"/>
        <v>-5.017075448362357E-2</v>
      </c>
    </row>
    <row r="59" spans="1:26" s="69" customFormat="1" ht="15" hidden="1" customHeight="1" outlineLevel="2" x14ac:dyDescent="0.3">
      <c r="A59" s="26"/>
      <c r="B59" s="12" t="str">
        <f>CONCATENATE("          ","6114"," - ","STATE UNEMPLOYMENT INSURANCE")</f>
        <v xml:space="preserve">          6114 - STATE UNEMPLOYMENT INSURANCE</v>
      </c>
      <c r="C59" s="12"/>
      <c r="D59" s="8">
        <v>26.64</v>
      </c>
      <c r="E59" s="3"/>
      <c r="F59" s="7">
        <f t="shared" si="12"/>
        <v>8.3238130762791523E-5</v>
      </c>
      <c r="G59" s="3"/>
      <c r="H59" s="8">
        <v>24.69</v>
      </c>
      <c r="I59" s="3"/>
      <c r="J59" s="7">
        <f t="shared" si="13"/>
        <v>6.1230951941167503E-5</v>
      </c>
      <c r="K59" s="3"/>
      <c r="L59" s="8">
        <f t="shared" si="14"/>
        <v>1.9499999999999993</v>
      </c>
      <c r="M59" s="3"/>
      <c r="N59" s="7">
        <f t="shared" si="15"/>
        <v>7.8979343863912477E-2</v>
      </c>
      <c r="O59" s="12"/>
      <c r="P59" s="8">
        <v>254.87</v>
      </c>
      <c r="Q59" s="3"/>
      <c r="R59" s="7">
        <f t="shared" si="16"/>
        <v>1.2309483134621978E-4</v>
      </c>
      <c r="S59" s="3"/>
      <c r="T59" s="8">
        <v>230.35</v>
      </c>
      <c r="U59" s="3"/>
      <c r="V59" s="7">
        <f t="shared" si="17"/>
        <v>9.5076576990626375E-5</v>
      </c>
      <c r="W59" s="3"/>
      <c r="X59" s="8">
        <f t="shared" si="18"/>
        <v>24.52000000000001</v>
      </c>
      <c r="Y59" s="3"/>
      <c r="Z59" s="7">
        <f t="shared" si="19"/>
        <v>0.10644671152593883</v>
      </c>
    </row>
    <row r="60" spans="1:26" s="69" customFormat="1" ht="15" hidden="1" customHeight="1" outlineLevel="2" x14ac:dyDescent="0.3">
      <c r="A60" s="26"/>
      <c r="B60" s="12" t="str">
        <f>CONCATENATE("          ","6115"," - ","P.E.R.S.")</f>
        <v xml:space="preserve">          6115 - P.E.R.S.</v>
      </c>
      <c r="C60" s="12"/>
      <c r="D60" s="8">
        <v>179.61</v>
      </c>
      <c r="E60" s="3"/>
      <c r="F60" s="7">
        <f t="shared" si="12"/>
        <v>5.6120122621264963E-4</v>
      </c>
      <c r="G60" s="3"/>
      <c r="H60" s="8">
        <v>176.42</v>
      </c>
      <c r="I60" s="3"/>
      <c r="J60" s="7">
        <f t="shared" si="13"/>
        <v>4.3751982751967478E-4</v>
      </c>
      <c r="K60" s="3"/>
      <c r="L60" s="8">
        <f t="shared" si="14"/>
        <v>3.1900000000000261</v>
      </c>
      <c r="M60" s="3"/>
      <c r="N60" s="7">
        <f t="shared" si="15"/>
        <v>1.8081850130370856E-2</v>
      </c>
      <c r="O60" s="12"/>
      <c r="P60" s="8">
        <v>1218.29</v>
      </c>
      <c r="Q60" s="3"/>
      <c r="R60" s="7">
        <f t="shared" si="16"/>
        <v>5.8839879970489309E-4</v>
      </c>
      <c r="S60" s="3"/>
      <c r="T60" s="8">
        <v>1940.62</v>
      </c>
      <c r="U60" s="3"/>
      <c r="V60" s="7">
        <f t="shared" si="17"/>
        <v>8.0098765721532174E-4</v>
      </c>
      <c r="W60" s="3"/>
      <c r="X60" s="8">
        <f t="shared" si="18"/>
        <v>-722.32999999999993</v>
      </c>
      <c r="Y60" s="3"/>
      <c r="Z60" s="7">
        <f t="shared" si="19"/>
        <v>-0.37221609588688148</v>
      </c>
    </row>
    <row r="61" spans="1:26" s="69" customFormat="1" ht="15" hidden="1" customHeight="1" outlineLevel="2" x14ac:dyDescent="0.3">
      <c r="A61" s="26"/>
      <c r="B61" s="12" t="str">
        <f>CONCATENATE("          ","6117"," - ","RETIREMENT STAFF HOURLY")</f>
        <v xml:space="preserve">          6117 - RETIREMENT STAFF HOURLY</v>
      </c>
      <c r="C61" s="12"/>
      <c r="D61" s="8">
        <v>157.46</v>
      </c>
      <c r="E61" s="3"/>
      <c r="F61" s="7">
        <f t="shared" si="12"/>
        <v>4.9199234496655989E-4</v>
      </c>
      <c r="G61" s="3"/>
      <c r="H61" s="8">
        <v>174.9</v>
      </c>
      <c r="I61" s="3"/>
      <c r="J61" s="7">
        <f t="shared" si="13"/>
        <v>4.3375024279101646E-4</v>
      </c>
      <c r="K61" s="3"/>
      <c r="L61" s="8">
        <f t="shared" si="14"/>
        <v>-17.439999999999998</v>
      </c>
      <c r="M61" s="3"/>
      <c r="N61" s="7">
        <f t="shared" si="15"/>
        <v>-9.9714122355631776E-2</v>
      </c>
      <c r="O61" s="12"/>
      <c r="P61" s="8">
        <v>160.12</v>
      </c>
      <c r="Q61" s="3"/>
      <c r="R61" s="7">
        <f t="shared" si="16"/>
        <v>7.7333324420907578E-5</v>
      </c>
      <c r="S61" s="3"/>
      <c r="T61" s="8">
        <v>1895.94</v>
      </c>
      <c r="U61" s="3"/>
      <c r="V61" s="7">
        <f t="shared" si="17"/>
        <v>7.8254606199091897E-4</v>
      </c>
      <c r="W61" s="3"/>
      <c r="X61" s="8">
        <f t="shared" si="18"/>
        <v>-1735.8200000000002</v>
      </c>
      <c r="Y61" s="3"/>
      <c r="Z61" s="7">
        <f t="shared" si="19"/>
        <v>-0.91554585060708682</v>
      </c>
    </row>
    <row r="62" spans="1:26" s="69" customFormat="1" ht="15" hidden="1" customHeight="1" outlineLevel="2" x14ac:dyDescent="0.3">
      <c r="A62" s="26"/>
      <c r="B62" s="12" t="str">
        <f>CONCATENATE("          ","6118"," - ","VACATION")</f>
        <v xml:space="preserve">          6118 - VACATION</v>
      </c>
      <c r="C62" s="12"/>
      <c r="D62" s="8">
        <v>390.91</v>
      </c>
      <c r="E62" s="3"/>
      <c r="F62" s="7">
        <f t="shared" si="12"/>
        <v>1.2214195832013076E-3</v>
      </c>
      <c r="G62" s="3"/>
      <c r="H62" s="8">
        <v>400.56</v>
      </c>
      <c r="I62" s="3"/>
      <c r="J62" s="7">
        <f t="shared" si="13"/>
        <v>9.9338477559959728E-4</v>
      </c>
      <c r="K62" s="3"/>
      <c r="L62" s="8">
        <f t="shared" si="14"/>
        <v>-9.6499999999999773</v>
      </c>
      <c r="M62" s="3"/>
      <c r="N62" s="7">
        <f t="shared" si="15"/>
        <v>-2.4091272218893491E-2</v>
      </c>
      <c r="O62" s="12"/>
      <c r="P62" s="8">
        <v>2931.34</v>
      </c>
      <c r="Q62" s="3"/>
      <c r="R62" s="7">
        <f t="shared" si="16"/>
        <v>1.4157523557830577E-3</v>
      </c>
      <c r="S62" s="3"/>
      <c r="T62" s="8">
        <v>2891.22</v>
      </c>
      <c r="U62" s="3"/>
      <c r="V62" s="7">
        <f t="shared" si="17"/>
        <v>1.1933462163092633E-3</v>
      </c>
      <c r="W62" s="3"/>
      <c r="X62" s="8">
        <f t="shared" si="18"/>
        <v>40.120000000000346</v>
      </c>
      <c r="Y62" s="3"/>
      <c r="Z62" s="7">
        <f t="shared" si="19"/>
        <v>1.3876495043614927E-2</v>
      </c>
    </row>
    <row r="63" spans="1:26" s="69" customFormat="1" ht="15" hidden="1" customHeight="1" outlineLevel="2" x14ac:dyDescent="0.3">
      <c r="A63" s="26"/>
      <c r="B63" s="12" t="str">
        <f>CONCATENATE("          ","6119"," - ","SICK LEAVE")</f>
        <v xml:space="preserve">          6119 - SICK LEAVE</v>
      </c>
      <c r="C63" s="12"/>
      <c r="D63" s="8">
        <v>366.78</v>
      </c>
      <c r="E63" s="3"/>
      <c r="F63" s="7">
        <f t="shared" si="12"/>
        <v>1.1460240841282535E-3</v>
      </c>
      <c r="G63" s="3"/>
      <c r="H63" s="8">
        <v>401.45</v>
      </c>
      <c r="I63" s="3"/>
      <c r="J63" s="7">
        <f t="shared" si="13"/>
        <v>9.9559196665782485E-4</v>
      </c>
      <c r="K63" s="3"/>
      <c r="L63" s="8">
        <f t="shared" si="14"/>
        <v>-34.670000000000016</v>
      </c>
      <c r="M63" s="3"/>
      <c r="N63" s="7">
        <f t="shared" si="15"/>
        <v>-8.6361937974841249E-2</v>
      </c>
      <c r="O63" s="12"/>
      <c r="P63" s="8">
        <v>3669.99</v>
      </c>
      <c r="Q63" s="3"/>
      <c r="R63" s="7">
        <f t="shared" si="16"/>
        <v>1.7724989213807555E-3</v>
      </c>
      <c r="S63" s="3"/>
      <c r="T63" s="8">
        <v>2888.63</v>
      </c>
      <c r="U63" s="3"/>
      <c r="V63" s="7">
        <f t="shared" si="17"/>
        <v>1.192277198143838E-3</v>
      </c>
      <c r="W63" s="3"/>
      <c r="X63" s="8">
        <f t="shared" si="18"/>
        <v>781.35999999999967</v>
      </c>
      <c r="Y63" s="3"/>
      <c r="Z63" s="7">
        <f t="shared" si="19"/>
        <v>0.27049500974510393</v>
      </c>
    </row>
    <row r="64" spans="1:26" s="69" customFormat="1" ht="15" hidden="1" customHeight="1" outlineLevel="2" x14ac:dyDescent="0.3">
      <c r="A64" s="26"/>
      <c r="B64" s="12" t="str">
        <f>CONCATENATE("          ","6156"," - ","EMPLOYEE MEALS")</f>
        <v xml:space="preserve">          6156 - EMPLOYEE MEALS</v>
      </c>
      <c r="C64" s="12"/>
      <c r="D64" s="8">
        <v>249.4</v>
      </c>
      <c r="E64" s="3"/>
      <c r="F64" s="7">
        <f t="shared" si="12"/>
        <v>7.7926388184084859E-4</v>
      </c>
      <c r="G64" s="3"/>
      <c r="H64" s="8">
        <v>272.88</v>
      </c>
      <c r="I64" s="3"/>
      <c r="J64" s="7">
        <f t="shared" si="13"/>
        <v>6.7673965839229596E-4</v>
      </c>
      <c r="K64" s="3"/>
      <c r="L64" s="8">
        <f t="shared" si="14"/>
        <v>-23.47999999999999</v>
      </c>
      <c r="M64" s="3"/>
      <c r="N64" s="7">
        <f t="shared" si="15"/>
        <v>-8.6045148050425055E-2</v>
      </c>
      <c r="O64" s="12"/>
      <c r="P64" s="8">
        <v>1823.8</v>
      </c>
      <c r="Q64" s="3"/>
      <c r="R64" s="7">
        <f t="shared" si="16"/>
        <v>8.8084259979297544E-4</v>
      </c>
      <c r="S64" s="3"/>
      <c r="T64" s="8">
        <v>2353.3000000000002</v>
      </c>
      <c r="U64" s="3"/>
      <c r="V64" s="7">
        <f t="shared" si="17"/>
        <v>9.713206365619322E-4</v>
      </c>
      <c r="W64" s="3"/>
      <c r="X64" s="8">
        <f t="shared" si="18"/>
        <v>-529.50000000000023</v>
      </c>
      <c r="Y64" s="3"/>
      <c r="Z64" s="7">
        <f t="shared" si="19"/>
        <v>-0.22500318701398045</v>
      </c>
    </row>
    <row r="65" spans="1:26" s="68" customFormat="1" ht="15" customHeight="1" outlineLevel="1" collapsed="1" x14ac:dyDescent="0.3">
      <c r="A65" s="25"/>
      <c r="B65" s="14" t="str">
        <f>CONCATENATE("     ","*Payroll                                          ")</f>
        <v xml:space="preserve">     *Payroll                                          </v>
      </c>
      <c r="C65" s="14"/>
      <c r="D65" s="2">
        <f>SUM(OSRRefD22_1x_0)</f>
        <v>13530.35</v>
      </c>
      <c r="E65" s="2"/>
      <c r="F65" s="6">
        <f t="shared" si="12"/>
        <v>4.2276315411649265E-2</v>
      </c>
      <c r="G65" s="2"/>
      <c r="H65" s="2">
        <f>SUM(OSRRefH22_1x_0)</f>
        <v>8263.98</v>
      </c>
      <c r="I65" s="2"/>
      <c r="J65" s="6">
        <f t="shared" si="13"/>
        <v>2.0494587372327639E-2</v>
      </c>
      <c r="K65" s="2"/>
      <c r="L65" s="2">
        <f t="shared" si="14"/>
        <v>5266.3700000000008</v>
      </c>
      <c r="M65" s="2"/>
      <c r="N65" s="6">
        <f t="shared" si="15"/>
        <v>0.63726799919651322</v>
      </c>
      <c r="O65" s="14"/>
      <c r="P65" s="2">
        <f>SUM(OSRRefP22_1x_0)</f>
        <v>105835.56</v>
      </c>
      <c r="Q65" s="2"/>
      <c r="R65" s="6">
        <f t="shared" si="16"/>
        <v>5.1115511471074369E-2</v>
      </c>
      <c r="S65" s="2"/>
      <c r="T65" s="2">
        <f>SUM(OSRRefT22_1x_0)</f>
        <v>82074.94</v>
      </c>
      <c r="U65" s="2"/>
      <c r="V65" s="6">
        <f t="shared" si="17"/>
        <v>3.3876294125943306E-2</v>
      </c>
      <c r="W65" s="2"/>
      <c r="X65" s="2">
        <f t="shared" si="18"/>
        <v>23760.619999999995</v>
      </c>
      <c r="Y65" s="2"/>
      <c r="Z65" s="6">
        <f t="shared" si="19"/>
        <v>0.28949908461705842</v>
      </c>
    </row>
    <row r="66" spans="1:26" s="69" customFormat="1" ht="15" hidden="1" customHeight="1" outlineLevel="2" x14ac:dyDescent="0.3">
      <c r="A66" s="26"/>
      <c r="B66" s="12" t="str">
        <f>CONCATENATE("          ","6002"," - ","STAFF SALARIES")</f>
        <v xml:space="preserve">          6002 - STAFF SALARIES</v>
      </c>
      <c r="C66" s="12"/>
      <c r="D66" s="8">
        <v>2040</v>
      </c>
      <c r="E66" s="3"/>
      <c r="F66" s="7">
        <f t="shared" si="12"/>
        <v>6.3740910944479999E-3</v>
      </c>
      <c r="G66" s="3"/>
      <c r="H66" s="8">
        <v>2395.9899999999998</v>
      </c>
      <c r="I66" s="3"/>
      <c r="J66" s="7">
        <f t="shared" si="13"/>
        <v>5.942031127643496E-3</v>
      </c>
      <c r="K66" s="3"/>
      <c r="L66" s="8">
        <f t="shared" si="14"/>
        <v>-355.98999999999978</v>
      </c>
      <c r="M66" s="3"/>
      <c r="N66" s="7">
        <f t="shared" si="15"/>
        <v>-0.14857741476383449</v>
      </c>
      <c r="O66" s="12"/>
      <c r="P66" s="8">
        <v>18624.939999999999</v>
      </c>
      <c r="Q66" s="3"/>
      <c r="R66" s="7">
        <f t="shared" si="16"/>
        <v>8.9953068157627904E-3</v>
      </c>
      <c r="S66" s="3"/>
      <c r="T66" s="8">
        <v>23276.240000000002</v>
      </c>
      <c r="U66" s="3"/>
      <c r="V66" s="7">
        <f t="shared" si="17"/>
        <v>9.6072291053279687E-3</v>
      </c>
      <c r="W66" s="3"/>
      <c r="X66" s="8">
        <f t="shared" si="18"/>
        <v>-4651.3000000000029</v>
      </c>
      <c r="Y66" s="3"/>
      <c r="Z66" s="7">
        <f t="shared" si="19"/>
        <v>-0.19983038497626776</v>
      </c>
    </row>
    <row r="67" spans="1:26" s="69" customFormat="1" ht="15" hidden="1" customHeight="1" outlineLevel="2" x14ac:dyDescent="0.3">
      <c r="A67" s="26"/>
      <c r="B67" s="12" t="str">
        <f>CONCATENATE("          ","6004"," - ","STAFF HOURLY")</f>
        <v xml:space="preserve">          6004 - STAFF HOURLY</v>
      </c>
      <c r="C67" s="12"/>
      <c r="D67" s="8">
        <v>5423.45</v>
      </c>
      <c r="E67" s="3"/>
      <c r="F67" s="7">
        <f t="shared" si="12"/>
        <v>1.6945864875580394E-2</v>
      </c>
      <c r="G67" s="3"/>
      <c r="H67" s="8">
        <v>4790.5</v>
      </c>
      <c r="I67" s="3"/>
      <c r="J67" s="7">
        <f t="shared" si="13"/>
        <v>1.1880391870156458E-2</v>
      </c>
      <c r="K67" s="3"/>
      <c r="L67" s="8">
        <f t="shared" si="14"/>
        <v>632.94999999999982</v>
      </c>
      <c r="M67" s="3"/>
      <c r="N67" s="7">
        <f t="shared" si="15"/>
        <v>0.1321260828723515</v>
      </c>
      <c r="O67" s="12"/>
      <c r="P67" s="8">
        <v>33896.089999999997</v>
      </c>
      <c r="Q67" s="3"/>
      <c r="R67" s="7">
        <f t="shared" si="16"/>
        <v>1.6370830155947293E-2</v>
      </c>
      <c r="S67" s="3"/>
      <c r="T67" s="8">
        <v>36510.660000000003</v>
      </c>
      <c r="U67" s="3"/>
      <c r="V67" s="7">
        <f t="shared" si="17"/>
        <v>1.5069713811454671E-2</v>
      </c>
      <c r="W67" s="3"/>
      <c r="X67" s="8">
        <f t="shared" si="18"/>
        <v>-2614.570000000007</v>
      </c>
      <c r="Y67" s="3"/>
      <c r="Z67" s="7">
        <f t="shared" si="19"/>
        <v>-7.1611140417620678E-2</v>
      </c>
    </row>
    <row r="68" spans="1:26" s="69" customFormat="1" ht="15" hidden="1" customHeight="1" outlineLevel="2" x14ac:dyDescent="0.3">
      <c r="A68" s="26"/>
      <c r="B68" s="12" t="str">
        <f>CONCATENATE("          ","6005"," - ","TEMPORARY WAGES-HOURLY")</f>
        <v xml:space="preserve">          6005 - TEMPORARY WAGES-HOURLY</v>
      </c>
      <c r="C68" s="12"/>
      <c r="D68" s="8">
        <v>2758.09</v>
      </c>
      <c r="E68" s="3"/>
      <c r="F68" s="7">
        <f t="shared" si="12"/>
        <v>8.617802405238276E-3</v>
      </c>
      <c r="G68" s="3"/>
      <c r="H68" s="8"/>
      <c r="I68" s="3"/>
      <c r="J68" s="7">
        <f t="shared" si="13"/>
        <v>0</v>
      </c>
      <c r="K68" s="3"/>
      <c r="L68" s="8">
        <f t="shared" si="14"/>
        <v>2758.09</v>
      </c>
      <c r="M68" s="3"/>
      <c r="N68" s="7">
        <f t="shared" si="15"/>
        <v>0</v>
      </c>
      <c r="O68" s="12"/>
      <c r="P68" s="8">
        <v>14713.03</v>
      </c>
      <c r="Q68" s="3"/>
      <c r="R68" s="7">
        <f t="shared" si="16"/>
        <v>7.1059675381248176E-3</v>
      </c>
      <c r="S68" s="3"/>
      <c r="T68" s="8"/>
      <c r="U68" s="3"/>
      <c r="V68" s="7">
        <f t="shared" si="17"/>
        <v>0</v>
      </c>
      <c r="W68" s="3"/>
      <c r="X68" s="8">
        <f t="shared" si="18"/>
        <v>14713.03</v>
      </c>
      <c r="Y68" s="3"/>
      <c r="Z68" s="7">
        <f t="shared" si="19"/>
        <v>0</v>
      </c>
    </row>
    <row r="69" spans="1:26" s="69" customFormat="1" ht="15" hidden="1" customHeight="1" outlineLevel="2" x14ac:dyDescent="0.3">
      <c r="A69" s="26"/>
      <c r="B69" s="12" t="str">
        <f>CONCATENATE("          ","6007"," - ","STUDENT HOURLY")</f>
        <v xml:space="preserve">          6007 - STUDENT HOURLY</v>
      </c>
      <c r="C69" s="12"/>
      <c r="D69" s="8">
        <v>3308.81</v>
      </c>
      <c r="E69" s="3"/>
      <c r="F69" s="7">
        <f t="shared" si="12"/>
        <v>1.0338557036382591E-2</v>
      </c>
      <c r="G69" s="3"/>
      <c r="H69" s="8">
        <v>1077.49</v>
      </c>
      <c r="I69" s="3"/>
      <c r="J69" s="7">
        <f t="shared" si="13"/>
        <v>2.6721643745276865E-3</v>
      </c>
      <c r="K69" s="3"/>
      <c r="L69" s="8">
        <f t="shared" si="14"/>
        <v>2231.3199999999997</v>
      </c>
      <c r="M69" s="3"/>
      <c r="N69" s="7">
        <f t="shared" si="15"/>
        <v>2.0708498454742035</v>
      </c>
      <c r="O69" s="12"/>
      <c r="P69" s="8">
        <v>32455.87</v>
      </c>
      <c r="Q69" s="3"/>
      <c r="R69" s="7">
        <f t="shared" si="16"/>
        <v>1.5675245591261561E-2</v>
      </c>
      <c r="S69" s="3"/>
      <c r="T69" s="8">
        <v>22288.04</v>
      </c>
      <c r="U69" s="3"/>
      <c r="V69" s="7">
        <f t="shared" si="17"/>
        <v>9.1993512091606711E-3</v>
      </c>
      <c r="W69" s="3"/>
      <c r="X69" s="8">
        <f t="shared" si="18"/>
        <v>10167.829999999998</v>
      </c>
      <c r="Y69" s="3"/>
      <c r="Z69" s="7">
        <f t="shared" si="19"/>
        <v>0.45620117336472826</v>
      </c>
    </row>
    <row r="70" spans="1:26" s="69" customFormat="1" ht="15" hidden="1" customHeight="1" outlineLevel="2" x14ac:dyDescent="0.3">
      <c r="A70" s="26"/>
      <c r="B70" s="12" t="str">
        <f>CONCATENATE("          ","6008"," - ","STUDENT HOURLY-FICA EXEMPT")</f>
        <v xml:space="preserve">          6008 - STUDENT HOURLY-FICA EXEMPT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>
        <v>6145.63</v>
      </c>
      <c r="Q70" s="3"/>
      <c r="R70" s="7">
        <f t="shared" si="16"/>
        <v>2.9681613699779055E-3</v>
      </c>
      <c r="S70" s="3"/>
      <c r="T70" s="8"/>
      <c r="U70" s="3"/>
      <c r="V70" s="7">
        <f t="shared" si="17"/>
        <v>0</v>
      </c>
      <c r="W70" s="3"/>
      <c r="X70" s="8">
        <f t="shared" si="18"/>
        <v>6145.63</v>
      </c>
      <c r="Y70" s="3"/>
      <c r="Z70" s="7">
        <f t="shared" si="19"/>
        <v>0</v>
      </c>
    </row>
    <row r="71" spans="1:26" s="68" customFormat="1" ht="15" customHeight="1" outlineLevel="1" collapsed="1" x14ac:dyDescent="0.3">
      <c r="A71" s="25"/>
      <c r="B71" s="14" t="str">
        <f>CONCATENATE("     ","Advertising/Promo                                 ")</f>
        <v xml:space="preserve">     Advertising/Promo                                 </v>
      </c>
      <c r="C71" s="14"/>
      <c r="D71" s="2">
        <f>SUM(OSRRefD22_2x_0)</f>
        <v>0</v>
      </c>
      <c r="E71" s="2"/>
      <c r="F71" s="6">
        <f t="shared" si="12"/>
        <v>0</v>
      </c>
      <c r="G71" s="2"/>
      <c r="H71" s="2">
        <f>SUM(OSRRefH22_2x_0)</f>
        <v>26.46</v>
      </c>
      <c r="I71" s="2"/>
      <c r="J71" s="6">
        <f t="shared" si="13"/>
        <v>6.5620534158092024E-5</v>
      </c>
      <c r="K71" s="2"/>
      <c r="L71" s="2">
        <f t="shared" si="14"/>
        <v>-26.46</v>
      </c>
      <c r="M71" s="2"/>
      <c r="N71" s="6">
        <f t="shared" si="15"/>
        <v>-1</v>
      </c>
      <c r="O71" s="14"/>
      <c r="P71" s="2">
        <f>SUM(OSRRefP22_2x_0)</f>
        <v>178.97</v>
      </c>
      <c r="Q71" s="2"/>
      <c r="R71" s="6">
        <f t="shared" si="16"/>
        <v>8.6437328701035641E-5</v>
      </c>
      <c r="S71" s="2"/>
      <c r="T71" s="2">
        <f>SUM(OSRRefT22_2x_0)</f>
        <v>625.39</v>
      </c>
      <c r="U71" s="2"/>
      <c r="V71" s="6">
        <f t="shared" si="17"/>
        <v>2.5812867585920486E-4</v>
      </c>
      <c r="W71" s="2"/>
      <c r="X71" s="2">
        <f t="shared" si="18"/>
        <v>-446.41999999999996</v>
      </c>
      <c r="Y71" s="2"/>
      <c r="Z71" s="6">
        <f t="shared" si="19"/>
        <v>-0.71382657221893531</v>
      </c>
    </row>
    <row r="72" spans="1:26" s="69" customFormat="1" ht="15" hidden="1" customHeight="1" outlineLevel="2" x14ac:dyDescent="0.3">
      <c r="A72" s="26"/>
      <c r="B72" s="12" t="str">
        <f>CONCATENATE("          ","6362"," - ","ADVERTISING EXPENSE")</f>
        <v xml:space="preserve">          6362 - ADVERTISING EXPENSE</v>
      </c>
      <c r="C72" s="12"/>
      <c r="D72" s="8"/>
      <c r="E72" s="3"/>
      <c r="F72" s="7">
        <f t="shared" si="12"/>
        <v>0</v>
      </c>
      <c r="G72" s="3"/>
      <c r="H72" s="8">
        <v>26.46</v>
      </c>
      <c r="I72" s="3"/>
      <c r="J72" s="7">
        <f t="shared" si="13"/>
        <v>6.5620534158092024E-5</v>
      </c>
      <c r="K72" s="3"/>
      <c r="L72" s="8">
        <f t="shared" si="14"/>
        <v>-26.46</v>
      </c>
      <c r="M72" s="3"/>
      <c r="N72" s="7">
        <f t="shared" si="15"/>
        <v>-1</v>
      </c>
      <c r="O72" s="12"/>
      <c r="P72" s="8">
        <v>178.97</v>
      </c>
      <c r="Q72" s="3"/>
      <c r="R72" s="7">
        <f t="shared" si="16"/>
        <v>8.6437328701035641E-5</v>
      </c>
      <c r="S72" s="3"/>
      <c r="T72" s="8">
        <v>625.39</v>
      </c>
      <c r="U72" s="3"/>
      <c r="V72" s="7">
        <f t="shared" si="17"/>
        <v>2.5812867585920486E-4</v>
      </c>
      <c r="W72" s="3"/>
      <c r="X72" s="8">
        <f t="shared" si="18"/>
        <v>-446.41999999999996</v>
      </c>
      <c r="Y72" s="3"/>
      <c r="Z72" s="7">
        <f t="shared" si="19"/>
        <v>-0.71382657221893531</v>
      </c>
    </row>
    <row r="73" spans="1:26" s="68" customFormat="1" ht="15" customHeight="1" outlineLevel="1" collapsed="1" x14ac:dyDescent="0.3">
      <c r="A73" s="25"/>
      <c r="B73" s="14" t="str">
        <f>CONCATENATE("     ","Depreciation                                      ")</f>
        <v xml:space="preserve">     Depreciation                                      </v>
      </c>
      <c r="C73" s="14"/>
      <c r="D73" s="2">
        <f>SUM(OSRRefD22_3x_0)</f>
        <v>280.44</v>
      </c>
      <c r="E73" s="2"/>
      <c r="F73" s="6">
        <f t="shared" si="12"/>
        <v>8.7625005221911615E-4</v>
      </c>
      <c r="G73" s="2"/>
      <c r="H73" s="2">
        <f>SUM(OSRRefH22_3x_0)</f>
        <v>280.44</v>
      </c>
      <c r="I73" s="2"/>
      <c r="J73" s="6">
        <f t="shared" si="13"/>
        <v>6.9548838243746513E-4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SUM(OSRRefP22_3x_0)</f>
        <v>2804.4</v>
      </c>
      <c r="Q73" s="2"/>
      <c r="R73" s="6">
        <f t="shared" si="16"/>
        <v>1.3544440107793731E-3</v>
      </c>
      <c r="S73" s="2"/>
      <c r="T73" s="2">
        <f>SUM(OSRRefT22_3x_0)</f>
        <v>2804.4</v>
      </c>
      <c r="U73" s="2"/>
      <c r="V73" s="6">
        <f t="shared" si="17"/>
        <v>1.1575114066095622E-3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","6322"," - ","EQUIPMENT DEPRECIATION EXPENSE")</f>
        <v xml:space="preserve">          6322 - EQUIPMENT DEPRECIATION EXPENSE</v>
      </c>
      <c r="C74" s="12"/>
      <c r="D74" s="8">
        <v>280.44</v>
      </c>
      <c r="E74" s="3"/>
      <c r="F74" s="7">
        <f t="shared" si="12"/>
        <v>8.7625005221911615E-4</v>
      </c>
      <c r="G74" s="3"/>
      <c r="H74" s="8">
        <v>280.44</v>
      </c>
      <c r="I74" s="3"/>
      <c r="J74" s="7">
        <f t="shared" si="13"/>
        <v>6.9548838243746513E-4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2804.4</v>
      </c>
      <c r="Q74" s="3"/>
      <c r="R74" s="7">
        <f t="shared" si="16"/>
        <v>1.3544440107793731E-3</v>
      </c>
      <c r="S74" s="3"/>
      <c r="T74" s="8">
        <v>2804.4</v>
      </c>
      <c r="U74" s="3"/>
      <c r="V74" s="7">
        <f t="shared" si="17"/>
        <v>1.1575114066095622E-3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","Discounts and Markdowns                           ")</f>
        <v xml:space="preserve">     Discounts and Markdowns                           </v>
      </c>
      <c r="C75" s="14"/>
      <c r="D75" s="2">
        <f>SUM(OSRRefD22_4x_0)</f>
        <v>0</v>
      </c>
      <c r="E75" s="2"/>
      <c r="F75" s="6">
        <f t="shared" si="12"/>
        <v>0</v>
      </c>
      <c r="G75" s="2"/>
      <c r="H75" s="2">
        <f>SUM(OSRRefH22_4x_0)</f>
        <v>0</v>
      </c>
      <c r="I75" s="2"/>
      <c r="J75" s="6">
        <f t="shared" si="13"/>
        <v>0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SUM(OSRRefP22_4x_0)</f>
        <v>0</v>
      </c>
      <c r="Q75" s="2"/>
      <c r="R75" s="6">
        <f t="shared" si="16"/>
        <v>0</v>
      </c>
      <c r="S75" s="2"/>
      <c r="T75" s="2">
        <f>SUM(OSRRefT22_4x_0)</f>
        <v>0</v>
      </c>
      <c r="U75" s="2"/>
      <c r="V75" s="6">
        <f t="shared" si="17"/>
        <v>0</v>
      </c>
      <c r="W75" s="2"/>
      <c r="X75" s="2">
        <f t="shared" si="18"/>
        <v>0</v>
      </c>
      <c r="Y75" s="2"/>
      <c r="Z75" s="6">
        <f t="shared" si="19"/>
        <v>0</v>
      </c>
    </row>
    <row r="76" spans="1:26" s="69" customFormat="1" ht="15" hidden="1" customHeight="1" outlineLevel="2" x14ac:dyDescent="0.3">
      <c r="A76" s="26"/>
      <c r="B76" s="12" t="str">
        <f>CONCATENATE("          ","6382"," - ","DISCOUNTS/MARK DOWNS")</f>
        <v xml:space="preserve">          6382 - DISCOUNTS/MARK DOWNS</v>
      </c>
      <c r="C76" s="12"/>
      <c r="D76" s="8"/>
      <c r="E76" s="3"/>
      <c r="F76" s="7">
        <f t="shared" si="12"/>
        <v>0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/>
      <c r="Q76" s="3"/>
      <c r="R76" s="7">
        <f t="shared" si="16"/>
        <v>0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0</v>
      </c>
      <c r="Y76" s="3"/>
      <c r="Z76" s="7">
        <f t="shared" si="19"/>
        <v>0</v>
      </c>
    </row>
    <row r="77" spans="1:26" s="68" customFormat="1" ht="15" customHeight="1" outlineLevel="1" collapsed="1" x14ac:dyDescent="0.3">
      <c r="A77" s="25"/>
      <c r="B77" s="14" t="str">
        <f>CONCATENATE("     ","Freight out/Postage                               ")</f>
        <v xml:space="preserve">     Freight out/Postage                               </v>
      </c>
      <c r="C77" s="14"/>
      <c r="D77" s="2">
        <f>SUM(OSRRefD22_5x_0)</f>
        <v>0</v>
      </c>
      <c r="E77" s="2"/>
      <c r="F77" s="6">
        <f t="shared" si="12"/>
        <v>0</v>
      </c>
      <c r="G77" s="2"/>
      <c r="H77" s="2">
        <f>SUM(OSRRefH22_5x_0)</f>
        <v>26.99</v>
      </c>
      <c r="I77" s="2"/>
      <c r="J77" s="6">
        <f t="shared" si="13"/>
        <v>6.693492883321632E-5</v>
      </c>
      <c r="K77" s="2"/>
      <c r="L77" s="2">
        <f t="shared" si="14"/>
        <v>-26.99</v>
      </c>
      <c r="M77" s="2"/>
      <c r="N77" s="6">
        <f t="shared" si="15"/>
        <v>-1</v>
      </c>
      <c r="O77" s="14"/>
      <c r="P77" s="2">
        <f>SUM(OSRRefP22_5x_0)</f>
        <v>122.13</v>
      </c>
      <c r="Q77" s="2"/>
      <c r="R77" s="6">
        <f t="shared" si="16"/>
        <v>5.8985254256341748E-5</v>
      </c>
      <c r="S77" s="2"/>
      <c r="T77" s="2">
        <f>SUM(OSRRefT22_5x_0)</f>
        <v>1641.28</v>
      </c>
      <c r="U77" s="2"/>
      <c r="V77" s="6">
        <f t="shared" si="17"/>
        <v>6.7743557318504565E-4</v>
      </c>
      <c r="W77" s="2"/>
      <c r="X77" s="2">
        <f t="shared" si="18"/>
        <v>-1519.15</v>
      </c>
      <c r="Y77" s="2"/>
      <c r="Z77" s="6">
        <f t="shared" si="19"/>
        <v>-0.92558856502242159</v>
      </c>
    </row>
    <row r="78" spans="1:26" s="69" customFormat="1" ht="15" hidden="1" customHeight="1" outlineLevel="2" x14ac:dyDescent="0.3">
      <c r="A78" s="26"/>
      <c r="B78" s="12" t="str">
        <f>CONCATENATE("          ","6305"," - ","FREIGHT OUT")</f>
        <v xml:space="preserve">          6305 - FREIGHT OUT</v>
      </c>
      <c r="C78" s="12"/>
      <c r="D78" s="8"/>
      <c r="E78" s="3"/>
      <c r="F78" s="7">
        <f t="shared" si="12"/>
        <v>0</v>
      </c>
      <c r="G78" s="3"/>
      <c r="H78" s="8">
        <v>26.99</v>
      </c>
      <c r="I78" s="3"/>
      <c r="J78" s="7">
        <f t="shared" si="13"/>
        <v>6.693492883321632E-5</v>
      </c>
      <c r="K78" s="3"/>
      <c r="L78" s="8">
        <f t="shared" si="14"/>
        <v>-26.99</v>
      </c>
      <c r="M78" s="3"/>
      <c r="N78" s="7">
        <f t="shared" si="15"/>
        <v>-1</v>
      </c>
      <c r="O78" s="12"/>
      <c r="P78" s="8">
        <v>122.13</v>
      </c>
      <c r="Q78" s="3"/>
      <c r="R78" s="7">
        <f t="shared" si="16"/>
        <v>5.8985254256341748E-5</v>
      </c>
      <c r="S78" s="3"/>
      <c r="T78" s="8">
        <v>1628.68</v>
      </c>
      <c r="U78" s="3"/>
      <c r="V78" s="7">
        <f t="shared" si="17"/>
        <v>6.7223494427216574E-4</v>
      </c>
      <c r="W78" s="3"/>
      <c r="X78" s="8">
        <f t="shared" si="18"/>
        <v>-1506.5500000000002</v>
      </c>
      <c r="Y78" s="3"/>
      <c r="Z78" s="7">
        <f t="shared" si="19"/>
        <v>-0.92501289387725039</v>
      </c>
    </row>
    <row r="79" spans="1:26" s="69" customFormat="1" ht="15" hidden="1" customHeight="1" outlineLevel="2" x14ac:dyDescent="0.3">
      <c r="A79" s="26"/>
      <c r="B79" s="12" t="str">
        <f>CONCATENATE("          ","6307"," - ","POSTAGE")</f>
        <v xml:space="preserve">          6307 - POSTAGE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12.6</v>
      </c>
      <c r="U79" s="3"/>
      <c r="V79" s="7">
        <f t="shared" si="17"/>
        <v>5.2006289128799322E-6</v>
      </c>
      <c r="W79" s="3"/>
      <c r="X79" s="8">
        <f t="shared" si="18"/>
        <v>-12.6</v>
      </c>
      <c r="Y79" s="3"/>
      <c r="Z79" s="7">
        <f t="shared" si="19"/>
        <v>-1</v>
      </c>
    </row>
    <row r="80" spans="1:26" s="68" customFormat="1" ht="15" customHeight="1" outlineLevel="1" collapsed="1" x14ac:dyDescent="0.3">
      <c r="A80" s="25"/>
      <c r="B80" s="14" t="str">
        <f>CONCATENATE("     ","General                                           ")</f>
        <v xml:space="preserve">     General                                           </v>
      </c>
      <c r="C80" s="14"/>
      <c r="D80" s="2">
        <f>SUM(OSRRefD22_6x_0)</f>
        <v>285</v>
      </c>
      <c r="E80" s="2"/>
      <c r="F80" s="6">
        <f t="shared" si="12"/>
        <v>8.9049802054788228E-4</v>
      </c>
      <c r="G80" s="2"/>
      <c r="H80" s="2">
        <f>SUM(OSRRefH22_6x_0)</f>
        <v>0</v>
      </c>
      <c r="I80" s="2"/>
      <c r="J80" s="6">
        <f t="shared" si="13"/>
        <v>0</v>
      </c>
      <c r="K80" s="2"/>
      <c r="L80" s="2">
        <f t="shared" si="14"/>
        <v>285</v>
      </c>
      <c r="M80" s="2"/>
      <c r="N80" s="6">
        <f t="shared" si="15"/>
        <v>0</v>
      </c>
      <c r="O80" s="14"/>
      <c r="P80" s="2">
        <f>SUM(OSRRefP22_6x_0)</f>
        <v>285</v>
      </c>
      <c r="Q80" s="2"/>
      <c r="R80" s="6">
        <f t="shared" si="16"/>
        <v>1.3764674906294441E-4</v>
      </c>
      <c r="S80" s="2"/>
      <c r="T80" s="2">
        <f>SUM(OSRRefT22_6x_0)</f>
        <v>-30.15</v>
      </c>
      <c r="U80" s="2"/>
      <c r="V80" s="6">
        <f t="shared" si="17"/>
        <v>-1.2444362041534123E-5</v>
      </c>
      <c r="W80" s="2"/>
      <c r="X80" s="2">
        <f t="shared" si="18"/>
        <v>315.14999999999998</v>
      </c>
      <c r="Y80" s="2"/>
      <c r="Z80" s="6">
        <f t="shared" si="19"/>
        <v>-10.452736318407959</v>
      </c>
    </row>
    <row r="81" spans="1:26" s="69" customFormat="1" ht="15" hidden="1" customHeight="1" outlineLevel="2" x14ac:dyDescent="0.3">
      <c r="A81" s="26"/>
      <c r="B81" s="12" t="str">
        <f>CONCATENATE("          ","6279"," - ","GENERAL EXPENSE")</f>
        <v xml:space="preserve">          6279 - GENERAL EXPENSE</v>
      </c>
      <c r="C81" s="12"/>
      <c r="D81" s="8">
        <v>285</v>
      </c>
      <c r="E81" s="3"/>
      <c r="F81" s="7">
        <f t="shared" si="12"/>
        <v>8.9049802054788228E-4</v>
      </c>
      <c r="G81" s="3"/>
      <c r="H81" s="8"/>
      <c r="I81" s="3"/>
      <c r="J81" s="7">
        <f t="shared" si="13"/>
        <v>0</v>
      </c>
      <c r="K81" s="3"/>
      <c r="L81" s="8">
        <f t="shared" si="14"/>
        <v>285</v>
      </c>
      <c r="M81" s="3"/>
      <c r="N81" s="7">
        <f t="shared" si="15"/>
        <v>0</v>
      </c>
      <c r="O81" s="12"/>
      <c r="P81" s="8">
        <v>285</v>
      </c>
      <c r="Q81" s="3"/>
      <c r="R81" s="7">
        <f t="shared" si="16"/>
        <v>1.3764674906294441E-4</v>
      </c>
      <c r="S81" s="3"/>
      <c r="T81" s="8">
        <v>-30.15</v>
      </c>
      <c r="U81" s="3"/>
      <c r="V81" s="7">
        <f t="shared" si="17"/>
        <v>-1.2444362041534123E-5</v>
      </c>
      <c r="W81" s="3"/>
      <c r="X81" s="8">
        <f t="shared" si="18"/>
        <v>315.14999999999998</v>
      </c>
      <c r="Y81" s="3"/>
      <c r="Z81" s="7">
        <f t="shared" si="19"/>
        <v>-10.452736318407959</v>
      </c>
    </row>
    <row r="82" spans="1:26" s="68" customFormat="1" ht="15" customHeight="1" outlineLevel="1" collapsed="1" x14ac:dyDescent="0.3">
      <c r="A82" s="25"/>
      <c r="B82" s="14" t="str">
        <f>CONCATENATE("     ","Inventory Adjustment                              ")</f>
        <v xml:space="preserve">     Inventory Adjustment                              </v>
      </c>
      <c r="C82" s="14"/>
      <c r="D82" s="2">
        <f>SUM(OSRRefD22_7x_0)</f>
        <v>1100</v>
      </c>
      <c r="E82" s="2"/>
      <c r="F82" s="6">
        <f t="shared" si="12"/>
        <v>3.4370099038690195E-3</v>
      </c>
      <c r="G82" s="2"/>
      <c r="H82" s="2">
        <f>SUM(OSRRefH22_7x_0)</f>
        <v>1250</v>
      </c>
      <c r="I82" s="2"/>
      <c r="J82" s="6">
        <f t="shared" si="13"/>
        <v>3.0999874413308783E-3</v>
      </c>
      <c r="K82" s="2"/>
      <c r="L82" s="2">
        <f t="shared" si="14"/>
        <v>-150</v>
      </c>
      <c r="M82" s="2"/>
      <c r="N82" s="6">
        <f t="shared" si="15"/>
        <v>-0.12</v>
      </c>
      <c r="O82" s="14"/>
      <c r="P82" s="2">
        <f>SUM(OSRRefP22_7x_0)</f>
        <v>8640</v>
      </c>
      <c r="Q82" s="2"/>
      <c r="R82" s="6">
        <f t="shared" si="16"/>
        <v>4.1728698663292619E-3</v>
      </c>
      <c r="S82" s="2"/>
      <c r="T82" s="2">
        <f>SUM(OSRRefT22_7x_0)</f>
        <v>12500</v>
      </c>
      <c r="U82" s="2"/>
      <c r="V82" s="6">
        <f t="shared" si="17"/>
        <v>5.1593540802380286E-3</v>
      </c>
      <c r="W82" s="2"/>
      <c r="X82" s="2">
        <f t="shared" si="18"/>
        <v>-3860</v>
      </c>
      <c r="Y82" s="2"/>
      <c r="Z82" s="6">
        <f t="shared" si="19"/>
        <v>-0.30880000000000002</v>
      </c>
    </row>
    <row r="83" spans="1:26" s="69" customFormat="1" ht="15" hidden="1" customHeight="1" outlineLevel="2" x14ac:dyDescent="0.3">
      <c r="A83" s="26"/>
      <c r="B83" s="12" t="str">
        <f>CONCATENATE("          ","6408"," - ","INVENTORY ADJUSTMENT")</f>
        <v xml:space="preserve">          6408 - INVENTORY ADJUSTMENT</v>
      </c>
      <c r="C83" s="12"/>
      <c r="D83" s="8">
        <v>1100</v>
      </c>
      <c r="E83" s="3"/>
      <c r="F83" s="7">
        <f t="shared" si="12"/>
        <v>3.4370099038690195E-3</v>
      </c>
      <c r="G83" s="3"/>
      <c r="H83" s="8">
        <v>1250</v>
      </c>
      <c r="I83" s="3"/>
      <c r="J83" s="7">
        <f t="shared" si="13"/>
        <v>3.0999874413308783E-3</v>
      </c>
      <c r="K83" s="3"/>
      <c r="L83" s="8">
        <f t="shared" si="14"/>
        <v>-150</v>
      </c>
      <c r="M83" s="3"/>
      <c r="N83" s="7">
        <f t="shared" si="15"/>
        <v>-0.12</v>
      </c>
      <c r="O83" s="12"/>
      <c r="P83" s="8">
        <v>8640</v>
      </c>
      <c r="Q83" s="3"/>
      <c r="R83" s="7">
        <f t="shared" si="16"/>
        <v>4.1728698663292619E-3</v>
      </c>
      <c r="S83" s="3"/>
      <c r="T83" s="8">
        <v>12500</v>
      </c>
      <c r="U83" s="3"/>
      <c r="V83" s="7">
        <f t="shared" si="17"/>
        <v>5.1593540802380286E-3</v>
      </c>
      <c r="W83" s="3"/>
      <c r="X83" s="8">
        <f t="shared" si="18"/>
        <v>-3860</v>
      </c>
      <c r="Y83" s="3"/>
      <c r="Z83" s="7">
        <f t="shared" si="19"/>
        <v>-0.30880000000000002</v>
      </c>
    </row>
    <row r="84" spans="1:26" s="68" customFormat="1" ht="15" customHeight="1" outlineLevel="1" collapsed="1" x14ac:dyDescent="0.3">
      <c r="A84" s="25"/>
      <c r="B84" s="14" t="str">
        <f>CONCATENATE("     ","Repair and Maintenance                            ")</f>
        <v xml:space="preserve">     Repair and Maintenance                            </v>
      </c>
      <c r="C84" s="14"/>
      <c r="D84" s="2">
        <f>SUM(OSRRefD22_8x_0)</f>
        <v>0</v>
      </c>
      <c r="E84" s="2"/>
      <c r="F84" s="6">
        <f t="shared" si="12"/>
        <v>0</v>
      </c>
      <c r="G84" s="2"/>
      <c r="H84" s="2">
        <f>SUM(OSRRefH22_8x_0)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SUM(OSRRefP22_8x_0)</f>
        <v>1550</v>
      </c>
      <c r="Q84" s="2"/>
      <c r="R84" s="6">
        <f t="shared" si="16"/>
        <v>7.4860512648268008E-4</v>
      </c>
      <c r="S84" s="2"/>
      <c r="T84" s="2">
        <f>SUM(OSRRefT22_8x_0)</f>
        <v>1550</v>
      </c>
      <c r="U84" s="2"/>
      <c r="V84" s="6">
        <f t="shared" si="17"/>
        <v>6.3975990594951555E-4</v>
      </c>
      <c r="W84" s="2"/>
      <c r="X84" s="2">
        <f t="shared" si="18"/>
        <v>0</v>
      </c>
      <c r="Y84" s="2"/>
      <c r="Z84" s="6">
        <f t="shared" si="19"/>
        <v>0</v>
      </c>
    </row>
    <row r="85" spans="1:26" s="69" customFormat="1" ht="15" hidden="1" customHeight="1" outlineLevel="2" x14ac:dyDescent="0.3">
      <c r="A85" s="26"/>
      <c r="B85" s="12" t="str">
        <f>CONCATENATE("          ","6371"," - ","COMPUTER SOFTWARE MAINTENANCE")</f>
        <v xml:space="preserve">          6371 - COMPUTER SOFTWARE MAINTENANCE</v>
      </c>
      <c r="C85" s="12"/>
      <c r="D85" s="8"/>
      <c r="E85" s="3"/>
      <c r="F85" s="7">
        <f t="shared" si="12"/>
        <v>0</v>
      </c>
      <c r="G85" s="3"/>
      <c r="H85" s="8"/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>
        <v>1550</v>
      </c>
      <c r="Q85" s="3"/>
      <c r="R85" s="7">
        <f t="shared" si="16"/>
        <v>7.4860512648268008E-4</v>
      </c>
      <c r="S85" s="3"/>
      <c r="T85" s="8">
        <v>1550</v>
      </c>
      <c r="U85" s="3"/>
      <c r="V85" s="7">
        <f t="shared" si="17"/>
        <v>6.3975990594951555E-4</v>
      </c>
      <c r="W85" s="3"/>
      <c r="X85" s="8">
        <f t="shared" si="18"/>
        <v>0</v>
      </c>
      <c r="Y85" s="3"/>
      <c r="Z85" s="7">
        <f t="shared" si="19"/>
        <v>0</v>
      </c>
    </row>
    <row r="86" spans="1:26" s="68" customFormat="1" ht="15" customHeight="1" outlineLevel="1" collapsed="1" x14ac:dyDescent="0.3">
      <c r="A86" s="2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SUM(OSRRefD22_9x_0)</f>
        <v>0</v>
      </c>
      <c r="E86" s="2"/>
      <c r="F86" s="6">
        <f t="shared" si="12"/>
        <v>0</v>
      </c>
      <c r="G86" s="2"/>
      <c r="H86" s="2">
        <f>SUM(OSRRefH22_9x_0)</f>
        <v>142.22</v>
      </c>
      <c r="I86" s="2"/>
      <c r="J86" s="6">
        <f t="shared" si="13"/>
        <v>3.5270417112486196E-4</v>
      </c>
      <c r="K86" s="2"/>
      <c r="L86" s="2">
        <f t="shared" si="14"/>
        <v>-142.22</v>
      </c>
      <c r="M86" s="2"/>
      <c r="N86" s="6">
        <f t="shared" si="15"/>
        <v>-1</v>
      </c>
      <c r="O86" s="14"/>
      <c r="P86" s="2">
        <f>SUM(OSRRefP22_9x_0)</f>
        <v>0</v>
      </c>
      <c r="Q86" s="2"/>
      <c r="R86" s="6">
        <f t="shared" si="16"/>
        <v>0</v>
      </c>
      <c r="S86" s="2"/>
      <c r="T86" s="2">
        <f>SUM(OSRRefT22_9x_0)</f>
        <v>142.22</v>
      </c>
      <c r="U86" s="2"/>
      <c r="V86" s="6">
        <f t="shared" si="17"/>
        <v>5.8701066983316191E-5</v>
      </c>
      <c r="W86" s="2"/>
      <c r="X86" s="2">
        <f t="shared" si="18"/>
        <v>-142.22</v>
      </c>
      <c r="Y86" s="2"/>
      <c r="Z86" s="6">
        <f t="shared" si="19"/>
        <v>-1</v>
      </c>
    </row>
    <row r="87" spans="1:26" s="69" customFormat="1" ht="15" hidden="1" customHeight="1" outlineLevel="2" x14ac:dyDescent="0.3">
      <c r="A87" s="26"/>
      <c r="B87" s="12" t="str">
        <f>CONCATENATE("          ","6275"," - ","SUBSCRIPTIONS")</f>
        <v xml:space="preserve">          6275 - SUBSCRIPTIONS</v>
      </c>
      <c r="C87" s="12"/>
      <c r="D87" s="8"/>
      <c r="E87" s="3"/>
      <c r="F87" s="7">
        <f t="shared" si="12"/>
        <v>0</v>
      </c>
      <c r="G87" s="3"/>
      <c r="H87" s="8">
        <v>142.22</v>
      </c>
      <c r="I87" s="3"/>
      <c r="J87" s="7">
        <f t="shared" si="13"/>
        <v>3.5270417112486196E-4</v>
      </c>
      <c r="K87" s="3"/>
      <c r="L87" s="8">
        <f t="shared" si="14"/>
        <v>-142.22</v>
      </c>
      <c r="M87" s="3"/>
      <c r="N87" s="7">
        <f t="shared" si="15"/>
        <v>-1</v>
      </c>
      <c r="O87" s="12"/>
      <c r="P87" s="8"/>
      <c r="Q87" s="3"/>
      <c r="R87" s="7">
        <f t="shared" si="16"/>
        <v>0</v>
      </c>
      <c r="S87" s="3"/>
      <c r="T87" s="8">
        <v>142.22</v>
      </c>
      <c r="U87" s="3"/>
      <c r="V87" s="7">
        <f t="shared" si="17"/>
        <v>5.8701066983316191E-5</v>
      </c>
      <c r="W87" s="3"/>
      <c r="X87" s="8">
        <f t="shared" si="18"/>
        <v>-142.22</v>
      </c>
      <c r="Y87" s="3"/>
      <c r="Z87" s="7">
        <f t="shared" si="19"/>
        <v>-1</v>
      </c>
    </row>
    <row r="88" spans="1:26" s="68" customFormat="1" ht="15" customHeight="1" outlineLevel="1" collapsed="1" x14ac:dyDescent="0.3">
      <c r="A88" s="25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SUM(OSRRefD22_10x_0)</f>
        <v>1549.15</v>
      </c>
      <c r="E88" s="2"/>
      <c r="F88" s="6">
        <f t="shared" si="12"/>
        <v>4.8404035387079013E-3</v>
      </c>
      <c r="G88" s="2"/>
      <c r="H88" s="2">
        <f>SUM(OSRRefH22_10x_0)</f>
        <v>19.559999999999999</v>
      </c>
      <c r="I88" s="2"/>
      <c r="J88" s="6">
        <f t="shared" si="13"/>
        <v>4.8508603481945579E-5</v>
      </c>
      <c r="K88" s="2"/>
      <c r="L88" s="2">
        <f t="shared" si="14"/>
        <v>1529.5900000000001</v>
      </c>
      <c r="M88" s="2"/>
      <c r="N88" s="6">
        <f t="shared" si="15"/>
        <v>78.199897750511255</v>
      </c>
      <c r="O88" s="14"/>
      <c r="P88" s="2">
        <f>SUM(OSRRefP22_10x_0)</f>
        <v>4930.8999999999996</v>
      </c>
      <c r="Q88" s="2"/>
      <c r="R88" s="6">
        <f t="shared" si="16"/>
        <v>2.3814819472086756E-3</v>
      </c>
      <c r="S88" s="2"/>
      <c r="T88" s="2">
        <f>SUM(OSRRefT22_10x_0)</f>
        <v>3831.65</v>
      </c>
      <c r="U88" s="2"/>
      <c r="V88" s="6">
        <f t="shared" si="17"/>
        <v>1.5815071249235234E-3</v>
      </c>
      <c r="W88" s="2"/>
      <c r="X88" s="2">
        <f t="shared" si="18"/>
        <v>1099.2499999999995</v>
      </c>
      <c r="Y88" s="2"/>
      <c r="Z88" s="6">
        <f t="shared" si="19"/>
        <v>0.28688685031252842</v>
      </c>
    </row>
    <row r="89" spans="1:26" s="69" customFormat="1" ht="15" hidden="1" customHeight="1" outlineLevel="2" x14ac:dyDescent="0.3">
      <c r="A89" s="26"/>
      <c r="B89" s="12" t="str">
        <f>CONCATENATE("          ","6234"," - ","EXPENDABLE SUPPLIES &amp; EQUIPMEN")</f>
        <v xml:space="preserve">          6234 - EXPENDABLE SUPPLIES &amp; EQUIPMEN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/>
      <c r="Q89" s="3"/>
      <c r="R89" s="7">
        <f t="shared" si="16"/>
        <v>0</v>
      </c>
      <c r="S89" s="3"/>
      <c r="T89" s="8">
        <v>1733.49</v>
      </c>
      <c r="U89" s="3"/>
      <c r="V89" s="7">
        <f t="shared" si="17"/>
        <v>7.1549509636414552E-4</v>
      </c>
      <c r="W89" s="3"/>
      <c r="X89" s="8">
        <f t="shared" si="18"/>
        <v>-1733.49</v>
      </c>
      <c r="Y89" s="3"/>
      <c r="Z89" s="7">
        <f t="shared" si="19"/>
        <v>-1</v>
      </c>
    </row>
    <row r="90" spans="1:26" s="69" customFormat="1" ht="15" hidden="1" customHeight="1" outlineLevel="2" x14ac:dyDescent="0.3">
      <c r="A90" s="26"/>
      <c r="B90" s="12" t="str">
        <f>CONCATENATE("          ","6235"," - ","COVID-19 EXPENSES")</f>
        <v xml:space="preserve">          6235 - COVID-19 EXPENSES</v>
      </c>
      <c r="C90" s="12"/>
      <c r="D90" s="8"/>
      <c r="E90" s="3"/>
      <c r="F90" s="7">
        <f t="shared" si="12"/>
        <v>0</v>
      </c>
      <c r="G90" s="3"/>
      <c r="H90" s="8"/>
      <c r="I90" s="3"/>
      <c r="J90" s="7">
        <f t="shared" si="13"/>
        <v>0</v>
      </c>
      <c r="K90" s="3"/>
      <c r="L90" s="8">
        <f t="shared" si="14"/>
        <v>0</v>
      </c>
      <c r="M90" s="3"/>
      <c r="N90" s="7">
        <f t="shared" si="15"/>
        <v>0</v>
      </c>
      <c r="O90" s="12"/>
      <c r="P90" s="8"/>
      <c r="Q90" s="3"/>
      <c r="R90" s="7">
        <f t="shared" si="16"/>
        <v>0</v>
      </c>
      <c r="S90" s="3"/>
      <c r="T90" s="8">
        <v>668.12</v>
      </c>
      <c r="U90" s="3"/>
      <c r="V90" s="7">
        <f t="shared" si="17"/>
        <v>2.7576541184709053E-4</v>
      </c>
      <c r="W90" s="3"/>
      <c r="X90" s="8">
        <f t="shared" si="18"/>
        <v>-668.12</v>
      </c>
      <c r="Y90" s="3"/>
      <c r="Z90" s="7">
        <f t="shared" si="19"/>
        <v>-1</v>
      </c>
    </row>
    <row r="91" spans="1:26" s="69" customFormat="1" ht="15" hidden="1" customHeight="1" outlineLevel="2" x14ac:dyDescent="0.3">
      <c r="A91" s="26"/>
      <c r="B91" s="12" t="str">
        <f>CONCATENATE("          ","6241"," - ","OFFICE EXPENSE")</f>
        <v xml:space="preserve">          6241 - OFFICE EXPENSE</v>
      </c>
      <c r="C91" s="12"/>
      <c r="D91" s="8">
        <v>1549.15</v>
      </c>
      <c r="E91" s="3"/>
      <c r="F91" s="7">
        <f t="shared" si="12"/>
        <v>4.8404035387079013E-3</v>
      </c>
      <c r="G91" s="3"/>
      <c r="H91" s="8">
        <v>19.559999999999999</v>
      </c>
      <c r="I91" s="3"/>
      <c r="J91" s="7">
        <f t="shared" si="13"/>
        <v>4.8508603481945579E-5</v>
      </c>
      <c r="K91" s="3"/>
      <c r="L91" s="8">
        <f t="shared" si="14"/>
        <v>1529.5900000000001</v>
      </c>
      <c r="M91" s="3"/>
      <c r="N91" s="7">
        <f t="shared" si="15"/>
        <v>78.199897750511255</v>
      </c>
      <c r="O91" s="12"/>
      <c r="P91" s="8">
        <v>2018.9</v>
      </c>
      <c r="Q91" s="3"/>
      <c r="R91" s="7">
        <f t="shared" si="16"/>
        <v>9.7507025151992444E-4</v>
      </c>
      <c r="S91" s="3"/>
      <c r="T91" s="8">
        <v>1430.04</v>
      </c>
      <c r="U91" s="3"/>
      <c r="V91" s="7">
        <f t="shared" si="17"/>
        <v>5.9024661671228714E-4</v>
      </c>
      <c r="W91" s="3"/>
      <c r="X91" s="8">
        <f t="shared" si="18"/>
        <v>588.86000000000013</v>
      </c>
      <c r="Y91" s="3"/>
      <c r="Z91" s="7">
        <f t="shared" si="19"/>
        <v>0.4117786915051328</v>
      </c>
    </row>
    <row r="92" spans="1:26" s="69" customFormat="1" ht="15" hidden="1" customHeight="1" outlineLevel="2" x14ac:dyDescent="0.3">
      <c r="A92" s="26"/>
      <c r="B92" s="12" t="str">
        <f>CONCATENATE("          ","6247"," - ","STORE SUPPLIES")</f>
        <v xml:space="preserve">          6247 - STORE SUPPLIES</v>
      </c>
      <c r="C92" s="12"/>
      <c r="D92" s="8"/>
      <c r="E92" s="3"/>
      <c r="F92" s="7">
        <f t="shared" si="12"/>
        <v>0</v>
      </c>
      <c r="G92" s="3"/>
      <c r="H92" s="8"/>
      <c r="I92" s="3"/>
      <c r="J92" s="7">
        <f t="shared" si="13"/>
        <v>0</v>
      </c>
      <c r="K92" s="3"/>
      <c r="L92" s="8">
        <f t="shared" si="14"/>
        <v>0</v>
      </c>
      <c r="M92" s="3"/>
      <c r="N92" s="7">
        <f t="shared" si="15"/>
        <v>0</v>
      </c>
      <c r="O92" s="12"/>
      <c r="P92" s="8">
        <v>2912</v>
      </c>
      <c r="Q92" s="3"/>
      <c r="R92" s="7">
        <f t="shared" si="16"/>
        <v>1.4064116956887512E-3</v>
      </c>
      <c r="S92" s="3"/>
      <c r="T92" s="8"/>
      <c r="U92" s="3"/>
      <c r="V92" s="7">
        <f t="shared" si="17"/>
        <v>0</v>
      </c>
      <c r="W92" s="3"/>
      <c r="X92" s="8">
        <f t="shared" si="18"/>
        <v>2912</v>
      </c>
      <c r="Y92" s="3"/>
      <c r="Z92" s="7">
        <f t="shared" si="19"/>
        <v>0</v>
      </c>
    </row>
    <row r="93" spans="1:26" s="68" customFormat="1" ht="15" customHeight="1" outlineLevel="1" collapsed="1" x14ac:dyDescent="0.3">
      <c r="A93" s="25"/>
      <c r="B93" s="14" t="str">
        <f>CONCATENATE("     ","Telephone/Data Lines                              ")</f>
        <v xml:space="preserve">     Telephone/Data Lines                              </v>
      </c>
      <c r="C93" s="14"/>
      <c r="D93" s="2">
        <f>SUM(OSRRefD22_11x_0)</f>
        <v>110.47</v>
      </c>
      <c r="E93" s="2"/>
      <c r="F93" s="6">
        <f t="shared" si="12"/>
        <v>3.4516953098219142E-4</v>
      </c>
      <c r="G93" s="2"/>
      <c r="H93" s="2">
        <f>SUM(OSRRefH22_11x_0)</f>
        <v>271.3</v>
      </c>
      <c r="I93" s="2"/>
      <c r="J93" s="6">
        <f t="shared" si="13"/>
        <v>6.7282127426645383E-4</v>
      </c>
      <c r="K93" s="2"/>
      <c r="L93" s="2">
        <f t="shared" si="14"/>
        <v>-160.83000000000001</v>
      </c>
      <c r="M93" s="2"/>
      <c r="N93" s="6">
        <f t="shared" si="15"/>
        <v>-0.59281238481385923</v>
      </c>
      <c r="O93" s="14"/>
      <c r="P93" s="2">
        <f>SUM(OSRRefP22_11x_0)</f>
        <v>1915.21</v>
      </c>
      <c r="Q93" s="2"/>
      <c r="R93" s="6">
        <f t="shared" si="16"/>
        <v>9.2499098341347987E-4</v>
      </c>
      <c r="S93" s="2"/>
      <c r="T93" s="2">
        <f>SUM(OSRRefT22_11x_0)</f>
        <v>2877.55</v>
      </c>
      <c r="U93" s="2"/>
      <c r="V93" s="6">
        <f t="shared" si="17"/>
        <v>1.1877039466871152E-3</v>
      </c>
      <c r="W93" s="2"/>
      <c r="X93" s="2">
        <f t="shared" si="18"/>
        <v>-962.34000000000015</v>
      </c>
      <c r="Y93" s="2"/>
      <c r="Z93" s="6">
        <f t="shared" si="19"/>
        <v>-0.33443033135827355</v>
      </c>
    </row>
    <row r="94" spans="1:26" s="69" customFormat="1" ht="15" hidden="1" customHeight="1" outlineLevel="2" x14ac:dyDescent="0.3">
      <c r="A94" s="26"/>
      <c r="B94" s="12" t="str">
        <f>CONCATENATE("          ","6309"," - ","TELEPHONE")</f>
        <v xml:space="preserve">          6309 - TELEPHONE</v>
      </c>
      <c r="C94" s="12"/>
      <c r="D94" s="8">
        <v>110.47</v>
      </c>
      <c r="E94" s="3"/>
      <c r="F94" s="7">
        <f t="shared" si="12"/>
        <v>3.4516953098219142E-4</v>
      </c>
      <c r="G94" s="3"/>
      <c r="H94" s="8">
        <v>271.3</v>
      </c>
      <c r="I94" s="3"/>
      <c r="J94" s="7">
        <f t="shared" si="13"/>
        <v>6.7282127426645383E-4</v>
      </c>
      <c r="K94" s="3"/>
      <c r="L94" s="8">
        <f t="shared" si="14"/>
        <v>-160.83000000000001</v>
      </c>
      <c r="M94" s="3"/>
      <c r="N94" s="7">
        <f t="shared" si="15"/>
        <v>-0.59281238481385923</v>
      </c>
      <c r="O94" s="12"/>
      <c r="P94" s="8">
        <v>1915.21</v>
      </c>
      <c r="Q94" s="3"/>
      <c r="R94" s="7">
        <f t="shared" si="16"/>
        <v>9.2499098341347987E-4</v>
      </c>
      <c r="S94" s="3"/>
      <c r="T94" s="8">
        <v>2877.55</v>
      </c>
      <c r="U94" s="3"/>
      <c r="V94" s="7">
        <f t="shared" si="17"/>
        <v>1.1877039466871152E-3</v>
      </c>
      <c r="W94" s="3"/>
      <c r="X94" s="8">
        <f t="shared" si="18"/>
        <v>-962.34000000000015</v>
      </c>
      <c r="Y94" s="3"/>
      <c r="Z94" s="7">
        <f t="shared" si="19"/>
        <v>-0.33443033135827355</v>
      </c>
    </row>
    <row r="95" spans="1:26" s="68" customFormat="1" ht="15" customHeight="1" outlineLevel="1" collapsed="1" x14ac:dyDescent="0.3">
      <c r="A95" s="25"/>
      <c r="B95" s="14" t="str">
        <f>CONCATENATE("     ","Training                                          ")</f>
        <v xml:space="preserve">     Training                                          </v>
      </c>
      <c r="C95" s="14"/>
      <c r="D95" s="2">
        <f>SUM(OSRRefD22_12x_0)</f>
        <v>0</v>
      </c>
      <c r="E95" s="2"/>
      <c r="F95" s="6">
        <f t="shared" si="12"/>
        <v>0</v>
      </c>
      <c r="G95" s="2"/>
      <c r="H95" s="2">
        <f>SUM(OSRRefH22_12x_0)</f>
        <v>0</v>
      </c>
      <c r="I95" s="2"/>
      <c r="J95" s="6">
        <f t="shared" si="13"/>
        <v>0</v>
      </c>
      <c r="K95" s="2"/>
      <c r="L95" s="2">
        <f t="shared" si="14"/>
        <v>0</v>
      </c>
      <c r="M95" s="2"/>
      <c r="N95" s="6">
        <f t="shared" si="15"/>
        <v>0</v>
      </c>
      <c r="O95" s="14"/>
      <c r="P95" s="2">
        <f>SUM(OSRRefP22_12x_0)</f>
        <v>0</v>
      </c>
      <c r="Q95" s="2"/>
      <c r="R95" s="6">
        <f t="shared" si="16"/>
        <v>0</v>
      </c>
      <c r="S95" s="2"/>
      <c r="T95" s="2">
        <f>SUM(OSRRefT22_12x_0)</f>
        <v>100</v>
      </c>
      <c r="U95" s="2"/>
      <c r="V95" s="6">
        <f t="shared" si="17"/>
        <v>4.1274832641904228E-5</v>
      </c>
      <c r="W95" s="2"/>
      <c r="X95" s="2">
        <f t="shared" si="18"/>
        <v>-100</v>
      </c>
      <c r="Y95" s="2"/>
      <c r="Z95" s="6">
        <f t="shared" si="19"/>
        <v>-1</v>
      </c>
    </row>
    <row r="96" spans="1:26" s="69" customFormat="1" ht="15" hidden="1" customHeight="1" outlineLevel="2" x14ac:dyDescent="0.3">
      <c r="A96" s="26"/>
      <c r="B96" s="12" t="str">
        <f>CONCATENATE("          ","6376"," - ","TRAINING")</f>
        <v xml:space="preserve">          6376 - TRAINING</v>
      </c>
      <c r="C96" s="12"/>
      <c r="D96" s="8"/>
      <c r="E96" s="3"/>
      <c r="F96" s="7">
        <f t="shared" si="12"/>
        <v>0</v>
      </c>
      <c r="G96" s="3"/>
      <c r="H96" s="8"/>
      <c r="I96" s="3"/>
      <c r="J96" s="7">
        <f t="shared" si="13"/>
        <v>0</v>
      </c>
      <c r="K96" s="3"/>
      <c r="L96" s="8">
        <f t="shared" si="14"/>
        <v>0</v>
      </c>
      <c r="M96" s="3"/>
      <c r="N96" s="7">
        <f t="shared" si="15"/>
        <v>0</v>
      </c>
      <c r="O96" s="12"/>
      <c r="P96" s="8"/>
      <c r="Q96" s="3"/>
      <c r="R96" s="7">
        <f t="shared" si="16"/>
        <v>0</v>
      </c>
      <c r="S96" s="3"/>
      <c r="T96" s="8">
        <v>100</v>
      </c>
      <c r="U96" s="3"/>
      <c r="V96" s="7">
        <f t="shared" si="17"/>
        <v>4.1274832641904228E-5</v>
      </c>
      <c r="W96" s="3"/>
      <c r="X96" s="8">
        <f t="shared" si="18"/>
        <v>-100</v>
      </c>
      <c r="Y96" s="3"/>
      <c r="Z96" s="7">
        <f t="shared" si="19"/>
        <v>-1</v>
      </c>
    </row>
    <row r="97" spans="1:26" s="64" customFormat="1" ht="15" customHeight="1" x14ac:dyDescent="0.3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3">
      <c r="A98" s="11"/>
      <c r="B98" s="27" t="s">
        <v>290</v>
      </c>
      <c r="C98" s="11"/>
      <c r="D98" s="5">
        <f>SUM(OSRRefD25x_0)</f>
        <v>1497.14</v>
      </c>
      <c r="E98" s="5"/>
      <c r="F98" s="13">
        <f>IF(D$12=0,0,D98/D$12)</f>
        <v>4.6778954613440581E-3</v>
      </c>
      <c r="G98" s="5"/>
      <c r="H98" s="5">
        <f>SUM(OSRRefH25x_0)</f>
        <v>-23103.62</v>
      </c>
      <c r="I98" s="5"/>
      <c r="J98" s="13">
        <f>IF(H$12=0,0,H98/H$12)</f>
        <v>-5.7296745479424718E-2</v>
      </c>
      <c r="K98" s="5"/>
      <c r="L98" s="5">
        <f>+D98-H98</f>
        <v>24600.76</v>
      </c>
      <c r="M98" s="5"/>
      <c r="N98" s="13">
        <f>IF(H98=0,0,L98/H98)</f>
        <v>-1.0648011004336118</v>
      </c>
      <c r="O98" s="11"/>
      <c r="P98" s="5">
        <f>SUM(OSRRefP25x_0)</f>
        <v>4838.08</v>
      </c>
      <c r="Q98" s="5"/>
      <c r="R98" s="13">
        <f>IF(P$12=0,0,P98/P$12)</f>
        <v>2.3366525744085965E-3</v>
      </c>
      <c r="S98" s="5"/>
      <c r="T98" s="5">
        <f>SUM(OSRRefT25x_0)</f>
        <v>3736.26</v>
      </c>
      <c r="U98" s="5"/>
      <c r="V98" s="13">
        <f>IF(T$12=0,0,T98/T$12)</f>
        <v>1.5421350620664109E-3</v>
      </c>
      <c r="W98" s="5"/>
      <c r="X98" s="5">
        <f>+P98-T98</f>
        <v>1101.8199999999997</v>
      </c>
      <c r="Y98" s="5"/>
      <c r="Z98" s="13">
        <f>IF(T98=0,0,X98/T98)</f>
        <v>0.29489917725211834</v>
      </c>
    </row>
    <row r="99" spans="1:26" s="69" customFormat="1" ht="15" hidden="1" customHeight="1" outlineLevel="1" x14ac:dyDescent="0.3">
      <c r="A99" s="42"/>
      <c r="B99" s="12" t="str">
        <f>CONCATENATE("          ","4187"," - ","NON-TAXABLE SALES-COMPUTER REP")</f>
        <v xml:space="preserve">          4187 - NON-TAXABLE SALES-COMPUTER REP</v>
      </c>
      <c r="C99" s="12"/>
      <c r="D99" s="3">
        <f>0</f>
        <v>0</v>
      </c>
      <c r="E99" s="3"/>
      <c r="F99" s="20">
        <f>IF(D$12=0,0,D99/D$12)</f>
        <v>0</v>
      </c>
      <c r="G99" s="3"/>
      <c r="H99" s="3">
        <f>--1700.99</f>
        <v>1700.99</v>
      </c>
      <c r="I99" s="3"/>
      <c r="J99" s="20">
        <f>IF(H$12=0,0,H99/H$12)</f>
        <v>4.218438110263528E-3</v>
      </c>
      <c r="K99" s="3"/>
      <c r="L99" s="3">
        <f>+D99-H99</f>
        <v>-1700.99</v>
      </c>
      <c r="M99" s="3"/>
      <c r="N99" s="20">
        <f>IF(H99=0,0,L99/H99)</f>
        <v>-1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f>--3315.96</f>
        <v>3315.96</v>
      </c>
      <c r="U99" s="3"/>
      <c r="V99" s="20">
        <f>IF(T$12=0,0,T99/T$12)</f>
        <v>1.3686569404724874E-3</v>
      </c>
      <c r="W99" s="3"/>
      <c r="X99" s="3">
        <f>+P99-T99</f>
        <v>-3315.96</v>
      </c>
      <c r="Y99" s="3"/>
      <c r="Z99" s="20">
        <f>IF(T99=0,0,X99/T99)</f>
        <v>-1</v>
      </c>
    </row>
    <row r="100" spans="1:26" s="69" customFormat="1" ht="15" hidden="1" customHeight="1" outlineLevel="1" x14ac:dyDescent="0.3">
      <c r="A100" s="42"/>
      <c r="B100" s="12" t="str">
        <f>CONCATENATE("          ","9087"," - ","")</f>
        <v xml:space="preserve">          9087 - </v>
      </c>
      <c r="C100" s="12"/>
      <c r="D100" s="3">
        <f>--1264.22</f>
        <v>1264.22</v>
      </c>
      <c r="E100" s="3"/>
      <c r="F100" s="20">
        <f>IF(D$12=0,0,D100/D$12)</f>
        <v>3.9501242369720836E-3</v>
      </c>
      <c r="G100" s="3"/>
      <c r="H100" s="3">
        <f>0</f>
        <v>0</v>
      </c>
      <c r="I100" s="3"/>
      <c r="J100" s="20">
        <f>IF(H$12=0,0,H100/H$12)</f>
        <v>0</v>
      </c>
      <c r="K100" s="3"/>
      <c r="L100" s="3">
        <f>+D100-H100</f>
        <v>1264.22</v>
      </c>
      <c r="M100" s="3"/>
      <c r="N100" s="20">
        <f>IF(H100=0,0,L100/H100)</f>
        <v>0</v>
      </c>
      <c r="O100" s="12"/>
      <c r="P100" s="3">
        <f>--1996</f>
        <v>1996</v>
      </c>
      <c r="Q100" s="3"/>
      <c r="R100" s="20">
        <f>IF(P$12=0,0,P100/P$12)</f>
        <v>9.6401021448995451E-4</v>
      </c>
      <c r="S100" s="3"/>
      <c r="T100" s="3">
        <f>0</f>
        <v>0</v>
      </c>
      <c r="U100" s="3"/>
      <c r="V100" s="20">
        <f>IF(T$12=0,0,T100/T$12)</f>
        <v>0</v>
      </c>
      <c r="W100" s="3"/>
      <c r="X100" s="3">
        <f>+P100-T100</f>
        <v>1996</v>
      </c>
      <c r="Y100" s="3"/>
      <c r="Z100" s="20">
        <f>IF(T100=0,0,X100/T100)</f>
        <v>0</v>
      </c>
    </row>
    <row r="101" spans="1:26" s="69" customFormat="1" ht="15" hidden="1" customHeight="1" outlineLevel="1" x14ac:dyDescent="0.3">
      <c r="A101" s="42"/>
      <c r="B101" s="12" t="str">
        <f>CONCATENATE("          ","9150"," - ","MISC. INCOME")</f>
        <v xml:space="preserve">          9150 - MISC. INCOME</v>
      </c>
      <c r="C101" s="12"/>
      <c r="D101" s="3">
        <f>--232.92</f>
        <v>232.92</v>
      </c>
      <c r="E101" s="3"/>
      <c r="F101" s="20">
        <f>IF(D$12=0,0,D101/D$12)</f>
        <v>7.2777122437197455E-4</v>
      </c>
      <c r="G101" s="3"/>
      <c r="H101" s="3">
        <f>-24804.61</f>
        <v>-24804.61</v>
      </c>
      <c r="I101" s="3"/>
      <c r="J101" s="20">
        <f>IF(H$12=0,0,H101/H$12)</f>
        <v>-6.1515183589688251E-2</v>
      </c>
      <c r="K101" s="3"/>
      <c r="L101" s="3">
        <f>+D101-H101</f>
        <v>25037.53</v>
      </c>
      <c r="M101" s="3"/>
      <c r="N101" s="20">
        <f>IF(H101=0,0,L101/H101)</f>
        <v>-1.0093901899687194</v>
      </c>
      <c r="O101" s="12"/>
      <c r="P101" s="3">
        <f>--2842.08</f>
        <v>2842.08</v>
      </c>
      <c r="Q101" s="3"/>
      <c r="R101" s="20">
        <f>IF(P$12=0,0,P101/P$12)</f>
        <v>1.3726423599186421E-3</v>
      </c>
      <c r="S101" s="3"/>
      <c r="T101" s="3">
        <f>--420.3</f>
        <v>420.3</v>
      </c>
      <c r="U101" s="3"/>
      <c r="V101" s="20">
        <f>IF(T$12=0,0,T101/T$12)</f>
        <v>1.7347812159392346E-4</v>
      </c>
      <c r="W101" s="3"/>
      <c r="X101" s="3">
        <f>+P101-T101</f>
        <v>2421.7799999999997</v>
      </c>
      <c r="Y101" s="3"/>
      <c r="Z101" s="20">
        <f>IF(T101=0,0,X101/T101)</f>
        <v>5.7620271234832252</v>
      </c>
    </row>
    <row r="102" spans="1:26" ht="15" customHeight="1" x14ac:dyDescent="0.3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291</v>
      </c>
      <c r="C103" s="28"/>
      <c r="D103" s="21">
        <f>+D52-D54+D98</f>
        <v>8947.9600000000391</v>
      </c>
      <c r="E103" s="15"/>
      <c r="F103" s="23">
        <f>IF(D$12=0,0,D103/D$12)</f>
        <v>2.7958388308567242E-2</v>
      </c>
      <c r="G103" s="15"/>
      <c r="H103" s="21">
        <f>+H52-H54+H98</f>
        <v>-2926.309999999994</v>
      </c>
      <c r="I103" s="15"/>
      <c r="J103" s="23">
        <f>IF(H$12=0,0,H103/H$12)</f>
        <v>-7.2572193995527551E-3</v>
      </c>
      <c r="K103" s="16"/>
      <c r="L103" s="21">
        <f>+D103-H103</f>
        <v>11874.270000000033</v>
      </c>
      <c r="M103" s="16"/>
      <c r="N103" s="23">
        <f>IF(H103=0,0,L103/H103)</f>
        <v>-4.0577621646373956</v>
      </c>
      <c r="O103" s="27"/>
      <c r="P103" s="21">
        <f>+P52-P54+P98</f>
        <v>153333.49999999997</v>
      </c>
      <c r="Q103" s="15"/>
      <c r="R103" s="23">
        <f>IF(P$12=0,0,P103/P$12)</f>
        <v>7.405564139453677E-2</v>
      </c>
      <c r="S103" s="15"/>
      <c r="T103" s="21">
        <f>+T52-T54+T98</f>
        <v>54889.539999999593</v>
      </c>
      <c r="U103" s="15"/>
      <c r="V103" s="23">
        <f>IF(T$12=0,0,T103/T$12)</f>
        <v>2.2655565772910908E-2</v>
      </c>
      <c r="W103" s="16"/>
      <c r="X103" s="21">
        <f>+P103-T103</f>
        <v>98443.96000000037</v>
      </c>
      <c r="Y103" s="16"/>
      <c r="Z103" s="23">
        <f>IF(T103=0,0,X103/T103)</f>
        <v>1.7934921662670356</v>
      </c>
    </row>
    <row r="104" spans="1:26" ht="15" customHeight="1" x14ac:dyDescent="0.3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3">
      <c r="A105" s="48"/>
      <c r="B105" s="11" t="s">
        <v>292</v>
      </c>
      <c r="C105" s="11"/>
      <c r="D105" s="5">
        <v>25641.73</v>
      </c>
      <c r="E105" s="5"/>
      <c r="F105" s="13">
        <f>IF(D$12=0,0,D105/D$12)</f>
        <v>8.0118981783941223E-2</v>
      </c>
      <c r="G105" s="5"/>
      <c r="H105" s="5">
        <v>90642.79</v>
      </c>
      <c r="I105" s="5"/>
      <c r="J105" s="13">
        <f>IF(H$12=0,0,H105/H$12)</f>
        <v>0.22479320851775367</v>
      </c>
      <c r="K105" s="5"/>
      <c r="L105" s="5">
        <f>+D105-H105</f>
        <v>-65001.06</v>
      </c>
      <c r="M105" s="5"/>
      <c r="N105" s="13">
        <f>IF(H105=0,0,L105/H105)</f>
        <v>-0.7171123042439449</v>
      </c>
      <c r="O105" s="11"/>
      <c r="P105" s="5">
        <v>234556.25</v>
      </c>
      <c r="Q105" s="5"/>
      <c r="R105" s="13">
        <f>IF(P$12=0,0,P105/P$12)</f>
        <v>0.11328387819261493</v>
      </c>
      <c r="S105" s="5"/>
      <c r="T105" s="5">
        <v>506856.23</v>
      </c>
      <c r="U105" s="5"/>
      <c r="V105" s="13">
        <f>IF(T$12=0,0,T105/T$12)</f>
        <v>0.20920406066756514</v>
      </c>
      <c r="W105" s="5"/>
      <c r="X105" s="5">
        <f>+P105-T105</f>
        <v>-272299.98</v>
      </c>
      <c r="Y105" s="5"/>
      <c r="Z105" s="13">
        <f>IF(T105=0,0,X105/T105)</f>
        <v>-0.53723317162344042</v>
      </c>
    </row>
    <row r="106" spans="1:26" ht="15" customHeight="1" x14ac:dyDescent="0.3">
      <c r="A106" s="10"/>
      <c r="B106" s="11"/>
      <c r="C106" s="11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O106" s="11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8" t="s">
        <v>293</v>
      </c>
      <c r="C107" s="28"/>
      <c r="D107" s="34">
        <f>+D103-D105</f>
        <v>-16693.76999999996</v>
      </c>
      <c r="E107" s="15"/>
      <c r="F107" s="30">
        <f>IF(D$12=0,0,D107/D$12)</f>
        <v>-5.2160593475373988E-2</v>
      </c>
      <c r="G107" s="15"/>
      <c r="H107" s="34">
        <f>+H103-H105</f>
        <v>-93569.099999999991</v>
      </c>
      <c r="I107" s="15"/>
      <c r="J107" s="30">
        <f>IF(H$12=0,0,H107/H$12)</f>
        <v>-0.23205042791730643</v>
      </c>
      <c r="K107" s="16"/>
      <c r="L107" s="34">
        <f>D107-H107</f>
        <v>76875.330000000031</v>
      </c>
      <c r="M107" s="16"/>
      <c r="N107" s="30">
        <f>IF(H107=0,0,L107/H107)</f>
        <v>-0.82158885786012725</v>
      </c>
      <c r="O107" s="27"/>
      <c r="P107" s="34">
        <f>+P103-P105</f>
        <v>-81222.750000000029</v>
      </c>
      <c r="Q107" s="15"/>
      <c r="R107" s="30">
        <f>IF(P$12=0,0,P107/P$12)</f>
        <v>-3.9228236798078145E-2</v>
      </c>
      <c r="S107" s="15"/>
      <c r="T107" s="34">
        <f>+T103-T105</f>
        <v>-451966.69000000041</v>
      </c>
      <c r="U107" s="15"/>
      <c r="V107" s="30">
        <f>IF(T$12=0,0,T107/T$12)</f>
        <v>-0.18654849489465425</v>
      </c>
      <c r="W107" s="16"/>
      <c r="X107" s="34">
        <f>P107-T107</f>
        <v>370743.94000000041</v>
      </c>
      <c r="Y107" s="16"/>
      <c r="Z107" s="30">
        <f>IF(T107=0,0,X107/T107)</f>
        <v>-0.82029040679966936</v>
      </c>
    </row>
    <row r="108" spans="1:26" ht="15" customHeight="1" x14ac:dyDescent="0.3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ht="15" customHeight="1" x14ac:dyDescent="0.3">
      <c r="A109" s="10"/>
      <c r="B109" s="10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296</v>
      </c>
      <c r="C110" s="28"/>
      <c r="D110" s="29">
        <f>SUM(D107:D109)</f>
        <v>-16693.76999999996</v>
      </c>
      <c r="E110" s="15"/>
      <c r="F110" s="35">
        <f>IF(D$12=0,0,D110/D$12)</f>
        <v>-5.2160593475373988E-2</v>
      </c>
      <c r="G110" s="15"/>
      <c r="H110" s="29">
        <f>SUM(H107:H109)</f>
        <v>-93569.099999999991</v>
      </c>
      <c r="I110" s="15"/>
      <c r="J110" s="35">
        <f>IF(H$12=0,0,H110/H$12)</f>
        <v>-0.23205042791730643</v>
      </c>
      <c r="K110" s="16"/>
      <c r="L110" s="29">
        <f>+D110-H110</f>
        <v>76875.330000000031</v>
      </c>
      <c r="M110" s="16"/>
      <c r="N110" s="35">
        <f>IF(H110=0,0,L110/H110)</f>
        <v>-0.82158885786012725</v>
      </c>
      <c r="O110" s="27"/>
      <c r="P110" s="29">
        <f>SUM(P107:P109)</f>
        <v>-81222.750000000029</v>
      </c>
      <c r="Q110" s="15"/>
      <c r="R110" s="35">
        <f>IF(P$12=0,0,P110/P$12)</f>
        <v>-3.9228236798078145E-2</v>
      </c>
      <c r="S110" s="15"/>
      <c r="T110" s="29">
        <f>SUM(T107:T109)</f>
        <v>-451966.69000000041</v>
      </c>
      <c r="U110" s="15"/>
      <c r="V110" s="35">
        <f>IF(T$12=0,0,T110/T$12)</f>
        <v>-0.18654849489465425</v>
      </c>
      <c r="W110" s="16"/>
      <c r="X110" s="29">
        <f>+P110-T110</f>
        <v>370743.94000000041</v>
      </c>
      <c r="Y110" s="16"/>
      <c r="Z110" s="35">
        <f>IF(T110=0,0,X110/T110)</f>
        <v>-0.82029040679966936</v>
      </c>
    </row>
    <row r="111" spans="1:26" ht="15" customHeight="1" x14ac:dyDescent="0.3">
      <c r="A111" s="10"/>
      <c r="C111" s="10"/>
      <c r="D111" s="18"/>
      <c r="E111" s="18"/>
      <c r="G111" s="18"/>
      <c r="H111" s="18"/>
      <c r="I111" s="18"/>
      <c r="J111" s="40"/>
      <c r="K111" s="18"/>
      <c r="L111" s="18"/>
      <c r="M111" s="18"/>
      <c r="P111" s="18"/>
      <c r="Q111" s="18"/>
      <c r="R111" s="40"/>
      <c r="S111" s="18"/>
      <c r="T111" s="18"/>
      <c r="U111" s="18"/>
      <c r="V111" s="40"/>
      <c r="W111" s="18"/>
      <c r="X111" s="18"/>
    </row>
    <row r="112" spans="1:26" ht="15" customHeight="1" x14ac:dyDescent="0.3">
      <c r="A112" s="10"/>
      <c r="B112" s="56">
        <v>44694.890816400461</v>
      </c>
      <c r="D112" s="18"/>
      <c r="E112" s="18"/>
      <c r="G112" s="18"/>
      <c r="H112" s="18"/>
      <c r="I112" s="18"/>
      <c r="J112" s="40"/>
      <c r="K112" s="18"/>
      <c r="L112" s="18"/>
      <c r="M112" s="18"/>
      <c r="P112" s="18"/>
      <c r="Q112" s="18"/>
      <c r="R112" s="40"/>
      <c r="S112" s="18"/>
      <c r="T112" s="18"/>
      <c r="U112" s="18"/>
      <c r="V112" s="40"/>
      <c r="W112" s="18"/>
      <c r="X112" s="18"/>
    </row>
    <row r="113" spans="1:24" ht="15" customHeight="1" x14ac:dyDescent="0.3">
      <c r="A113" s="10"/>
      <c r="B113" s="52" t="s">
        <v>297</v>
      </c>
      <c r="D113" s="18"/>
      <c r="E113" s="18"/>
      <c r="G113" s="18"/>
      <c r="H113" s="18"/>
      <c r="I113" s="18"/>
      <c r="J113" s="40"/>
      <c r="K113" s="18"/>
      <c r="L113" s="18"/>
      <c r="M113" s="18"/>
      <c r="P113" s="18"/>
      <c r="Q113" s="18"/>
      <c r="R113" s="40"/>
      <c r="S113" s="18"/>
      <c r="T113" s="18"/>
      <c r="U113" s="18"/>
      <c r="V113" s="40"/>
      <c r="W113" s="18"/>
      <c r="X113" s="18"/>
    </row>
    <row r="114" spans="1:24" ht="15" customHeight="1" x14ac:dyDescent="0.3">
      <c r="A114" s="10"/>
      <c r="B114" s="58"/>
      <c r="D114" s="18"/>
      <c r="E114" s="18"/>
      <c r="G114" s="18"/>
      <c r="H114" s="18"/>
      <c r="I114" s="18"/>
      <c r="J114" s="40"/>
      <c r="K114" s="18"/>
      <c r="L114" s="18"/>
      <c r="M114" s="18"/>
      <c r="P114" s="18"/>
      <c r="Q114" s="18"/>
      <c r="R114" s="40"/>
      <c r="S114" s="18"/>
      <c r="T114" s="18"/>
      <c r="U114" s="18"/>
      <c r="V114" s="40"/>
      <c r="W114" s="18"/>
      <c r="X114" s="18"/>
    </row>
    <row r="115" spans="1:24" ht="15" customHeight="1" x14ac:dyDescent="0.3">
      <c r="D115" s="18"/>
      <c r="E115" s="18"/>
      <c r="G115" s="18"/>
      <c r="H115" s="18"/>
      <c r="I115" s="18"/>
      <c r="J115" s="40"/>
      <c r="K115" s="18"/>
      <c r="L115" s="18"/>
      <c r="M115" s="18"/>
      <c r="P115" s="18"/>
      <c r="Q115" s="18"/>
      <c r="R115" s="40"/>
      <c r="S115" s="18"/>
      <c r="T115" s="18"/>
      <c r="U115" s="18"/>
      <c r="V115" s="40"/>
      <c r="W115" s="18"/>
      <c r="X11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9551-0D7C-79DE-922A-999CBDB80A26}">
  <sheetPr>
    <tabColor rgb="FF92D050"/>
    <outlinePr summaryBelow="0" summaryRight="0"/>
  </sheetPr>
  <dimension ref="A2:Z11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","317"," - ","Computer Store")</f>
        <v>Department 317 - Computer Store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320045.63000000006</v>
      </c>
      <c r="E12" s="5"/>
      <c r="F12" s="13"/>
      <c r="G12" s="5"/>
      <c r="H12" s="5">
        <f>SUM(OSRRefH13x_0)</f>
        <v>403227.43999999994</v>
      </c>
      <c r="I12" s="5"/>
      <c r="J12" s="13"/>
      <c r="K12" s="5"/>
      <c r="L12" s="5">
        <f t="shared" ref="L12:L34" si="0">+D12-H12</f>
        <v>-83181.809999999881</v>
      </c>
      <c r="M12" s="5"/>
      <c r="N12" s="13">
        <f t="shared" ref="N12:N34" si="1">IF(H12=0,0,L12/H12)</f>
        <v>-0.20629005307773671</v>
      </c>
      <c r="O12" s="11"/>
      <c r="P12" s="5">
        <f>SUM(OSRRefP13x_0)</f>
        <v>2070517.48</v>
      </c>
      <c r="Q12" s="5"/>
      <c r="R12" s="13"/>
      <c r="S12" s="5"/>
      <c r="T12" s="5">
        <f>SUM(OSRRefT13x_0)</f>
        <v>2422783.8999999994</v>
      </c>
      <c r="U12" s="5"/>
      <c r="V12" s="13"/>
      <c r="W12" s="5"/>
      <c r="X12" s="5">
        <f t="shared" ref="X12:X34" si="2">+P12-T12</f>
        <v>-352266.41999999946</v>
      </c>
      <c r="Y12" s="5"/>
      <c r="Z12" s="13">
        <f t="shared" ref="Z12:Z34" si="3">IF(T12=0,0,X12/T12)</f>
        <v>-0.1453973753086272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--489932.51</f>
        <v>489932.51</v>
      </c>
      <c r="E13" s="3"/>
      <c r="F13" s="20"/>
      <c r="G13" s="3"/>
      <c r="H13" s="3">
        <f>-174.96</f>
        <v>-174.96</v>
      </c>
      <c r="I13" s="3"/>
      <c r="J13" s="20"/>
      <c r="K13" s="3"/>
      <c r="L13" s="3">
        <f t="shared" si="0"/>
        <v>490107.47000000003</v>
      </c>
      <c r="M13" s="3"/>
      <c r="N13" s="20">
        <f t="shared" si="1"/>
        <v>-2801.2544010059441</v>
      </c>
      <c r="O13" s="12"/>
      <c r="P13" s="3">
        <f>--1948608.19</f>
        <v>1948608.19</v>
      </c>
      <c r="Q13" s="3"/>
      <c r="R13" s="20"/>
      <c r="S13" s="3"/>
      <c r="T13" s="3">
        <f>-2908.11</f>
        <v>-2908.11</v>
      </c>
      <c r="U13" s="3"/>
      <c r="V13" s="20"/>
      <c r="W13" s="3"/>
      <c r="X13" s="3">
        <f t="shared" si="2"/>
        <v>1951516.3</v>
      </c>
      <c r="Y13" s="3"/>
      <c r="Z13" s="20">
        <f t="shared" si="3"/>
        <v>-671.06000116914424</v>
      </c>
    </row>
    <row r="14" spans="1:26" s="69" customFormat="1" ht="15" hidden="1" customHeight="1" outlineLevel="1" x14ac:dyDescent="0.3">
      <c r="A14" s="42"/>
      <c r="B14" s="12" t="str">
        <f>CONCATENATE("          ","4081"," - ","TAXABLE SALES-ELECTRONICS")</f>
        <v xml:space="preserve">          4081 - TAXABLE SALES-ELECTRONICS</v>
      </c>
      <c r="C14" s="12"/>
      <c r="D14" s="3">
        <f>0</f>
        <v>0</v>
      </c>
      <c r="E14" s="3"/>
      <c r="F14" s="20"/>
      <c r="G14" s="3"/>
      <c r="H14" s="3">
        <f>--1628.82</f>
        <v>1628.82</v>
      </c>
      <c r="I14" s="3"/>
      <c r="J14" s="20"/>
      <c r="K14" s="3"/>
      <c r="L14" s="3">
        <f t="shared" si="0"/>
        <v>-1628.82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--62096.07</f>
        <v>62096.07</v>
      </c>
      <c r="U14" s="3"/>
      <c r="V14" s="20"/>
      <c r="W14" s="3"/>
      <c r="X14" s="3">
        <f t="shared" si="2"/>
        <v>-62096.07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","4082"," - ","TAXABLE SALES-COMPUTER HARDWAR")</f>
        <v xml:space="preserve">          4082 - TAXABLE SALES-COMPUTER HARDWAR</v>
      </c>
      <c r="C15" s="12"/>
      <c r="D15" s="3">
        <f>0</f>
        <v>0</v>
      </c>
      <c r="E15" s="3"/>
      <c r="F15" s="20"/>
      <c r="G15" s="3"/>
      <c r="H15" s="3">
        <f>--354181.27</f>
        <v>354181.27</v>
      </c>
      <c r="I15" s="3"/>
      <c r="J15" s="20"/>
      <c r="K15" s="3"/>
      <c r="L15" s="3">
        <f t="shared" si="0"/>
        <v>-354181.27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f>--2012047.63</f>
        <v>2012047.63</v>
      </c>
      <c r="U15" s="3"/>
      <c r="V15" s="20"/>
      <c r="W15" s="3"/>
      <c r="X15" s="3">
        <f t="shared" si="2"/>
        <v>-2012047.63</v>
      </c>
      <c r="Y15" s="3"/>
      <c r="Z15" s="20">
        <f t="shared" si="3"/>
        <v>-1</v>
      </c>
    </row>
    <row r="16" spans="1:26" s="69" customFormat="1" ht="15" hidden="1" customHeight="1" outlineLevel="1" x14ac:dyDescent="0.3">
      <c r="A16" s="42"/>
      <c r="B16" s="12" t="str">
        <f>CONCATENATE("          ","4083"," - ","TAXABLE SALES-COMPUTER EQUIPME")</f>
        <v xml:space="preserve">          4083 - TAXABLE SALES-COMPUTER EQUIPME</v>
      </c>
      <c r="C16" s="12"/>
      <c r="D16" s="3">
        <f>0</f>
        <v>0</v>
      </c>
      <c r="E16" s="3"/>
      <c r="F16" s="20"/>
      <c r="G16" s="3"/>
      <c r="H16" s="3">
        <f>--7273.67</f>
        <v>7273.67</v>
      </c>
      <c r="I16" s="3"/>
      <c r="J16" s="20"/>
      <c r="K16" s="3"/>
      <c r="L16" s="3">
        <f t="shared" si="0"/>
        <v>-7273.67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f>--126932.94</f>
        <v>126932.94</v>
      </c>
      <c r="U16" s="3"/>
      <c r="V16" s="20"/>
      <c r="W16" s="3"/>
      <c r="X16" s="3">
        <f t="shared" si="2"/>
        <v>-126932.94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","4085"," - ","TAXABLE SALES-SOFTWARE")</f>
        <v xml:space="preserve">          4085 - TAXABLE SALES-SOFTWARE</v>
      </c>
      <c r="C17" s="12"/>
      <c r="D17" s="3">
        <f>0</f>
        <v>0</v>
      </c>
      <c r="E17" s="3"/>
      <c r="F17" s="20"/>
      <c r="G17" s="3"/>
      <c r="H17" s="3">
        <f>--1771.88</f>
        <v>1771.88</v>
      </c>
      <c r="I17" s="3"/>
      <c r="J17" s="20"/>
      <c r="K17" s="3"/>
      <c r="L17" s="3">
        <f t="shared" si="0"/>
        <v>-1771.88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--4870.79</f>
        <v>4870.79</v>
      </c>
      <c r="U17" s="3"/>
      <c r="V17" s="20"/>
      <c r="W17" s="3"/>
      <c r="X17" s="3">
        <f t="shared" si="2"/>
        <v>-4870.79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","4086"," - ","TAXABLE SALES-COMPUTER SUPPLIE")</f>
        <v xml:space="preserve">          4086 - TAXABLE SALES-COMPUTER SUPPLIE</v>
      </c>
      <c r="C18" s="12"/>
      <c r="D18" s="3">
        <f>0</f>
        <v>0</v>
      </c>
      <c r="E18" s="3"/>
      <c r="F18" s="20"/>
      <c r="G18" s="3"/>
      <c r="H18" s="3">
        <f>--5818.73</f>
        <v>5818.73</v>
      </c>
      <c r="I18" s="3"/>
      <c r="J18" s="20"/>
      <c r="K18" s="3"/>
      <c r="L18" s="3">
        <f t="shared" si="0"/>
        <v>-5818.73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--65269.63</f>
        <v>65269.63</v>
      </c>
      <c r="U18" s="3"/>
      <c r="V18" s="20"/>
      <c r="W18" s="3"/>
      <c r="X18" s="3">
        <f t="shared" si="2"/>
        <v>-65269.63</v>
      </c>
      <c r="Y18" s="3"/>
      <c r="Z18" s="20">
        <f t="shared" si="3"/>
        <v>-1</v>
      </c>
    </row>
    <row r="19" spans="1:26" s="69" customFormat="1" ht="15" hidden="1" customHeight="1" outlineLevel="1" x14ac:dyDescent="0.3">
      <c r="A19" s="42"/>
      <c r="B19" s="12" t="str">
        <f>CONCATENATE("          ","4100"," - ","NON-TAXABLE SALES")</f>
        <v xml:space="preserve">          4100 - NON-TAXABLE SALES</v>
      </c>
      <c r="C19" s="12"/>
      <c r="D19" s="3">
        <f>--52054.68</f>
        <v>52054.68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52054.68</v>
      </c>
      <c r="M19" s="3"/>
      <c r="N19" s="20">
        <f t="shared" si="1"/>
        <v>0</v>
      </c>
      <c r="O19" s="12"/>
      <c r="P19" s="3">
        <f>--625634</f>
        <v>625634</v>
      </c>
      <c r="Q19" s="3"/>
      <c r="R19" s="20"/>
      <c r="S19" s="3"/>
      <c r="T19" s="3">
        <f>0</f>
        <v>0</v>
      </c>
      <c r="U19" s="3"/>
      <c r="V19" s="20"/>
      <c r="W19" s="3"/>
      <c r="X19" s="3">
        <f t="shared" si="2"/>
        <v>625634</v>
      </c>
      <c r="Y19" s="3"/>
      <c r="Z19" s="20">
        <f t="shared" si="3"/>
        <v>0</v>
      </c>
    </row>
    <row r="20" spans="1:26" s="69" customFormat="1" ht="15" hidden="1" customHeight="1" outlineLevel="1" x14ac:dyDescent="0.3">
      <c r="A20" s="42"/>
      <c r="B20" s="12" t="str">
        <f>CONCATENATE("          ","4181"," - ","NON-TAXABLE SALES-ELECTRONICS")</f>
        <v xml:space="preserve">          4181 - NON-TAXABLE SALES-ELECTRONICS</v>
      </c>
      <c r="C20" s="12"/>
      <c r="D20" s="3">
        <f>0</f>
        <v>0</v>
      </c>
      <c r="E20" s="3"/>
      <c r="F20" s="20"/>
      <c r="G20" s="3"/>
      <c r="H20" s="3">
        <f>--29.99</f>
        <v>29.99</v>
      </c>
      <c r="I20" s="3"/>
      <c r="J20" s="20"/>
      <c r="K20" s="3"/>
      <c r="L20" s="3">
        <f t="shared" si="0"/>
        <v>-29.99</v>
      </c>
      <c r="M20" s="3"/>
      <c r="N20" s="20">
        <f t="shared" si="1"/>
        <v>-1</v>
      </c>
      <c r="O20" s="12"/>
      <c r="P20" s="3">
        <f>0</f>
        <v>0</v>
      </c>
      <c r="Q20" s="3"/>
      <c r="R20" s="20"/>
      <c r="S20" s="3"/>
      <c r="T20" s="3">
        <f>--12508.62</f>
        <v>12508.62</v>
      </c>
      <c r="U20" s="3"/>
      <c r="V20" s="20"/>
      <c r="W20" s="3"/>
      <c r="X20" s="3">
        <f t="shared" si="2"/>
        <v>-12508.62</v>
      </c>
      <c r="Y20" s="3"/>
      <c r="Z20" s="20">
        <f t="shared" si="3"/>
        <v>-1</v>
      </c>
    </row>
    <row r="21" spans="1:26" s="69" customFormat="1" ht="15" hidden="1" customHeight="1" outlineLevel="1" x14ac:dyDescent="0.3">
      <c r="A21" s="42"/>
      <c r="B21" s="12" t="str">
        <f>CONCATENATE("          ","4182"," - ","NON-TAXABLE SALES-COMPUTER HAR")</f>
        <v xml:space="preserve">          4182 - NON-TAXABLE SALES-COMPUTER HAR</v>
      </c>
      <c r="C21" s="12"/>
      <c r="D21" s="3">
        <f>0</f>
        <v>0</v>
      </c>
      <c r="E21" s="3"/>
      <c r="F21" s="20"/>
      <c r="G21" s="3"/>
      <c r="H21" s="3">
        <f>--61075.64</f>
        <v>61075.64</v>
      </c>
      <c r="I21" s="3"/>
      <c r="J21" s="20"/>
      <c r="K21" s="3"/>
      <c r="L21" s="3">
        <f t="shared" si="0"/>
        <v>-61075.64</v>
      </c>
      <c r="M21" s="3"/>
      <c r="N21" s="20">
        <f t="shared" si="1"/>
        <v>-1</v>
      </c>
      <c r="O21" s="12"/>
      <c r="P21" s="3">
        <f>0</f>
        <v>0</v>
      </c>
      <c r="Q21" s="3"/>
      <c r="R21" s="20"/>
      <c r="S21" s="3"/>
      <c r="T21" s="3">
        <f>--314490.47</f>
        <v>314490.46999999997</v>
      </c>
      <c r="U21" s="3"/>
      <c r="V21" s="20"/>
      <c r="W21" s="3"/>
      <c r="X21" s="3">
        <f t="shared" si="2"/>
        <v>-314490.46999999997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","4183"," - ","NON-TAXABLE SALES-COMPUTER EQU")</f>
        <v xml:space="preserve">          4183 - NON-TAXABLE SALES-COMPUTER EQU</v>
      </c>
      <c r="C22" s="12"/>
      <c r="D22" s="3">
        <f>0</f>
        <v>0</v>
      </c>
      <c r="E22" s="3"/>
      <c r="F22" s="20"/>
      <c r="G22" s="3"/>
      <c r="H22" s="3">
        <f>--2879.59</f>
        <v>2879.59</v>
      </c>
      <c r="I22" s="3"/>
      <c r="J22" s="20"/>
      <c r="K22" s="3"/>
      <c r="L22" s="3">
        <f t="shared" si="0"/>
        <v>-2879.59</v>
      </c>
      <c r="M22" s="3"/>
      <c r="N22" s="20">
        <f t="shared" si="1"/>
        <v>-1</v>
      </c>
      <c r="O22" s="12"/>
      <c r="P22" s="3">
        <f>0</f>
        <v>0</v>
      </c>
      <c r="Q22" s="3"/>
      <c r="R22" s="20"/>
      <c r="S22" s="3"/>
      <c r="T22" s="3">
        <f>--19486.02</f>
        <v>19486.02</v>
      </c>
      <c r="U22" s="3"/>
      <c r="V22" s="20"/>
      <c r="W22" s="3"/>
      <c r="X22" s="3">
        <f t="shared" si="2"/>
        <v>-19486.02</v>
      </c>
      <c r="Y22" s="3"/>
      <c r="Z22" s="20">
        <f t="shared" si="3"/>
        <v>-1</v>
      </c>
    </row>
    <row r="23" spans="1:26" s="69" customFormat="1" ht="15" hidden="1" customHeight="1" outlineLevel="1" x14ac:dyDescent="0.3">
      <c r="A23" s="42"/>
      <c r="B23" s="12" t="str">
        <f>CONCATENATE("          ","4185"," - ","NON-TAXABLE SALES-SOFTWARE")</f>
        <v xml:space="preserve">          4185 - NON-TAXABLE SALES-SOFTWARE</v>
      </c>
      <c r="C23" s="12"/>
      <c r="D23" s="3">
        <f>0</f>
        <v>0</v>
      </c>
      <c r="E23" s="3"/>
      <c r="F23" s="20"/>
      <c r="G23" s="3"/>
      <c r="H23" s="3">
        <f>--11345.61</f>
        <v>11345.61</v>
      </c>
      <c r="I23" s="3"/>
      <c r="J23" s="20"/>
      <c r="K23" s="3"/>
      <c r="L23" s="3">
        <f t="shared" si="0"/>
        <v>-11345.61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--50032.39</f>
        <v>50032.39</v>
      </c>
      <c r="U23" s="3"/>
      <c r="V23" s="20"/>
      <c r="W23" s="3"/>
      <c r="X23" s="3">
        <f t="shared" si="2"/>
        <v>-50032.39</v>
      </c>
      <c r="Y23" s="3"/>
      <c r="Z23" s="20">
        <f t="shared" si="3"/>
        <v>-1</v>
      </c>
    </row>
    <row r="24" spans="1:26" s="69" customFormat="1" ht="15" hidden="1" customHeight="1" outlineLevel="1" x14ac:dyDescent="0.3">
      <c r="A24" s="42"/>
      <c r="B24" s="12" t="str">
        <f>CONCATENATE("          ","4186"," - ","NON-TAXABLE SALES-COMPUTER SUP")</f>
        <v xml:space="preserve">          4186 - NON-TAXABLE SALES-COMPUTER SUP</v>
      </c>
      <c r="C24" s="12"/>
      <c r="D24" s="3">
        <f>0</f>
        <v>0</v>
      </c>
      <c r="E24" s="3"/>
      <c r="F24" s="20"/>
      <c r="G24" s="3"/>
      <c r="H24" s="3">
        <f>--89.97</f>
        <v>89.97</v>
      </c>
      <c r="I24" s="3"/>
      <c r="J24" s="20"/>
      <c r="K24" s="3"/>
      <c r="L24" s="3">
        <f t="shared" si="0"/>
        <v>-89.97</v>
      </c>
      <c r="M24" s="3"/>
      <c r="N24" s="20">
        <f t="shared" si="1"/>
        <v>-1</v>
      </c>
      <c r="O24" s="12"/>
      <c r="P24" s="3">
        <f>0</f>
        <v>0</v>
      </c>
      <c r="Q24" s="3"/>
      <c r="R24" s="20"/>
      <c r="S24" s="3"/>
      <c r="T24" s="3">
        <f>--3345.17</f>
        <v>3345.17</v>
      </c>
      <c r="U24" s="3"/>
      <c r="V24" s="20"/>
      <c r="W24" s="3"/>
      <c r="X24" s="3">
        <f t="shared" si="2"/>
        <v>-3345.17</v>
      </c>
      <c r="Y24" s="3"/>
      <c r="Z24" s="20">
        <f t="shared" si="3"/>
        <v>-1</v>
      </c>
    </row>
    <row r="25" spans="1:26" s="69" customFormat="1" ht="15" hidden="1" customHeight="1" outlineLevel="1" x14ac:dyDescent="0.3">
      <c r="A25" s="42"/>
      <c r="B25" s="12" t="str">
        <f>CONCATENATE("          ","4200"," - ","TAXABLE RETURNS")</f>
        <v xml:space="preserve">          4200 - TAXABLE RETURNS</v>
      </c>
      <c r="C25" s="12"/>
      <c r="D25" s="3">
        <f>-221809.74</f>
        <v>-221809.74</v>
      </c>
      <c r="E25" s="3"/>
      <c r="F25" s="20"/>
      <c r="G25" s="3"/>
      <c r="H25" s="3">
        <f>0</f>
        <v>0</v>
      </c>
      <c r="I25" s="3"/>
      <c r="J25" s="20"/>
      <c r="K25" s="3"/>
      <c r="L25" s="3">
        <f t="shared" si="0"/>
        <v>-221809.74</v>
      </c>
      <c r="M25" s="3"/>
      <c r="N25" s="20">
        <f t="shared" si="1"/>
        <v>0</v>
      </c>
      <c r="O25" s="12"/>
      <c r="P25" s="3">
        <f>-501319.95</f>
        <v>-501319.95</v>
      </c>
      <c r="Q25" s="3"/>
      <c r="R25" s="20"/>
      <c r="S25" s="3"/>
      <c r="T25" s="3">
        <f>0</f>
        <v>0</v>
      </c>
      <c r="U25" s="3"/>
      <c r="V25" s="20"/>
      <c r="W25" s="3"/>
      <c r="X25" s="3">
        <f t="shared" si="2"/>
        <v>-501319.95</v>
      </c>
      <c r="Y25" s="3"/>
      <c r="Z25" s="20">
        <f t="shared" si="3"/>
        <v>0</v>
      </c>
    </row>
    <row r="26" spans="1:26" s="69" customFormat="1" ht="15" hidden="1" customHeight="1" outlineLevel="1" x14ac:dyDescent="0.3">
      <c r="A26" s="42"/>
      <c r="B26" s="12" t="str">
        <f>CONCATENATE("          ","4281"," - ","SALES RETURN TAXABLE-ELECTRONI")</f>
        <v xml:space="preserve">          4281 - SALES RETURN TAXABLE-ELECTRONI</v>
      </c>
      <c r="C26" s="12"/>
      <c r="D26" s="3">
        <f>0</f>
        <v>0</v>
      </c>
      <c r="E26" s="3"/>
      <c r="F26" s="20"/>
      <c r="G26" s="3"/>
      <c r="H26" s="3">
        <f>0</f>
        <v>0</v>
      </c>
      <c r="I26" s="3"/>
      <c r="J26" s="20"/>
      <c r="K26" s="3"/>
      <c r="L26" s="3">
        <f t="shared" si="0"/>
        <v>0</v>
      </c>
      <c r="M26" s="3"/>
      <c r="N26" s="20">
        <f t="shared" si="1"/>
        <v>0</v>
      </c>
      <c r="O26" s="12"/>
      <c r="P26" s="3">
        <f>0</f>
        <v>0</v>
      </c>
      <c r="Q26" s="3"/>
      <c r="R26" s="20"/>
      <c r="S26" s="3"/>
      <c r="T26" s="3">
        <f>-14762.14</f>
        <v>-14762.14</v>
      </c>
      <c r="U26" s="3"/>
      <c r="V26" s="20"/>
      <c r="W26" s="3"/>
      <c r="X26" s="3">
        <f t="shared" si="2"/>
        <v>14762.14</v>
      </c>
      <c r="Y26" s="3"/>
      <c r="Z26" s="20">
        <f t="shared" si="3"/>
        <v>-1</v>
      </c>
    </row>
    <row r="27" spans="1:26" s="69" customFormat="1" ht="15" hidden="1" customHeight="1" outlineLevel="1" x14ac:dyDescent="0.3">
      <c r="A27" s="42"/>
      <c r="B27" s="12" t="str">
        <f>CONCATENATE("          ","4282"," - ","SALES RETURN TAXABLE-COMPUTER")</f>
        <v xml:space="preserve">          4282 - SALES RETURN TAXABLE-COMPUTER</v>
      </c>
      <c r="C27" s="12"/>
      <c r="D27" s="3">
        <f>0</f>
        <v>0</v>
      </c>
      <c r="E27" s="3"/>
      <c r="F27" s="20"/>
      <c r="G27" s="3"/>
      <c r="H27" s="3">
        <f>-42380</f>
        <v>-42380</v>
      </c>
      <c r="I27" s="3"/>
      <c r="J27" s="20"/>
      <c r="K27" s="3"/>
      <c r="L27" s="3">
        <f t="shared" si="0"/>
        <v>42380</v>
      </c>
      <c r="M27" s="3"/>
      <c r="N27" s="20">
        <f t="shared" si="1"/>
        <v>-1</v>
      </c>
      <c r="O27" s="12"/>
      <c r="P27" s="3">
        <f>0</f>
        <v>0</v>
      </c>
      <c r="Q27" s="3"/>
      <c r="R27" s="20"/>
      <c r="S27" s="3"/>
      <c r="T27" s="3">
        <f>-215145.16</f>
        <v>-215145.16</v>
      </c>
      <c r="U27" s="3"/>
      <c r="V27" s="20"/>
      <c r="W27" s="3"/>
      <c r="X27" s="3">
        <f t="shared" si="2"/>
        <v>215145.16</v>
      </c>
      <c r="Y27" s="3"/>
      <c r="Z27" s="20">
        <f t="shared" si="3"/>
        <v>-1</v>
      </c>
    </row>
    <row r="28" spans="1:26" s="69" customFormat="1" ht="15" hidden="1" customHeight="1" outlineLevel="1" x14ac:dyDescent="0.3">
      <c r="A28" s="42"/>
      <c r="B28" s="12" t="str">
        <f>CONCATENATE("          ","4283"," - ","SALES RETURN TAXABLE-COMPUTER")</f>
        <v xml:space="preserve">          4283 - SALES RETURN TAXABLE-COMPUTER</v>
      </c>
      <c r="C28" s="12"/>
      <c r="D28" s="3">
        <f>0</f>
        <v>0</v>
      </c>
      <c r="E28" s="3"/>
      <c r="F28" s="20"/>
      <c r="G28" s="3"/>
      <c r="H28" s="3">
        <f>-197.95</f>
        <v>-197.95</v>
      </c>
      <c r="I28" s="3"/>
      <c r="J28" s="20"/>
      <c r="K28" s="3"/>
      <c r="L28" s="3">
        <f t="shared" si="0"/>
        <v>197.95</v>
      </c>
      <c r="M28" s="3"/>
      <c r="N28" s="20">
        <f t="shared" si="1"/>
        <v>-1</v>
      </c>
      <c r="O28" s="12"/>
      <c r="P28" s="3">
        <f>0</f>
        <v>0</v>
      </c>
      <c r="Q28" s="3"/>
      <c r="R28" s="20"/>
      <c r="S28" s="3"/>
      <c r="T28" s="3">
        <f>-3947.2</f>
        <v>-3947.2</v>
      </c>
      <c r="U28" s="3"/>
      <c r="V28" s="20"/>
      <c r="W28" s="3"/>
      <c r="X28" s="3">
        <f t="shared" si="2"/>
        <v>3947.2</v>
      </c>
      <c r="Y28" s="3"/>
      <c r="Z28" s="20">
        <f t="shared" si="3"/>
        <v>-1</v>
      </c>
    </row>
    <row r="29" spans="1:26" s="69" customFormat="1" ht="15" hidden="1" customHeight="1" outlineLevel="1" x14ac:dyDescent="0.3">
      <c r="A29" s="42"/>
      <c r="B29" s="12" t="str">
        <f>CONCATENATE("          ","4285"," - ","SALES RETURN TAXABLE-SOFTWARE")</f>
        <v xml:space="preserve">          4285 - SALES RETURN TAXABLE-SOFTWARE</v>
      </c>
      <c r="C29" s="12"/>
      <c r="D29" s="3">
        <f>0</f>
        <v>0</v>
      </c>
      <c r="E29" s="3"/>
      <c r="F29" s="20"/>
      <c r="G29" s="3"/>
      <c r="H29" s="3">
        <f>-99.83</f>
        <v>-99.83</v>
      </c>
      <c r="I29" s="3"/>
      <c r="J29" s="20"/>
      <c r="K29" s="3"/>
      <c r="L29" s="3">
        <f t="shared" si="0"/>
        <v>99.83</v>
      </c>
      <c r="M29" s="3"/>
      <c r="N29" s="20">
        <f t="shared" si="1"/>
        <v>-1</v>
      </c>
      <c r="O29" s="12"/>
      <c r="P29" s="3">
        <f>0</f>
        <v>0</v>
      </c>
      <c r="Q29" s="3"/>
      <c r="R29" s="20"/>
      <c r="S29" s="3"/>
      <c r="T29" s="3">
        <f>-1091.79</f>
        <v>-1091.79</v>
      </c>
      <c r="U29" s="3"/>
      <c r="V29" s="20"/>
      <c r="W29" s="3"/>
      <c r="X29" s="3">
        <f t="shared" si="2"/>
        <v>1091.79</v>
      </c>
      <c r="Y29" s="3"/>
      <c r="Z29" s="20">
        <f t="shared" si="3"/>
        <v>-1</v>
      </c>
    </row>
    <row r="30" spans="1:26" s="69" customFormat="1" ht="15" hidden="1" customHeight="1" outlineLevel="1" x14ac:dyDescent="0.3">
      <c r="A30" s="42"/>
      <c r="B30" s="12" t="str">
        <f>CONCATENATE("          ","4286"," - ","SALES RETURN TAXABLE-COMPUTER")</f>
        <v xml:space="preserve">          4286 - SALES RETURN TAXABLE-COMPUTER</v>
      </c>
      <c r="C30" s="12"/>
      <c r="D30" s="3">
        <f>0</f>
        <v>0</v>
      </c>
      <c r="E30" s="3"/>
      <c r="F30" s="20"/>
      <c r="G30" s="3"/>
      <c r="H30" s="3">
        <f>0</f>
        <v>0</v>
      </c>
      <c r="I30" s="3"/>
      <c r="J30" s="20"/>
      <c r="K30" s="3"/>
      <c r="L30" s="3">
        <f t="shared" si="0"/>
        <v>0</v>
      </c>
      <c r="M30" s="3"/>
      <c r="N30" s="20">
        <f t="shared" si="1"/>
        <v>0</v>
      </c>
      <c r="O30" s="12"/>
      <c r="P30" s="3">
        <f>0</f>
        <v>0</v>
      </c>
      <c r="Q30" s="3"/>
      <c r="R30" s="20"/>
      <c r="S30" s="3"/>
      <c r="T30" s="3">
        <f>-4802.29</f>
        <v>-4802.29</v>
      </c>
      <c r="U30" s="3"/>
      <c r="V30" s="20"/>
      <c r="W30" s="3"/>
      <c r="X30" s="3">
        <f t="shared" si="2"/>
        <v>4802.29</v>
      </c>
      <c r="Y30" s="3"/>
      <c r="Z30" s="20">
        <f t="shared" si="3"/>
        <v>-1</v>
      </c>
    </row>
    <row r="31" spans="1:26" s="69" customFormat="1" ht="15" hidden="1" customHeight="1" outlineLevel="1" x14ac:dyDescent="0.3">
      <c r="A31" s="42"/>
      <c r="B31" s="12" t="str">
        <f>CONCATENATE("          ","4300"," - ","NON-TAX RETURNS")</f>
        <v xml:space="preserve">          4300 - NON-TAX RETURNS</v>
      </c>
      <c r="C31" s="12"/>
      <c r="D31" s="3">
        <f>0</f>
        <v>0</v>
      </c>
      <c r="E31" s="3"/>
      <c r="F31" s="20"/>
      <c r="G31" s="3"/>
      <c r="H31" s="3">
        <f>0</f>
        <v>0</v>
      </c>
      <c r="I31" s="3"/>
      <c r="J31" s="20"/>
      <c r="K31" s="3"/>
      <c r="L31" s="3">
        <f t="shared" si="0"/>
        <v>0</v>
      </c>
      <c r="M31" s="3"/>
      <c r="N31" s="20">
        <f t="shared" si="1"/>
        <v>0</v>
      </c>
      <c r="O31" s="12"/>
      <c r="P31" s="3">
        <f>-1114.52</f>
        <v>-1114.52</v>
      </c>
      <c r="Q31" s="3"/>
      <c r="R31" s="20"/>
      <c r="S31" s="3"/>
      <c r="T31" s="3">
        <f>0</f>
        <v>0</v>
      </c>
      <c r="U31" s="3"/>
      <c r="V31" s="20"/>
      <c r="W31" s="3"/>
      <c r="X31" s="3">
        <f t="shared" si="2"/>
        <v>-1114.52</v>
      </c>
      <c r="Y31" s="3"/>
      <c r="Z31" s="20">
        <f t="shared" si="3"/>
        <v>0</v>
      </c>
    </row>
    <row r="32" spans="1:26" s="69" customFormat="1" ht="15" hidden="1" customHeight="1" outlineLevel="1" x14ac:dyDescent="0.3">
      <c r="A32" s="42"/>
      <c r="B32" s="12" t="str">
        <f>CONCATENATE("          ","4381"," - ","SALES RETURN NON TAXABLE-ELECT")</f>
        <v xml:space="preserve">          4381 - SALES RETURN NON TAXABLE-ELECT</v>
      </c>
      <c r="C32" s="12"/>
      <c r="D32" s="3">
        <f>0</f>
        <v>0</v>
      </c>
      <c r="E32" s="3"/>
      <c r="F32" s="20"/>
      <c r="G32" s="3"/>
      <c r="H32" s="3">
        <f>0</f>
        <v>0</v>
      </c>
      <c r="I32" s="3"/>
      <c r="J32" s="20"/>
      <c r="K32" s="3"/>
      <c r="L32" s="3">
        <f t="shared" si="0"/>
        <v>0</v>
      </c>
      <c r="M32" s="3"/>
      <c r="N32" s="20">
        <f t="shared" si="1"/>
        <v>0</v>
      </c>
      <c r="O32" s="12"/>
      <c r="P32" s="3">
        <f>0</f>
        <v>0</v>
      </c>
      <c r="Q32" s="3"/>
      <c r="R32" s="20"/>
      <c r="S32" s="3"/>
      <c r="T32" s="3">
        <f>-5624.15</f>
        <v>-5624.15</v>
      </c>
      <c r="U32" s="3"/>
      <c r="V32" s="20"/>
      <c r="W32" s="3"/>
      <c r="X32" s="3">
        <f t="shared" si="2"/>
        <v>5624.15</v>
      </c>
      <c r="Y32" s="3"/>
      <c r="Z32" s="20">
        <f t="shared" si="3"/>
        <v>-1</v>
      </c>
    </row>
    <row r="33" spans="1:26" s="69" customFormat="1" ht="15" hidden="1" customHeight="1" outlineLevel="1" x14ac:dyDescent="0.3">
      <c r="A33" s="42"/>
      <c r="B33" s="12" t="str">
        <f>CONCATENATE("          ","4383"," - ","SALES RETURN NON TAXABLE-COMPU")</f>
        <v xml:space="preserve">          4383 - SALES RETURN NON TAXABLE-COMPU</v>
      </c>
      <c r="C33" s="12"/>
      <c r="D33" s="3">
        <f>0</f>
        <v>0</v>
      </c>
      <c r="E33" s="3"/>
      <c r="F33" s="20"/>
      <c r="G33" s="3"/>
      <c r="H33" s="3">
        <f>-14.99</f>
        <v>-14.99</v>
      </c>
      <c r="I33" s="3"/>
      <c r="J33" s="20"/>
      <c r="K33" s="3"/>
      <c r="L33" s="3">
        <f t="shared" si="0"/>
        <v>14.99</v>
      </c>
      <c r="M33" s="3"/>
      <c r="N33" s="20">
        <f t="shared" si="1"/>
        <v>-1</v>
      </c>
      <c r="O33" s="12"/>
      <c r="P33" s="3">
        <f>0</f>
        <v>0</v>
      </c>
      <c r="Q33" s="3"/>
      <c r="R33" s="20"/>
      <c r="S33" s="3"/>
      <c r="T33" s="3">
        <f>-14.99</f>
        <v>-14.99</v>
      </c>
      <c r="U33" s="3"/>
      <c r="V33" s="20"/>
      <c r="W33" s="3"/>
      <c r="X33" s="3">
        <f t="shared" si="2"/>
        <v>14.99</v>
      </c>
      <c r="Y33" s="3"/>
      <c r="Z33" s="20">
        <f t="shared" si="3"/>
        <v>-1</v>
      </c>
    </row>
    <row r="34" spans="1:26" s="69" customFormat="1" ht="15" hidden="1" customHeight="1" outlineLevel="1" x14ac:dyDescent="0.3">
      <c r="A34" s="42"/>
      <c r="B34" s="12" t="str">
        <f>CONCATENATE("          ","4500"," - ","SALES DISCOUNT")</f>
        <v xml:space="preserve">          4500 - SALES DISCOUNT</v>
      </c>
      <c r="C34" s="12"/>
      <c r="D34" s="3">
        <f>-131.82</f>
        <v>-131.82</v>
      </c>
      <c r="E34" s="3"/>
      <c r="F34" s="20"/>
      <c r="G34" s="3"/>
      <c r="H34" s="3">
        <f>0</f>
        <v>0</v>
      </c>
      <c r="I34" s="3"/>
      <c r="J34" s="20"/>
      <c r="K34" s="3"/>
      <c r="L34" s="3">
        <f t="shared" si="0"/>
        <v>-131.82</v>
      </c>
      <c r="M34" s="3"/>
      <c r="N34" s="20">
        <f t="shared" si="1"/>
        <v>0</v>
      </c>
      <c r="O34" s="12"/>
      <c r="P34" s="3">
        <f>-1290.24</f>
        <v>-1290.24</v>
      </c>
      <c r="Q34" s="3"/>
      <c r="R34" s="20"/>
      <c r="S34" s="3"/>
      <c r="T34" s="3">
        <f>0</f>
        <v>0</v>
      </c>
      <c r="U34" s="3"/>
      <c r="V34" s="20"/>
      <c r="W34" s="3"/>
      <c r="X34" s="3">
        <f t="shared" si="2"/>
        <v>-1290.24</v>
      </c>
      <c r="Y34" s="3"/>
      <c r="Z34" s="20">
        <f t="shared" si="3"/>
        <v>0</v>
      </c>
    </row>
    <row r="35" spans="1:26" ht="15" customHeight="1" x14ac:dyDescent="0.3">
      <c r="A35" s="10"/>
      <c r="B35" s="11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collapsed="1" x14ac:dyDescent="0.3">
      <c r="A36" s="11"/>
      <c r="B36" s="27" t="s">
        <v>287</v>
      </c>
      <c r="C36" s="11"/>
      <c r="D36" s="5">
        <f>SUM(OSRRefD16x_0)</f>
        <v>291821.21000000002</v>
      </c>
      <c r="E36" s="5"/>
      <c r="F36" s="13">
        <f t="shared" ref="F36:F50" si="4">IF(D$12=0,0,D36/D$12)</f>
        <v>0.91181126266276458</v>
      </c>
      <c r="G36" s="5"/>
      <c r="H36" s="5">
        <f>SUM(OSRRefH16x_0)</f>
        <v>369412.99999999994</v>
      </c>
      <c r="I36" s="5"/>
      <c r="J36" s="13">
        <f t="shared" ref="J36:J50" si="5">IF(H$12=0,0,H36/H$12)</f>
        <v>0.91614052853149075</v>
      </c>
      <c r="K36" s="5"/>
      <c r="L36" s="5">
        <f t="shared" ref="L36:L50" si="6">+D36-H36</f>
        <v>-77591.789999999921</v>
      </c>
      <c r="M36" s="5"/>
      <c r="N36" s="13">
        <f t="shared" ref="N36:N50" si="7">IF(H36=0,0,L36/H36)</f>
        <v>-0.21004076737959934</v>
      </c>
      <c r="O36" s="11"/>
      <c r="P36" s="5">
        <f>SUM(OSRRefP16x_0)</f>
        <v>1768593.54</v>
      </c>
      <c r="Q36" s="5"/>
      <c r="R36" s="13">
        <f t="shared" ref="R36:R50" si="8">IF(P$12=0,0,P36/P$12)</f>
        <v>0.85417947787622639</v>
      </c>
      <c r="S36" s="5"/>
      <c r="T36" s="5">
        <f>SUM(OSRRefT16x_0)</f>
        <v>2233934.84</v>
      </c>
      <c r="U36" s="5"/>
      <c r="V36" s="13">
        <f t="shared" ref="V36:V50" si="9">IF(T$12=0,0,T36/T$12)</f>
        <v>0.92205286653919083</v>
      </c>
      <c r="W36" s="5"/>
      <c r="X36" s="5">
        <f t="shared" ref="X36:X50" si="10">+P36-T36</f>
        <v>-465341.29999999981</v>
      </c>
      <c r="Y36" s="5"/>
      <c r="Z36" s="13">
        <f t="shared" ref="Z36:Z50" si="11">IF(T36=0,0,X36/T36)</f>
        <v>-0.20830567287271451</v>
      </c>
    </row>
    <row r="37" spans="1:26" s="69" customFormat="1" ht="15" hidden="1" customHeight="1" outlineLevel="1" x14ac:dyDescent="0.3">
      <c r="A37" s="42"/>
      <c r="B37" s="12" t="str">
        <f>CONCATENATE("          ","5000"," - ","PURCHASES @ COST")</f>
        <v xml:space="preserve">          5000 - PURCHASES @ COST</v>
      </c>
      <c r="C37" s="12"/>
      <c r="D37" s="3">
        <v>208073.68</v>
      </c>
      <c r="E37" s="3"/>
      <c r="F37" s="20">
        <f t="shared" si="4"/>
        <v>0.65013754444952099</v>
      </c>
      <c r="G37" s="3"/>
      <c r="H37" s="3"/>
      <c r="I37" s="3"/>
      <c r="J37" s="20">
        <f t="shared" si="5"/>
        <v>0</v>
      </c>
      <c r="K37" s="3"/>
      <c r="L37" s="3">
        <f t="shared" si="6"/>
        <v>208073.68</v>
      </c>
      <c r="M37" s="3"/>
      <c r="N37" s="20">
        <f t="shared" si="7"/>
        <v>0</v>
      </c>
      <c r="O37" s="12"/>
      <c r="P37" s="3">
        <v>1758099.22</v>
      </c>
      <c r="Q37" s="3"/>
      <c r="R37" s="20">
        <f t="shared" si="8"/>
        <v>0.8491110251336782</v>
      </c>
      <c r="S37" s="3"/>
      <c r="T37" s="3">
        <v>0</v>
      </c>
      <c r="U37" s="3"/>
      <c r="V37" s="20">
        <f t="shared" si="9"/>
        <v>0</v>
      </c>
      <c r="W37" s="3"/>
      <c r="X37" s="3">
        <f t="shared" si="10"/>
        <v>1758099.22</v>
      </c>
      <c r="Y37" s="3"/>
      <c r="Z37" s="20">
        <f t="shared" si="11"/>
        <v>0</v>
      </c>
    </row>
    <row r="38" spans="1:26" s="69" customFormat="1" ht="15" hidden="1" customHeight="1" outlineLevel="1" x14ac:dyDescent="0.3">
      <c r="A38" s="42"/>
      <c r="B38" s="12" t="str">
        <f>CONCATENATE("          ","5081"," - ","PURCHASES @ COST-ELECTRONICS")</f>
        <v xml:space="preserve">          5081 - PURCHASES @ COST-ELECTRONICS</v>
      </c>
      <c r="C38" s="12"/>
      <c r="D38" s="3"/>
      <c r="E38" s="3"/>
      <c r="F38" s="20">
        <f t="shared" si="4"/>
        <v>0</v>
      </c>
      <c r="G38" s="3"/>
      <c r="H38" s="3">
        <v>-19.5</v>
      </c>
      <c r="I38" s="3"/>
      <c r="J38" s="20">
        <f t="shared" si="5"/>
        <v>-4.8359804084761701E-5</v>
      </c>
      <c r="K38" s="3"/>
      <c r="L38" s="3">
        <f t="shared" si="6"/>
        <v>19.5</v>
      </c>
      <c r="M38" s="3"/>
      <c r="N38" s="20">
        <f t="shared" si="7"/>
        <v>-1</v>
      </c>
      <c r="O38" s="12"/>
      <c r="P38" s="3">
        <v>0</v>
      </c>
      <c r="Q38" s="3"/>
      <c r="R38" s="20">
        <f t="shared" si="8"/>
        <v>0</v>
      </c>
      <c r="S38" s="3"/>
      <c r="T38" s="3">
        <v>32448.37</v>
      </c>
      <c r="U38" s="3"/>
      <c r="V38" s="20">
        <f t="shared" si="9"/>
        <v>1.3393010412525858E-2</v>
      </c>
      <c r="W38" s="3"/>
      <c r="X38" s="3">
        <f t="shared" si="10"/>
        <v>-32448.37</v>
      </c>
      <c r="Y38" s="3"/>
      <c r="Z38" s="20">
        <f t="shared" si="11"/>
        <v>-1</v>
      </c>
    </row>
    <row r="39" spans="1:26" s="69" customFormat="1" ht="15" hidden="1" customHeight="1" outlineLevel="1" x14ac:dyDescent="0.3">
      <c r="A39" s="42"/>
      <c r="B39" s="12" t="str">
        <f>CONCATENATE("          ","5082"," - ","PURCHASES @ COST-COMPUTER HARD")</f>
        <v xml:space="preserve">          5082 - PURCHASES @ COST-COMPUTER HARD</v>
      </c>
      <c r="C39" s="12"/>
      <c r="D39" s="3"/>
      <c r="E39" s="3"/>
      <c r="F39" s="20">
        <f t="shared" si="4"/>
        <v>0</v>
      </c>
      <c r="G39" s="3"/>
      <c r="H39" s="3">
        <v>277047.03999999998</v>
      </c>
      <c r="I39" s="3"/>
      <c r="J39" s="20">
        <f t="shared" si="5"/>
        <v>0.68707387572631473</v>
      </c>
      <c r="K39" s="3"/>
      <c r="L39" s="3">
        <f t="shared" si="6"/>
        <v>-277047.03999999998</v>
      </c>
      <c r="M39" s="3"/>
      <c r="N39" s="20">
        <f t="shared" si="7"/>
        <v>-1</v>
      </c>
      <c r="O39" s="12"/>
      <c r="P39" s="3">
        <v>-110193.26</v>
      </c>
      <c r="Q39" s="3"/>
      <c r="R39" s="20">
        <f t="shared" si="8"/>
        <v>-5.3220154412799259E-2</v>
      </c>
      <c r="S39" s="3"/>
      <c r="T39" s="3">
        <v>1673340.8</v>
      </c>
      <c r="U39" s="3"/>
      <c r="V39" s="20">
        <f t="shared" si="9"/>
        <v>0.69066861472870134</v>
      </c>
      <c r="W39" s="3"/>
      <c r="X39" s="3">
        <f t="shared" si="10"/>
        <v>-1783534.06</v>
      </c>
      <c r="Y39" s="3"/>
      <c r="Z39" s="20">
        <f t="shared" si="11"/>
        <v>-1.065852251974015</v>
      </c>
    </row>
    <row r="40" spans="1:26" s="69" customFormat="1" ht="15" hidden="1" customHeight="1" outlineLevel="1" x14ac:dyDescent="0.3">
      <c r="A40" s="42"/>
      <c r="B40" s="12" t="str">
        <f>CONCATENATE("          ","5083"," - ","PURCHASES @ COST-COMPUTER EQUI")</f>
        <v xml:space="preserve">          5083 - PURCHASES @ COST-COMPUTER EQUI</v>
      </c>
      <c r="C40" s="12"/>
      <c r="D40" s="3"/>
      <c r="E40" s="3"/>
      <c r="F40" s="20">
        <f t="shared" si="4"/>
        <v>0</v>
      </c>
      <c r="G40" s="3"/>
      <c r="H40" s="3">
        <v>14312.16</v>
      </c>
      <c r="I40" s="3"/>
      <c r="J40" s="20">
        <f t="shared" si="5"/>
        <v>3.5494013006654515E-2</v>
      </c>
      <c r="K40" s="3"/>
      <c r="L40" s="3">
        <f t="shared" si="6"/>
        <v>-14312.16</v>
      </c>
      <c r="M40" s="3"/>
      <c r="N40" s="20">
        <f t="shared" si="7"/>
        <v>-1</v>
      </c>
      <c r="O40" s="12"/>
      <c r="P40" s="3">
        <v>0</v>
      </c>
      <c r="Q40" s="3"/>
      <c r="R40" s="20">
        <f t="shared" si="8"/>
        <v>0</v>
      </c>
      <c r="S40" s="3"/>
      <c r="T40" s="3">
        <v>119515.49</v>
      </c>
      <c r="U40" s="3"/>
      <c r="V40" s="20">
        <f t="shared" si="9"/>
        <v>4.9329818478651782E-2</v>
      </c>
      <c r="W40" s="3"/>
      <c r="X40" s="3">
        <f t="shared" si="10"/>
        <v>-119515.49</v>
      </c>
      <c r="Y40" s="3"/>
      <c r="Z40" s="20">
        <f t="shared" si="11"/>
        <v>-1</v>
      </c>
    </row>
    <row r="41" spans="1:26" s="69" customFormat="1" ht="15" hidden="1" customHeight="1" outlineLevel="1" x14ac:dyDescent="0.3">
      <c r="A41" s="42"/>
      <c r="B41" s="12" t="str">
        <f>CONCATENATE("          ","5085"," - ","PURCHASES @ COST-SOFTWARE")</f>
        <v xml:space="preserve">          5085 - PURCHASES @ COST-SOFTWARE</v>
      </c>
      <c r="C41" s="12"/>
      <c r="D41" s="3"/>
      <c r="E41" s="3"/>
      <c r="F41" s="20">
        <f t="shared" si="4"/>
        <v>0</v>
      </c>
      <c r="G41" s="3"/>
      <c r="H41" s="3">
        <v>4012.17</v>
      </c>
      <c r="I41" s="3"/>
      <c r="J41" s="20">
        <f t="shared" si="5"/>
        <v>9.9501412899876077E-3</v>
      </c>
      <c r="K41" s="3"/>
      <c r="L41" s="3">
        <f t="shared" si="6"/>
        <v>-4012.17</v>
      </c>
      <c r="M41" s="3"/>
      <c r="N41" s="20">
        <f t="shared" si="7"/>
        <v>-1</v>
      </c>
      <c r="O41" s="12"/>
      <c r="P41" s="3">
        <v>0</v>
      </c>
      <c r="Q41" s="3"/>
      <c r="R41" s="20">
        <f t="shared" si="8"/>
        <v>0</v>
      </c>
      <c r="S41" s="3"/>
      <c r="T41" s="3">
        <v>37910.879999999997</v>
      </c>
      <c r="U41" s="3"/>
      <c r="V41" s="20">
        <f t="shared" si="9"/>
        <v>1.5647652273073138E-2</v>
      </c>
      <c r="W41" s="3"/>
      <c r="X41" s="3">
        <f t="shared" si="10"/>
        <v>-37910.879999999997</v>
      </c>
      <c r="Y41" s="3"/>
      <c r="Z41" s="20">
        <f t="shared" si="11"/>
        <v>-1</v>
      </c>
    </row>
    <row r="42" spans="1:26" s="69" customFormat="1" ht="15" hidden="1" customHeight="1" outlineLevel="1" x14ac:dyDescent="0.3">
      <c r="A42" s="42"/>
      <c r="B42" s="12" t="str">
        <f>CONCATENATE("          ","5086"," - ","PURCHASES @ COST-COMPUTER SUPP")</f>
        <v xml:space="preserve">          5086 - PURCHASES @ COST-COMPUTER SUPP</v>
      </c>
      <c r="C42" s="12"/>
      <c r="D42" s="3"/>
      <c r="E42" s="3"/>
      <c r="F42" s="20">
        <f t="shared" si="4"/>
        <v>0</v>
      </c>
      <c r="G42" s="3"/>
      <c r="H42" s="3">
        <v>28.4</v>
      </c>
      <c r="I42" s="3"/>
      <c r="J42" s="20">
        <f t="shared" si="5"/>
        <v>7.0431714667037548E-5</v>
      </c>
      <c r="K42" s="3"/>
      <c r="L42" s="3">
        <f t="shared" si="6"/>
        <v>-28.4</v>
      </c>
      <c r="M42" s="3"/>
      <c r="N42" s="20">
        <f t="shared" si="7"/>
        <v>-1</v>
      </c>
      <c r="O42" s="12"/>
      <c r="P42" s="3">
        <v>0</v>
      </c>
      <c r="Q42" s="3"/>
      <c r="R42" s="20">
        <f t="shared" si="8"/>
        <v>0</v>
      </c>
      <c r="S42" s="3"/>
      <c r="T42" s="3">
        <v>23679.39</v>
      </c>
      <c r="U42" s="3"/>
      <c r="V42" s="20">
        <f t="shared" si="9"/>
        <v>9.7736285931238048E-3</v>
      </c>
      <c r="W42" s="3"/>
      <c r="X42" s="3">
        <f t="shared" si="10"/>
        <v>-23679.39</v>
      </c>
      <c r="Y42" s="3"/>
      <c r="Z42" s="20">
        <f t="shared" si="11"/>
        <v>-1</v>
      </c>
    </row>
    <row r="43" spans="1:26" s="69" customFormat="1" ht="15" hidden="1" customHeight="1" outlineLevel="1" x14ac:dyDescent="0.3">
      <c r="A43" s="42"/>
      <c r="B43" s="12" t="str">
        <f>CONCATENATE("          ","5200"," - ","PURCHASES OFFSET")</f>
        <v xml:space="preserve">          5200 - PURCHASES OFFSET</v>
      </c>
      <c r="C43" s="12"/>
      <c r="D43" s="3">
        <v>-208105.25</v>
      </c>
      <c r="E43" s="3"/>
      <c r="F43" s="20">
        <f t="shared" si="4"/>
        <v>-0.65023618663376204</v>
      </c>
      <c r="G43" s="3"/>
      <c r="H43" s="3">
        <v>-295380.27</v>
      </c>
      <c r="I43" s="3"/>
      <c r="J43" s="20">
        <f t="shared" si="5"/>
        <v>-0.73254010193353924</v>
      </c>
      <c r="K43" s="3"/>
      <c r="L43" s="3">
        <f t="shared" si="6"/>
        <v>87275.020000000019</v>
      </c>
      <c r="M43" s="3"/>
      <c r="N43" s="20">
        <f t="shared" si="7"/>
        <v>-0.2954666538831453</v>
      </c>
      <c r="O43" s="12"/>
      <c r="P43" s="3">
        <v>-1758302.34</v>
      </c>
      <c r="Q43" s="3"/>
      <c r="R43" s="20">
        <f t="shared" si="8"/>
        <v>-0.84920912621322087</v>
      </c>
      <c r="S43" s="3"/>
      <c r="T43" s="3">
        <v>-1883381.08</v>
      </c>
      <c r="U43" s="3"/>
      <c r="V43" s="20">
        <f t="shared" si="9"/>
        <v>-0.77736238877928832</v>
      </c>
      <c r="W43" s="3"/>
      <c r="X43" s="3">
        <f t="shared" si="10"/>
        <v>125078.73999999999</v>
      </c>
      <c r="Y43" s="3"/>
      <c r="Z43" s="20">
        <f t="shared" si="11"/>
        <v>-6.6411806579261157E-2</v>
      </c>
    </row>
    <row r="44" spans="1:26" s="69" customFormat="1" ht="15" hidden="1" customHeight="1" outlineLevel="1" x14ac:dyDescent="0.3">
      <c r="A44" s="42"/>
      <c r="B44" s="12" t="str">
        <f>CONCATENATE("          ","5300"," - ","COG$ OFFSET")</f>
        <v xml:space="preserve">          5300 - COG$ OFFSET</v>
      </c>
      <c r="C44" s="12"/>
      <c r="D44" s="3">
        <v>291821.21000000002</v>
      </c>
      <c r="E44" s="3"/>
      <c r="F44" s="20">
        <f t="shared" si="4"/>
        <v>0.91181126266276458</v>
      </c>
      <c r="G44" s="3"/>
      <c r="H44" s="3">
        <v>369413</v>
      </c>
      <c r="I44" s="3"/>
      <c r="J44" s="20">
        <f t="shared" si="5"/>
        <v>0.91614052853149097</v>
      </c>
      <c r="K44" s="3"/>
      <c r="L44" s="3">
        <f t="shared" si="6"/>
        <v>-77591.789999999979</v>
      </c>
      <c r="M44" s="3"/>
      <c r="N44" s="20">
        <f t="shared" si="7"/>
        <v>-0.21004076737959948</v>
      </c>
      <c r="O44" s="12"/>
      <c r="P44" s="3">
        <v>1878786.8</v>
      </c>
      <c r="Q44" s="3"/>
      <c r="R44" s="20">
        <f t="shared" si="8"/>
        <v>0.90739963228902565</v>
      </c>
      <c r="S44" s="3"/>
      <c r="T44" s="3">
        <v>2229989</v>
      </c>
      <c r="U44" s="3"/>
      <c r="V44" s="20">
        <f t="shared" si="9"/>
        <v>0.92042422768287357</v>
      </c>
      <c r="W44" s="3"/>
      <c r="X44" s="3">
        <f t="shared" si="10"/>
        <v>-351202.19999999995</v>
      </c>
      <c r="Y44" s="3"/>
      <c r="Z44" s="20">
        <f t="shared" si="11"/>
        <v>-0.15749055264398162</v>
      </c>
    </row>
    <row r="45" spans="1:26" s="69" customFormat="1" ht="15" hidden="1" customHeight="1" outlineLevel="1" x14ac:dyDescent="0.3">
      <c r="A45" s="42"/>
      <c r="B45" s="12" t="str">
        <f>CONCATENATE("          ","5500"," - ","FREIGHT-IN")</f>
        <v xml:space="preserve">          5500 - FREIGHT-IN</v>
      </c>
      <c r="C45" s="12"/>
      <c r="D45" s="3">
        <v>31.57</v>
      </c>
      <c r="E45" s="3"/>
      <c r="F45" s="20">
        <f t="shared" si="4"/>
        <v>9.8642184241040862E-5</v>
      </c>
      <c r="G45" s="3"/>
      <c r="H45" s="3"/>
      <c r="I45" s="3"/>
      <c r="J45" s="20">
        <f t="shared" si="5"/>
        <v>0</v>
      </c>
      <c r="K45" s="3"/>
      <c r="L45" s="3">
        <f t="shared" si="6"/>
        <v>31.57</v>
      </c>
      <c r="M45" s="3"/>
      <c r="N45" s="20">
        <f t="shared" si="7"/>
        <v>0</v>
      </c>
      <c r="O45" s="12"/>
      <c r="P45" s="3">
        <v>203.12</v>
      </c>
      <c r="Q45" s="3"/>
      <c r="R45" s="20">
        <f t="shared" si="8"/>
        <v>9.8101079542685143E-5</v>
      </c>
      <c r="S45" s="3"/>
      <c r="T45" s="3">
        <v>0</v>
      </c>
      <c r="U45" s="3"/>
      <c r="V45" s="20">
        <f t="shared" si="9"/>
        <v>0</v>
      </c>
      <c r="W45" s="3"/>
      <c r="X45" s="3">
        <f t="shared" si="10"/>
        <v>203.12</v>
      </c>
      <c r="Y45" s="3"/>
      <c r="Z45" s="20">
        <f t="shared" si="11"/>
        <v>0</v>
      </c>
    </row>
    <row r="46" spans="1:26" s="69" customFormat="1" ht="15" hidden="1" customHeight="1" outlineLevel="1" x14ac:dyDescent="0.3">
      <c r="A46" s="42"/>
      <c r="B46" s="12" t="str">
        <f>CONCATENATE("          ","5581"," - ","FREIGHT-IN-ELECTRONICS")</f>
        <v xml:space="preserve">          5581 - FREIGHT-IN-ELECTRONICS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/>
      <c r="Q46" s="3"/>
      <c r="R46" s="20">
        <f t="shared" si="8"/>
        <v>0</v>
      </c>
      <c r="S46" s="3"/>
      <c r="T46" s="3">
        <v>31</v>
      </c>
      <c r="U46" s="3"/>
      <c r="V46" s="20">
        <f t="shared" si="9"/>
        <v>1.2795198118990309E-5</v>
      </c>
      <c r="W46" s="3"/>
      <c r="X46" s="3">
        <f t="shared" si="10"/>
        <v>-31</v>
      </c>
      <c r="Y46" s="3"/>
      <c r="Z46" s="20">
        <f t="shared" si="11"/>
        <v>-1</v>
      </c>
    </row>
    <row r="47" spans="1:26" s="69" customFormat="1" ht="15" hidden="1" customHeight="1" outlineLevel="1" x14ac:dyDescent="0.3">
      <c r="A47" s="42"/>
      <c r="B47" s="12" t="str">
        <f>CONCATENATE("          ","5582"," - ","FREIGHT-IN-COMPUTER HARDWARE")</f>
        <v xml:space="preserve">          5582 - FREIGHT-IN-COMPUTER HARDWARE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/>
      <c r="Q47" s="3"/>
      <c r="R47" s="20">
        <f t="shared" si="8"/>
        <v>0</v>
      </c>
      <c r="S47" s="3"/>
      <c r="T47" s="3">
        <v>125</v>
      </c>
      <c r="U47" s="3"/>
      <c r="V47" s="20">
        <f t="shared" si="9"/>
        <v>5.159354080238028E-5</v>
      </c>
      <c r="W47" s="3"/>
      <c r="X47" s="3">
        <f t="shared" si="10"/>
        <v>-125</v>
      </c>
      <c r="Y47" s="3"/>
      <c r="Z47" s="20">
        <f t="shared" si="11"/>
        <v>-1</v>
      </c>
    </row>
    <row r="48" spans="1:26" s="69" customFormat="1" ht="15" hidden="1" customHeight="1" outlineLevel="1" x14ac:dyDescent="0.3">
      <c r="A48" s="42"/>
      <c r="B48" s="12" t="str">
        <f>CONCATENATE("          ","5583"," - ","FREIGHT-IN-COMPUTER EQUIPMENT")</f>
        <v xml:space="preserve">          5583 - FREIGHT-IN-COMPUTER EQUIPMENT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>
        <v>242.46</v>
      </c>
      <c r="U48" s="3"/>
      <c r="V48" s="20">
        <f t="shared" si="9"/>
        <v>1.0007495922356099E-4</v>
      </c>
      <c r="W48" s="3"/>
      <c r="X48" s="3">
        <f t="shared" si="10"/>
        <v>-242.46</v>
      </c>
      <c r="Y48" s="3"/>
      <c r="Z48" s="20">
        <f t="shared" si="11"/>
        <v>-1</v>
      </c>
    </row>
    <row r="49" spans="1:26" s="69" customFormat="1" ht="15" hidden="1" customHeight="1" outlineLevel="1" x14ac:dyDescent="0.3">
      <c r="A49" s="42"/>
      <c r="B49" s="12" t="str">
        <f>CONCATENATE("          ","5585"," - ","FREIGHT-IN-SOFTWARE")</f>
        <v xml:space="preserve">          5585 - FREIGHT-IN-SOFTWARE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/>
      <c r="Q49" s="3"/>
      <c r="R49" s="20">
        <f t="shared" si="8"/>
        <v>0</v>
      </c>
      <c r="S49" s="3"/>
      <c r="T49" s="3">
        <v>9.41</v>
      </c>
      <c r="U49" s="3"/>
      <c r="V49" s="20">
        <f t="shared" si="9"/>
        <v>3.8839617516031877E-6</v>
      </c>
      <c r="W49" s="3"/>
      <c r="X49" s="3">
        <f t="shared" si="10"/>
        <v>-9.41</v>
      </c>
      <c r="Y49" s="3"/>
      <c r="Z49" s="20">
        <f t="shared" si="11"/>
        <v>-1</v>
      </c>
    </row>
    <row r="50" spans="1:26" s="69" customFormat="1" ht="15" hidden="1" customHeight="1" outlineLevel="1" x14ac:dyDescent="0.3">
      <c r="A50" s="42"/>
      <c r="B50" s="12" t="str">
        <f>CONCATENATE("          ","5586"," - ","FREIGHT-IN-COMPUTER SUPPLIES")</f>
        <v xml:space="preserve">          5586 - FREIGHT-IN-COMPUTER SUPPLIES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/>
      <c r="Q50" s="3"/>
      <c r="R50" s="20">
        <f t="shared" si="8"/>
        <v>0</v>
      </c>
      <c r="S50" s="3"/>
      <c r="T50" s="3">
        <v>24.12</v>
      </c>
      <c r="U50" s="3"/>
      <c r="V50" s="20">
        <f t="shared" si="9"/>
        <v>9.9554896332272994E-6</v>
      </c>
      <c r="W50" s="3"/>
      <c r="X50" s="3">
        <f t="shared" si="10"/>
        <v>-24.12</v>
      </c>
      <c r="Y50" s="3"/>
      <c r="Z50" s="20">
        <f t="shared" si="11"/>
        <v>-1</v>
      </c>
    </row>
    <row r="51" spans="1:26" ht="15" customHeight="1" x14ac:dyDescent="0.3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11"/>
      <c r="B52" s="28" t="s">
        <v>288</v>
      </c>
      <c r="C52" s="28"/>
      <c r="D52" s="21">
        <f>D12-D36</f>
        <v>28224.420000000042</v>
      </c>
      <c r="E52" s="15"/>
      <c r="F52" s="23">
        <f>IF(D$12=0,0,D52/D$12)</f>
        <v>8.8188737337235437E-2</v>
      </c>
      <c r="G52" s="15"/>
      <c r="H52" s="21">
        <f>H12-H36</f>
        <v>33814.44</v>
      </c>
      <c r="I52" s="15"/>
      <c r="J52" s="23">
        <f>IF(H$12=0,0,H52/H$12)</f>
        <v>8.3859471468509209E-2</v>
      </c>
      <c r="K52" s="16"/>
      <c r="L52" s="21">
        <f>+D52-H52</f>
        <v>-5590.0199999999604</v>
      </c>
      <c r="M52" s="16"/>
      <c r="N52" s="23">
        <f>IF(H52=0,0,L52/H52)</f>
        <v>-0.16531458158112214</v>
      </c>
      <c r="O52" s="27"/>
      <c r="P52" s="21">
        <f>P12-P36</f>
        <v>301923.93999999994</v>
      </c>
      <c r="Q52" s="15"/>
      <c r="R52" s="23">
        <f>IF(P$12=0,0,P52/P$12)</f>
        <v>0.14582052212377358</v>
      </c>
      <c r="S52" s="15"/>
      <c r="T52" s="21">
        <f>T12-T36</f>
        <v>188849.05999999959</v>
      </c>
      <c r="U52" s="15"/>
      <c r="V52" s="23">
        <f>IF(T$12=0,0,T52/T$12)</f>
        <v>7.7947133460809129E-2</v>
      </c>
      <c r="W52" s="16"/>
      <c r="X52" s="21">
        <f>+P52-T52</f>
        <v>113074.88000000035</v>
      </c>
      <c r="Y52" s="16"/>
      <c r="Z52" s="23">
        <f>IF(T52=0,0,X52/T52)</f>
        <v>0.5987579710484161</v>
      </c>
    </row>
    <row r="53" spans="1:26" ht="15" customHeight="1" x14ac:dyDescent="0.3">
      <c r="A53" s="10"/>
      <c r="B53" s="11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3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62" customFormat="1" ht="15" customHeight="1" x14ac:dyDescent="0.3">
      <c r="A54" s="11"/>
      <c r="B54" s="27" t="s">
        <v>289</v>
      </c>
      <c r="C54" s="11"/>
      <c r="D54" s="22" cm="1">
        <f t="array" ref="D54">SUM(OSRRefD22x_0)</f>
        <v>20773.600000000002</v>
      </c>
      <c r="E54" s="22"/>
      <c r="F54" s="32">
        <f t="shared" ref="F54:F96" si="12">IF(D$12=0,0,D54/D$12)</f>
        <v>6.4908244490012243E-2</v>
      </c>
      <c r="G54" s="22"/>
      <c r="H54" s="22" cm="1">
        <f t="array" ref="H54">SUM(OSRRefH22x_0)</f>
        <v>13637.129999999997</v>
      </c>
      <c r="I54" s="22"/>
      <c r="J54" s="32">
        <f t="shared" ref="J54:J96" si="13">IF(H$12=0,0,H54/H$12)</f>
        <v>3.3819945388637238E-2</v>
      </c>
      <c r="K54" s="5"/>
      <c r="L54" s="22">
        <f t="shared" ref="L54:L96" si="14">+D54-H54</f>
        <v>7136.4700000000048</v>
      </c>
      <c r="M54" s="5"/>
      <c r="N54" s="32">
        <f t="shared" ref="N54:N96" si="15">IF(H54=0,0,L54/H54)</f>
        <v>0.52331172321448916</v>
      </c>
      <c r="O54" s="11"/>
      <c r="P54" s="22" cm="1">
        <f t="array" ref="P54">SUM(OSRRefP22x_0)</f>
        <v>153428.51999999996</v>
      </c>
      <c r="Q54" s="22"/>
      <c r="R54" s="32">
        <f t="shared" ref="R54:R96" si="16">IF(P$12=0,0,P54/P$12)</f>
        <v>7.4101533303645412E-2</v>
      </c>
      <c r="S54" s="22"/>
      <c r="T54" s="22" cm="1">
        <f t="array" ref="T54">SUM(OSRRefT22x_0)</f>
        <v>137695.78</v>
      </c>
      <c r="U54" s="22"/>
      <c r="V54" s="32">
        <f t="shared" ref="V54:V96" si="17">IF(T$12=0,0,T54/T$12)</f>
        <v>5.6833702749964632E-2</v>
      </c>
      <c r="W54" s="5"/>
      <c r="X54" s="22">
        <f t="shared" ref="X54:X96" si="18">+P54-T54</f>
        <v>15732.739999999962</v>
      </c>
      <c r="Y54" s="5"/>
      <c r="Z54" s="32">
        <f t="shared" ref="Z54:Z96" si="19">IF(T54=0,0,X54/T54)</f>
        <v>0.11425724157995228</v>
      </c>
    </row>
    <row r="55" spans="1:26" s="68" customFormat="1" ht="15" customHeight="1" outlineLevel="1" collapsed="1" x14ac:dyDescent="0.3">
      <c r="A55" s="25"/>
      <c r="B55" s="14" t="str">
        <f>CONCATENATE("     ","*Benefits                                         ")</f>
        <v xml:space="preserve">     *Benefits                                         </v>
      </c>
      <c r="C55" s="14"/>
      <c r="D55" s="2">
        <f>SUM(OSRRefD22_0x_0)</f>
        <v>3918.19</v>
      </c>
      <c r="E55" s="2"/>
      <c r="F55" s="6">
        <f t="shared" si="12"/>
        <v>1.2242598032036867E-2</v>
      </c>
      <c r="G55" s="2"/>
      <c r="H55" s="2">
        <f>SUM(OSRRefH22_0x_0)</f>
        <v>3356.18</v>
      </c>
      <c r="I55" s="2"/>
      <c r="J55" s="6">
        <f t="shared" si="13"/>
        <v>8.3232926806766933E-3</v>
      </c>
      <c r="K55" s="2"/>
      <c r="L55" s="2">
        <f t="shared" si="14"/>
        <v>562.01000000000022</v>
      </c>
      <c r="M55" s="2"/>
      <c r="N55" s="6">
        <f t="shared" si="15"/>
        <v>0.16745526163674185</v>
      </c>
      <c r="O55" s="14"/>
      <c r="P55" s="2">
        <f>SUM(OSRRefP22_0x_0)</f>
        <v>27166.349999999995</v>
      </c>
      <c r="Q55" s="2"/>
      <c r="R55" s="6">
        <f t="shared" si="16"/>
        <v>1.312056056633726E-2</v>
      </c>
      <c r="S55" s="2"/>
      <c r="T55" s="2">
        <f>SUM(OSRRefT22_0x_0)</f>
        <v>29578.5</v>
      </c>
      <c r="U55" s="2"/>
      <c r="V55" s="6">
        <f t="shared" si="17"/>
        <v>1.2208476372985642E-2</v>
      </c>
      <c r="W55" s="2"/>
      <c r="X55" s="2">
        <f t="shared" si="18"/>
        <v>-2412.1500000000051</v>
      </c>
      <c r="Y55" s="2"/>
      <c r="Z55" s="6">
        <f t="shared" si="19"/>
        <v>-8.1550788579542746E-2</v>
      </c>
    </row>
    <row r="56" spans="1:26" s="69" customFormat="1" ht="15" hidden="1" customHeight="1" outlineLevel="2" x14ac:dyDescent="0.3">
      <c r="A56" s="26"/>
      <c r="B56" s="12" t="str">
        <f>CONCATENATE("          ","6111"," - ","F.I.C.A.")</f>
        <v xml:space="preserve">          6111 - F.I.C.A.</v>
      </c>
      <c r="C56" s="12"/>
      <c r="D56" s="8">
        <v>860.47</v>
      </c>
      <c r="E56" s="3"/>
      <c r="F56" s="7">
        <f t="shared" si="12"/>
        <v>2.6885853745292503E-3</v>
      </c>
      <c r="G56" s="3"/>
      <c r="H56" s="8">
        <v>675.75</v>
      </c>
      <c r="I56" s="3"/>
      <c r="J56" s="7">
        <f t="shared" si="13"/>
        <v>1.6758532107834726E-3</v>
      </c>
      <c r="K56" s="3"/>
      <c r="L56" s="8">
        <f t="shared" si="14"/>
        <v>184.72000000000003</v>
      </c>
      <c r="M56" s="3"/>
      <c r="N56" s="7">
        <f t="shared" si="15"/>
        <v>0.27335553089160197</v>
      </c>
      <c r="O56" s="12"/>
      <c r="P56" s="8">
        <v>5754.15</v>
      </c>
      <c r="Q56" s="3"/>
      <c r="R56" s="7">
        <f t="shared" si="16"/>
        <v>2.7790878635808474E-3</v>
      </c>
      <c r="S56" s="3"/>
      <c r="T56" s="8">
        <v>5413.83</v>
      </c>
      <c r="U56" s="3"/>
      <c r="V56" s="7">
        <f t="shared" si="17"/>
        <v>2.2345492720172036E-3</v>
      </c>
      <c r="W56" s="3"/>
      <c r="X56" s="8">
        <f t="shared" si="18"/>
        <v>340.31999999999971</v>
      </c>
      <c r="Y56" s="3"/>
      <c r="Z56" s="7">
        <f t="shared" si="19"/>
        <v>6.2861227633671482E-2</v>
      </c>
    </row>
    <row r="57" spans="1:26" s="69" customFormat="1" ht="15" hidden="1" customHeight="1" outlineLevel="2" x14ac:dyDescent="0.3">
      <c r="A57" s="26"/>
      <c r="B57" s="12" t="str">
        <f>CONCATENATE("          ","6112"," - ","COMPENSATION INSURANCE")</f>
        <v xml:space="preserve">          6112 - COMPENSATION INSURANCE</v>
      </c>
      <c r="C57" s="12"/>
      <c r="D57" s="8">
        <v>147.80000000000001</v>
      </c>
      <c r="E57" s="3"/>
      <c r="F57" s="7">
        <f t="shared" si="12"/>
        <v>4.6180914890167374E-4</v>
      </c>
      <c r="G57" s="3"/>
      <c r="H57" s="8">
        <v>175.68</v>
      </c>
      <c r="I57" s="3"/>
      <c r="J57" s="7">
        <f t="shared" si="13"/>
        <v>4.3568463495440696E-4</v>
      </c>
      <c r="K57" s="3"/>
      <c r="L57" s="8">
        <f t="shared" si="14"/>
        <v>-27.879999999999995</v>
      </c>
      <c r="M57" s="3"/>
      <c r="N57" s="7">
        <f t="shared" si="15"/>
        <v>-0.15869763205828777</v>
      </c>
      <c r="O57" s="12"/>
      <c r="P57" s="8">
        <v>1446.9</v>
      </c>
      <c r="Q57" s="3"/>
      <c r="R57" s="7">
        <f t="shared" si="16"/>
        <v>6.988108112953483E-4</v>
      </c>
      <c r="S57" s="3"/>
      <c r="T57" s="8">
        <v>1534.43</v>
      </c>
      <c r="U57" s="3"/>
      <c r="V57" s="7">
        <f t="shared" si="17"/>
        <v>6.3333341450717102E-4</v>
      </c>
      <c r="W57" s="3"/>
      <c r="X57" s="8">
        <f t="shared" si="18"/>
        <v>-87.529999999999973</v>
      </c>
      <c r="Y57" s="3"/>
      <c r="Z57" s="7">
        <f t="shared" si="19"/>
        <v>-5.7043983759441599E-2</v>
      </c>
    </row>
    <row r="58" spans="1:26" s="69" customFormat="1" ht="15" hidden="1" customHeight="1" outlineLevel="2" x14ac:dyDescent="0.3">
      <c r="A58" s="26"/>
      <c r="B58" s="12" t="str">
        <f>CONCATENATE("          ","6113"," - ","GROUP INSURANCE")</f>
        <v xml:space="preserve">          6113 - GROUP INSURANCE</v>
      </c>
      <c r="C58" s="12"/>
      <c r="D58" s="8">
        <v>1539.12</v>
      </c>
      <c r="E58" s="3"/>
      <c r="F58" s="7">
        <f t="shared" si="12"/>
        <v>4.8090642574935318E-3</v>
      </c>
      <c r="G58" s="3"/>
      <c r="H58" s="8">
        <v>1053.8499999999999</v>
      </c>
      <c r="I58" s="3"/>
      <c r="J58" s="7">
        <f t="shared" si="13"/>
        <v>2.6135374120372363E-3</v>
      </c>
      <c r="K58" s="3"/>
      <c r="L58" s="8">
        <f t="shared" si="14"/>
        <v>485.27</v>
      </c>
      <c r="M58" s="3"/>
      <c r="N58" s="7">
        <f t="shared" si="15"/>
        <v>0.46047350192152586</v>
      </c>
      <c r="O58" s="12"/>
      <c r="P58" s="8">
        <v>9906.89</v>
      </c>
      <c r="Q58" s="3"/>
      <c r="R58" s="7">
        <f t="shared" si="16"/>
        <v>4.7847410590322569E-3</v>
      </c>
      <c r="S58" s="3"/>
      <c r="T58" s="8">
        <v>10430.18</v>
      </c>
      <c r="U58" s="3"/>
      <c r="V58" s="7">
        <f t="shared" si="17"/>
        <v>4.3050393392493665E-3</v>
      </c>
      <c r="W58" s="3"/>
      <c r="X58" s="8">
        <f t="shared" si="18"/>
        <v>-523.29000000000087</v>
      </c>
      <c r="Y58" s="3"/>
      <c r="Z58" s="7">
        <f t="shared" si="19"/>
        <v>-5.017075448362357E-2</v>
      </c>
    </row>
    <row r="59" spans="1:26" s="69" customFormat="1" ht="15" hidden="1" customHeight="1" outlineLevel="2" x14ac:dyDescent="0.3">
      <c r="A59" s="26"/>
      <c r="B59" s="12" t="str">
        <f>CONCATENATE("          ","6114"," - ","STATE UNEMPLOYMENT INSURANCE")</f>
        <v xml:space="preserve">          6114 - STATE UNEMPLOYMENT INSURANCE</v>
      </c>
      <c r="C59" s="12"/>
      <c r="D59" s="8">
        <v>26.64</v>
      </c>
      <c r="E59" s="3"/>
      <c r="F59" s="7">
        <f t="shared" si="12"/>
        <v>8.3238130762791523E-5</v>
      </c>
      <c r="G59" s="3"/>
      <c r="H59" s="8">
        <v>24.69</v>
      </c>
      <c r="I59" s="3"/>
      <c r="J59" s="7">
        <f t="shared" si="13"/>
        <v>6.1230951941167503E-5</v>
      </c>
      <c r="K59" s="3"/>
      <c r="L59" s="8">
        <f t="shared" si="14"/>
        <v>1.9499999999999993</v>
      </c>
      <c r="M59" s="3"/>
      <c r="N59" s="7">
        <f t="shared" si="15"/>
        <v>7.8979343863912477E-2</v>
      </c>
      <c r="O59" s="12"/>
      <c r="P59" s="8">
        <v>254.87</v>
      </c>
      <c r="Q59" s="3"/>
      <c r="R59" s="7">
        <f t="shared" si="16"/>
        <v>1.2309483134621978E-4</v>
      </c>
      <c r="S59" s="3"/>
      <c r="T59" s="8">
        <v>230.35</v>
      </c>
      <c r="U59" s="3"/>
      <c r="V59" s="7">
        <f t="shared" si="17"/>
        <v>9.5076576990626375E-5</v>
      </c>
      <c r="W59" s="3"/>
      <c r="X59" s="8">
        <f t="shared" si="18"/>
        <v>24.52000000000001</v>
      </c>
      <c r="Y59" s="3"/>
      <c r="Z59" s="7">
        <f t="shared" si="19"/>
        <v>0.10644671152593883</v>
      </c>
    </row>
    <row r="60" spans="1:26" s="69" customFormat="1" ht="15" hidden="1" customHeight="1" outlineLevel="2" x14ac:dyDescent="0.3">
      <c r="A60" s="26"/>
      <c r="B60" s="12" t="str">
        <f>CONCATENATE("          ","6115"," - ","P.E.R.S.")</f>
        <v xml:space="preserve">          6115 - P.E.R.S.</v>
      </c>
      <c r="C60" s="12"/>
      <c r="D60" s="8">
        <v>179.61</v>
      </c>
      <c r="E60" s="3"/>
      <c r="F60" s="7">
        <f t="shared" si="12"/>
        <v>5.6120122621264963E-4</v>
      </c>
      <c r="G60" s="3"/>
      <c r="H60" s="8">
        <v>176.42</v>
      </c>
      <c r="I60" s="3"/>
      <c r="J60" s="7">
        <f t="shared" si="13"/>
        <v>4.3751982751967478E-4</v>
      </c>
      <c r="K60" s="3"/>
      <c r="L60" s="8">
        <f t="shared" si="14"/>
        <v>3.1900000000000261</v>
      </c>
      <c r="M60" s="3"/>
      <c r="N60" s="7">
        <f t="shared" si="15"/>
        <v>1.8081850130370856E-2</v>
      </c>
      <c r="O60" s="12"/>
      <c r="P60" s="8">
        <v>1218.29</v>
      </c>
      <c r="Q60" s="3"/>
      <c r="R60" s="7">
        <f t="shared" si="16"/>
        <v>5.8839879970489309E-4</v>
      </c>
      <c r="S60" s="3"/>
      <c r="T60" s="8">
        <v>1940.62</v>
      </c>
      <c r="U60" s="3"/>
      <c r="V60" s="7">
        <f t="shared" si="17"/>
        <v>8.0098765721532174E-4</v>
      </c>
      <c r="W60" s="3"/>
      <c r="X60" s="8">
        <f t="shared" si="18"/>
        <v>-722.32999999999993</v>
      </c>
      <c r="Y60" s="3"/>
      <c r="Z60" s="7">
        <f t="shared" si="19"/>
        <v>-0.37221609588688148</v>
      </c>
    </row>
    <row r="61" spans="1:26" s="69" customFormat="1" ht="15" hidden="1" customHeight="1" outlineLevel="2" x14ac:dyDescent="0.3">
      <c r="A61" s="26"/>
      <c r="B61" s="12" t="str">
        <f>CONCATENATE("          ","6117"," - ","RETIREMENT STAFF HOURLY")</f>
        <v xml:space="preserve">          6117 - RETIREMENT STAFF HOURLY</v>
      </c>
      <c r="C61" s="12"/>
      <c r="D61" s="8">
        <v>157.46</v>
      </c>
      <c r="E61" s="3"/>
      <c r="F61" s="7">
        <f t="shared" si="12"/>
        <v>4.9199234496655989E-4</v>
      </c>
      <c r="G61" s="3"/>
      <c r="H61" s="8">
        <v>174.9</v>
      </c>
      <c r="I61" s="3"/>
      <c r="J61" s="7">
        <f t="shared" si="13"/>
        <v>4.3375024279101646E-4</v>
      </c>
      <c r="K61" s="3"/>
      <c r="L61" s="8">
        <f t="shared" si="14"/>
        <v>-17.439999999999998</v>
      </c>
      <c r="M61" s="3"/>
      <c r="N61" s="7">
        <f t="shared" si="15"/>
        <v>-9.9714122355631776E-2</v>
      </c>
      <c r="O61" s="12"/>
      <c r="P61" s="8">
        <v>160.12</v>
      </c>
      <c r="Q61" s="3"/>
      <c r="R61" s="7">
        <f t="shared" si="16"/>
        <v>7.7333324420907578E-5</v>
      </c>
      <c r="S61" s="3"/>
      <c r="T61" s="8">
        <v>1895.94</v>
      </c>
      <c r="U61" s="3"/>
      <c r="V61" s="7">
        <f t="shared" si="17"/>
        <v>7.8254606199091897E-4</v>
      </c>
      <c r="W61" s="3"/>
      <c r="X61" s="8">
        <f t="shared" si="18"/>
        <v>-1735.8200000000002</v>
      </c>
      <c r="Y61" s="3"/>
      <c r="Z61" s="7">
        <f t="shared" si="19"/>
        <v>-0.91554585060708682</v>
      </c>
    </row>
    <row r="62" spans="1:26" s="69" customFormat="1" ht="15" hidden="1" customHeight="1" outlineLevel="2" x14ac:dyDescent="0.3">
      <c r="A62" s="26"/>
      <c r="B62" s="12" t="str">
        <f>CONCATENATE("          ","6118"," - ","VACATION")</f>
        <v xml:space="preserve">          6118 - VACATION</v>
      </c>
      <c r="C62" s="12"/>
      <c r="D62" s="8">
        <v>390.91</v>
      </c>
      <c r="E62" s="3"/>
      <c r="F62" s="7">
        <f t="shared" si="12"/>
        <v>1.2214195832013076E-3</v>
      </c>
      <c r="G62" s="3"/>
      <c r="H62" s="8">
        <v>400.56</v>
      </c>
      <c r="I62" s="3"/>
      <c r="J62" s="7">
        <f t="shared" si="13"/>
        <v>9.9338477559959728E-4</v>
      </c>
      <c r="K62" s="3"/>
      <c r="L62" s="8">
        <f t="shared" si="14"/>
        <v>-9.6499999999999773</v>
      </c>
      <c r="M62" s="3"/>
      <c r="N62" s="7">
        <f t="shared" si="15"/>
        <v>-2.4091272218893491E-2</v>
      </c>
      <c r="O62" s="12"/>
      <c r="P62" s="8">
        <v>2931.34</v>
      </c>
      <c r="Q62" s="3"/>
      <c r="R62" s="7">
        <f t="shared" si="16"/>
        <v>1.4157523557830577E-3</v>
      </c>
      <c r="S62" s="3"/>
      <c r="T62" s="8">
        <v>2891.22</v>
      </c>
      <c r="U62" s="3"/>
      <c r="V62" s="7">
        <f t="shared" si="17"/>
        <v>1.1933462163092633E-3</v>
      </c>
      <c r="W62" s="3"/>
      <c r="X62" s="8">
        <f t="shared" si="18"/>
        <v>40.120000000000346</v>
      </c>
      <c r="Y62" s="3"/>
      <c r="Z62" s="7">
        <f t="shared" si="19"/>
        <v>1.3876495043614927E-2</v>
      </c>
    </row>
    <row r="63" spans="1:26" s="69" customFormat="1" ht="15" hidden="1" customHeight="1" outlineLevel="2" x14ac:dyDescent="0.3">
      <c r="A63" s="26"/>
      <c r="B63" s="12" t="str">
        <f>CONCATENATE("          ","6119"," - ","SICK LEAVE")</f>
        <v xml:space="preserve">          6119 - SICK LEAVE</v>
      </c>
      <c r="C63" s="12"/>
      <c r="D63" s="8">
        <v>366.78</v>
      </c>
      <c r="E63" s="3"/>
      <c r="F63" s="7">
        <f t="shared" si="12"/>
        <v>1.1460240841282535E-3</v>
      </c>
      <c r="G63" s="3"/>
      <c r="H63" s="8">
        <v>401.45</v>
      </c>
      <c r="I63" s="3"/>
      <c r="J63" s="7">
        <f t="shared" si="13"/>
        <v>9.9559196665782485E-4</v>
      </c>
      <c r="K63" s="3"/>
      <c r="L63" s="8">
        <f t="shared" si="14"/>
        <v>-34.670000000000016</v>
      </c>
      <c r="M63" s="3"/>
      <c r="N63" s="7">
        <f t="shared" si="15"/>
        <v>-8.6361937974841249E-2</v>
      </c>
      <c r="O63" s="12"/>
      <c r="P63" s="8">
        <v>3669.99</v>
      </c>
      <c r="Q63" s="3"/>
      <c r="R63" s="7">
        <f t="shared" si="16"/>
        <v>1.7724989213807555E-3</v>
      </c>
      <c r="S63" s="3"/>
      <c r="T63" s="8">
        <v>2888.63</v>
      </c>
      <c r="U63" s="3"/>
      <c r="V63" s="7">
        <f t="shared" si="17"/>
        <v>1.192277198143838E-3</v>
      </c>
      <c r="W63" s="3"/>
      <c r="X63" s="8">
        <f t="shared" si="18"/>
        <v>781.35999999999967</v>
      </c>
      <c r="Y63" s="3"/>
      <c r="Z63" s="7">
        <f t="shared" si="19"/>
        <v>0.27049500974510393</v>
      </c>
    </row>
    <row r="64" spans="1:26" s="69" customFormat="1" ht="15" hidden="1" customHeight="1" outlineLevel="2" x14ac:dyDescent="0.3">
      <c r="A64" s="26"/>
      <c r="B64" s="12" t="str">
        <f>CONCATENATE("          ","6156"," - ","EMPLOYEE MEALS")</f>
        <v xml:space="preserve">          6156 - EMPLOYEE MEALS</v>
      </c>
      <c r="C64" s="12"/>
      <c r="D64" s="8">
        <v>249.4</v>
      </c>
      <c r="E64" s="3"/>
      <c r="F64" s="7">
        <f t="shared" si="12"/>
        <v>7.7926388184084859E-4</v>
      </c>
      <c r="G64" s="3"/>
      <c r="H64" s="8">
        <v>272.88</v>
      </c>
      <c r="I64" s="3"/>
      <c r="J64" s="7">
        <f t="shared" si="13"/>
        <v>6.7673965839229596E-4</v>
      </c>
      <c r="K64" s="3"/>
      <c r="L64" s="8">
        <f t="shared" si="14"/>
        <v>-23.47999999999999</v>
      </c>
      <c r="M64" s="3"/>
      <c r="N64" s="7">
        <f t="shared" si="15"/>
        <v>-8.6045148050425055E-2</v>
      </c>
      <c r="O64" s="12"/>
      <c r="P64" s="8">
        <v>1823.8</v>
      </c>
      <c r="Q64" s="3"/>
      <c r="R64" s="7">
        <f t="shared" si="16"/>
        <v>8.8084259979297544E-4</v>
      </c>
      <c r="S64" s="3"/>
      <c r="T64" s="8">
        <v>2353.3000000000002</v>
      </c>
      <c r="U64" s="3"/>
      <c r="V64" s="7">
        <f t="shared" si="17"/>
        <v>9.713206365619322E-4</v>
      </c>
      <c r="W64" s="3"/>
      <c r="X64" s="8">
        <f t="shared" si="18"/>
        <v>-529.50000000000023</v>
      </c>
      <c r="Y64" s="3"/>
      <c r="Z64" s="7">
        <f t="shared" si="19"/>
        <v>-0.22500318701398045</v>
      </c>
    </row>
    <row r="65" spans="1:26" s="68" customFormat="1" ht="15" customHeight="1" outlineLevel="1" collapsed="1" x14ac:dyDescent="0.3">
      <c r="A65" s="25"/>
      <c r="B65" s="14" t="str">
        <f>CONCATENATE("     ","*Payroll                                          ")</f>
        <v xml:space="preserve">     *Payroll                                          </v>
      </c>
      <c r="C65" s="14"/>
      <c r="D65" s="2">
        <f>SUM(OSRRefD22_1x_0)</f>
        <v>13530.35</v>
      </c>
      <c r="E65" s="2"/>
      <c r="F65" s="6">
        <f t="shared" si="12"/>
        <v>4.2276315411649265E-2</v>
      </c>
      <c r="G65" s="2"/>
      <c r="H65" s="2">
        <f>SUM(OSRRefH22_1x_0)</f>
        <v>8263.98</v>
      </c>
      <c r="I65" s="2"/>
      <c r="J65" s="6">
        <f t="shared" si="13"/>
        <v>2.0494587372327639E-2</v>
      </c>
      <c r="K65" s="2"/>
      <c r="L65" s="2">
        <f t="shared" si="14"/>
        <v>5266.3700000000008</v>
      </c>
      <c r="M65" s="2"/>
      <c r="N65" s="6">
        <f t="shared" si="15"/>
        <v>0.63726799919651322</v>
      </c>
      <c r="O65" s="14"/>
      <c r="P65" s="2">
        <f>SUM(OSRRefP22_1x_0)</f>
        <v>105835.56</v>
      </c>
      <c r="Q65" s="2"/>
      <c r="R65" s="6">
        <f t="shared" si="16"/>
        <v>5.1115511471074369E-2</v>
      </c>
      <c r="S65" s="2"/>
      <c r="T65" s="2">
        <f>SUM(OSRRefT22_1x_0)</f>
        <v>82074.94</v>
      </c>
      <c r="U65" s="2"/>
      <c r="V65" s="6">
        <f t="shared" si="17"/>
        <v>3.3876294125943306E-2</v>
      </c>
      <c r="W65" s="2"/>
      <c r="X65" s="2">
        <f t="shared" si="18"/>
        <v>23760.619999999995</v>
      </c>
      <c r="Y65" s="2"/>
      <c r="Z65" s="6">
        <f t="shared" si="19"/>
        <v>0.28949908461705842</v>
      </c>
    </row>
    <row r="66" spans="1:26" s="69" customFormat="1" ht="15" hidden="1" customHeight="1" outlineLevel="2" x14ac:dyDescent="0.3">
      <c r="A66" s="26"/>
      <c r="B66" s="12" t="str">
        <f>CONCATENATE("          ","6002"," - ","STAFF SALARIES")</f>
        <v xml:space="preserve">          6002 - STAFF SALARIES</v>
      </c>
      <c r="C66" s="12"/>
      <c r="D66" s="8">
        <v>2040</v>
      </c>
      <c r="E66" s="3"/>
      <c r="F66" s="7">
        <f t="shared" si="12"/>
        <v>6.3740910944479999E-3</v>
      </c>
      <c r="G66" s="3"/>
      <c r="H66" s="8">
        <v>2395.9899999999998</v>
      </c>
      <c r="I66" s="3"/>
      <c r="J66" s="7">
        <f t="shared" si="13"/>
        <v>5.942031127643496E-3</v>
      </c>
      <c r="K66" s="3"/>
      <c r="L66" s="8">
        <f t="shared" si="14"/>
        <v>-355.98999999999978</v>
      </c>
      <c r="M66" s="3"/>
      <c r="N66" s="7">
        <f t="shared" si="15"/>
        <v>-0.14857741476383449</v>
      </c>
      <c r="O66" s="12"/>
      <c r="P66" s="8">
        <v>18624.939999999999</v>
      </c>
      <c r="Q66" s="3"/>
      <c r="R66" s="7">
        <f t="shared" si="16"/>
        <v>8.9953068157627904E-3</v>
      </c>
      <c r="S66" s="3"/>
      <c r="T66" s="8">
        <v>23276.240000000002</v>
      </c>
      <c r="U66" s="3"/>
      <c r="V66" s="7">
        <f t="shared" si="17"/>
        <v>9.6072291053279687E-3</v>
      </c>
      <c r="W66" s="3"/>
      <c r="X66" s="8">
        <f t="shared" si="18"/>
        <v>-4651.3000000000029</v>
      </c>
      <c r="Y66" s="3"/>
      <c r="Z66" s="7">
        <f t="shared" si="19"/>
        <v>-0.19983038497626776</v>
      </c>
    </row>
    <row r="67" spans="1:26" s="69" customFormat="1" ht="15" hidden="1" customHeight="1" outlineLevel="2" x14ac:dyDescent="0.3">
      <c r="A67" s="26"/>
      <c r="B67" s="12" t="str">
        <f>CONCATENATE("          ","6004"," - ","STAFF HOURLY")</f>
        <v xml:space="preserve">          6004 - STAFF HOURLY</v>
      </c>
      <c r="C67" s="12"/>
      <c r="D67" s="8">
        <v>5423.45</v>
      </c>
      <c r="E67" s="3"/>
      <c r="F67" s="7">
        <f t="shared" si="12"/>
        <v>1.6945864875580394E-2</v>
      </c>
      <c r="G67" s="3"/>
      <c r="H67" s="8">
        <v>4790.5</v>
      </c>
      <c r="I67" s="3"/>
      <c r="J67" s="7">
        <f t="shared" si="13"/>
        <v>1.1880391870156458E-2</v>
      </c>
      <c r="K67" s="3"/>
      <c r="L67" s="8">
        <f t="shared" si="14"/>
        <v>632.94999999999982</v>
      </c>
      <c r="M67" s="3"/>
      <c r="N67" s="7">
        <f t="shared" si="15"/>
        <v>0.1321260828723515</v>
      </c>
      <c r="O67" s="12"/>
      <c r="P67" s="8">
        <v>33896.089999999997</v>
      </c>
      <c r="Q67" s="3"/>
      <c r="R67" s="7">
        <f t="shared" si="16"/>
        <v>1.6370830155947293E-2</v>
      </c>
      <c r="S67" s="3"/>
      <c r="T67" s="8">
        <v>36510.660000000003</v>
      </c>
      <c r="U67" s="3"/>
      <c r="V67" s="7">
        <f t="shared" si="17"/>
        <v>1.5069713811454671E-2</v>
      </c>
      <c r="W67" s="3"/>
      <c r="X67" s="8">
        <f t="shared" si="18"/>
        <v>-2614.570000000007</v>
      </c>
      <c r="Y67" s="3"/>
      <c r="Z67" s="7">
        <f t="shared" si="19"/>
        <v>-7.1611140417620678E-2</v>
      </c>
    </row>
    <row r="68" spans="1:26" s="69" customFormat="1" ht="15" hidden="1" customHeight="1" outlineLevel="2" x14ac:dyDescent="0.3">
      <c r="A68" s="26"/>
      <c r="B68" s="12" t="str">
        <f>CONCATENATE("          ","6005"," - ","TEMPORARY WAGES-HOURLY")</f>
        <v xml:space="preserve">          6005 - TEMPORARY WAGES-HOURLY</v>
      </c>
      <c r="C68" s="12"/>
      <c r="D68" s="8">
        <v>2758.09</v>
      </c>
      <c r="E68" s="3"/>
      <c r="F68" s="7">
        <f t="shared" si="12"/>
        <v>8.617802405238276E-3</v>
      </c>
      <c r="G68" s="3"/>
      <c r="H68" s="8"/>
      <c r="I68" s="3"/>
      <c r="J68" s="7">
        <f t="shared" si="13"/>
        <v>0</v>
      </c>
      <c r="K68" s="3"/>
      <c r="L68" s="8">
        <f t="shared" si="14"/>
        <v>2758.09</v>
      </c>
      <c r="M68" s="3"/>
      <c r="N68" s="7">
        <f t="shared" si="15"/>
        <v>0</v>
      </c>
      <c r="O68" s="12"/>
      <c r="P68" s="8">
        <v>14713.03</v>
      </c>
      <c r="Q68" s="3"/>
      <c r="R68" s="7">
        <f t="shared" si="16"/>
        <v>7.1059675381248176E-3</v>
      </c>
      <c r="S68" s="3"/>
      <c r="T68" s="8"/>
      <c r="U68" s="3"/>
      <c r="V68" s="7">
        <f t="shared" si="17"/>
        <v>0</v>
      </c>
      <c r="W68" s="3"/>
      <c r="X68" s="8">
        <f t="shared" si="18"/>
        <v>14713.03</v>
      </c>
      <c r="Y68" s="3"/>
      <c r="Z68" s="7">
        <f t="shared" si="19"/>
        <v>0</v>
      </c>
    </row>
    <row r="69" spans="1:26" s="69" customFormat="1" ht="15" hidden="1" customHeight="1" outlineLevel="2" x14ac:dyDescent="0.3">
      <c r="A69" s="26"/>
      <c r="B69" s="12" t="str">
        <f>CONCATENATE("          ","6007"," - ","STUDENT HOURLY")</f>
        <v xml:space="preserve">          6007 - STUDENT HOURLY</v>
      </c>
      <c r="C69" s="12"/>
      <c r="D69" s="8">
        <v>3308.81</v>
      </c>
      <c r="E69" s="3"/>
      <c r="F69" s="7">
        <f t="shared" si="12"/>
        <v>1.0338557036382591E-2</v>
      </c>
      <c r="G69" s="3"/>
      <c r="H69" s="8">
        <v>1077.49</v>
      </c>
      <c r="I69" s="3"/>
      <c r="J69" s="7">
        <f t="shared" si="13"/>
        <v>2.6721643745276865E-3</v>
      </c>
      <c r="K69" s="3"/>
      <c r="L69" s="8">
        <f t="shared" si="14"/>
        <v>2231.3199999999997</v>
      </c>
      <c r="M69" s="3"/>
      <c r="N69" s="7">
        <f t="shared" si="15"/>
        <v>2.0708498454742035</v>
      </c>
      <c r="O69" s="12"/>
      <c r="P69" s="8">
        <v>32455.87</v>
      </c>
      <c r="Q69" s="3"/>
      <c r="R69" s="7">
        <f t="shared" si="16"/>
        <v>1.5675245591261561E-2</v>
      </c>
      <c r="S69" s="3"/>
      <c r="T69" s="8">
        <v>22288.04</v>
      </c>
      <c r="U69" s="3"/>
      <c r="V69" s="7">
        <f t="shared" si="17"/>
        <v>9.1993512091606711E-3</v>
      </c>
      <c r="W69" s="3"/>
      <c r="X69" s="8">
        <f t="shared" si="18"/>
        <v>10167.829999999998</v>
      </c>
      <c r="Y69" s="3"/>
      <c r="Z69" s="7">
        <f t="shared" si="19"/>
        <v>0.45620117336472826</v>
      </c>
    </row>
    <row r="70" spans="1:26" s="69" customFormat="1" ht="15" hidden="1" customHeight="1" outlineLevel="2" x14ac:dyDescent="0.3">
      <c r="A70" s="26"/>
      <c r="B70" s="12" t="str">
        <f>CONCATENATE("          ","6008"," - ","STUDENT HOURLY-FICA EXEMPT")</f>
        <v xml:space="preserve">          6008 - STUDENT HOURLY-FICA EXEMPT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>
        <v>6145.63</v>
      </c>
      <c r="Q70" s="3"/>
      <c r="R70" s="7">
        <f t="shared" si="16"/>
        <v>2.9681613699779055E-3</v>
      </c>
      <c r="S70" s="3"/>
      <c r="T70" s="8"/>
      <c r="U70" s="3"/>
      <c r="V70" s="7">
        <f t="shared" si="17"/>
        <v>0</v>
      </c>
      <c r="W70" s="3"/>
      <c r="X70" s="8">
        <f t="shared" si="18"/>
        <v>6145.63</v>
      </c>
      <c r="Y70" s="3"/>
      <c r="Z70" s="7">
        <f t="shared" si="19"/>
        <v>0</v>
      </c>
    </row>
    <row r="71" spans="1:26" s="68" customFormat="1" ht="15" customHeight="1" outlineLevel="1" collapsed="1" x14ac:dyDescent="0.3">
      <c r="A71" s="25"/>
      <c r="B71" s="14" t="str">
        <f>CONCATENATE("     ","Advertising/Promo                                 ")</f>
        <v xml:space="preserve">     Advertising/Promo                                 </v>
      </c>
      <c r="C71" s="14"/>
      <c r="D71" s="2">
        <f>SUM(OSRRefD22_2x_0)</f>
        <v>0</v>
      </c>
      <c r="E71" s="2"/>
      <c r="F71" s="6">
        <f t="shared" si="12"/>
        <v>0</v>
      </c>
      <c r="G71" s="2"/>
      <c r="H71" s="2">
        <f>SUM(OSRRefH22_2x_0)</f>
        <v>26.46</v>
      </c>
      <c r="I71" s="2"/>
      <c r="J71" s="6">
        <f t="shared" si="13"/>
        <v>6.5620534158092024E-5</v>
      </c>
      <c r="K71" s="2"/>
      <c r="L71" s="2">
        <f t="shared" si="14"/>
        <v>-26.46</v>
      </c>
      <c r="M71" s="2"/>
      <c r="N71" s="6">
        <f t="shared" si="15"/>
        <v>-1</v>
      </c>
      <c r="O71" s="14"/>
      <c r="P71" s="2">
        <f>SUM(OSRRefP22_2x_0)</f>
        <v>178.97</v>
      </c>
      <c r="Q71" s="2"/>
      <c r="R71" s="6">
        <f t="shared" si="16"/>
        <v>8.6437328701035641E-5</v>
      </c>
      <c r="S71" s="2"/>
      <c r="T71" s="2">
        <f>SUM(OSRRefT22_2x_0)</f>
        <v>625.39</v>
      </c>
      <c r="U71" s="2"/>
      <c r="V71" s="6">
        <f t="shared" si="17"/>
        <v>2.5812867585920486E-4</v>
      </c>
      <c r="W71" s="2"/>
      <c r="X71" s="2">
        <f t="shared" si="18"/>
        <v>-446.41999999999996</v>
      </c>
      <c r="Y71" s="2"/>
      <c r="Z71" s="6">
        <f t="shared" si="19"/>
        <v>-0.71382657221893531</v>
      </c>
    </row>
    <row r="72" spans="1:26" s="69" customFormat="1" ht="15" hidden="1" customHeight="1" outlineLevel="2" x14ac:dyDescent="0.3">
      <c r="A72" s="26"/>
      <c r="B72" s="12" t="str">
        <f>CONCATENATE("          ","6362"," - ","ADVERTISING EXPENSE")</f>
        <v xml:space="preserve">          6362 - ADVERTISING EXPENSE</v>
      </c>
      <c r="C72" s="12"/>
      <c r="D72" s="8"/>
      <c r="E72" s="3"/>
      <c r="F72" s="7">
        <f t="shared" si="12"/>
        <v>0</v>
      </c>
      <c r="G72" s="3"/>
      <c r="H72" s="8">
        <v>26.46</v>
      </c>
      <c r="I72" s="3"/>
      <c r="J72" s="7">
        <f t="shared" si="13"/>
        <v>6.5620534158092024E-5</v>
      </c>
      <c r="K72" s="3"/>
      <c r="L72" s="8">
        <f t="shared" si="14"/>
        <v>-26.46</v>
      </c>
      <c r="M72" s="3"/>
      <c r="N72" s="7">
        <f t="shared" si="15"/>
        <v>-1</v>
      </c>
      <c r="O72" s="12"/>
      <c r="P72" s="8">
        <v>178.97</v>
      </c>
      <c r="Q72" s="3"/>
      <c r="R72" s="7">
        <f t="shared" si="16"/>
        <v>8.6437328701035641E-5</v>
      </c>
      <c r="S72" s="3"/>
      <c r="T72" s="8">
        <v>625.39</v>
      </c>
      <c r="U72" s="3"/>
      <c r="V72" s="7">
        <f t="shared" si="17"/>
        <v>2.5812867585920486E-4</v>
      </c>
      <c r="W72" s="3"/>
      <c r="X72" s="8">
        <f t="shared" si="18"/>
        <v>-446.41999999999996</v>
      </c>
      <c r="Y72" s="3"/>
      <c r="Z72" s="7">
        <f t="shared" si="19"/>
        <v>-0.71382657221893531</v>
      </c>
    </row>
    <row r="73" spans="1:26" s="68" customFormat="1" ht="15" customHeight="1" outlineLevel="1" collapsed="1" x14ac:dyDescent="0.3">
      <c r="A73" s="25"/>
      <c r="B73" s="14" t="str">
        <f>CONCATENATE("     ","Depreciation                                      ")</f>
        <v xml:space="preserve">     Depreciation                                      </v>
      </c>
      <c r="C73" s="14"/>
      <c r="D73" s="2">
        <f>SUM(OSRRefD22_3x_0)</f>
        <v>280.44</v>
      </c>
      <c r="E73" s="2"/>
      <c r="F73" s="6">
        <f t="shared" si="12"/>
        <v>8.7625005221911615E-4</v>
      </c>
      <c r="G73" s="2"/>
      <c r="H73" s="2">
        <f>SUM(OSRRefH22_3x_0)</f>
        <v>280.44</v>
      </c>
      <c r="I73" s="2"/>
      <c r="J73" s="6">
        <f t="shared" si="13"/>
        <v>6.9548838243746513E-4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SUM(OSRRefP22_3x_0)</f>
        <v>2804.4</v>
      </c>
      <c r="Q73" s="2"/>
      <c r="R73" s="6">
        <f t="shared" si="16"/>
        <v>1.3544440107793731E-3</v>
      </c>
      <c r="S73" s="2"/>
      <c r="T73" s="2">
        <f>SUM(OSRRefT22_3x_0)</f>
        <v>2804.4</v>
      </c>
      <c r="U73" s="2"/>
      <c r="V73" s="6">
        <f t="shared" si="17"/>
        <v>1.1575114066095622E-3</v>
      </c>
      <c r="W73" s="2"/>
      <c r="X73" s="2">
        <f t="shared" si="18"/>
        <v>0</v>
      </c>
      <c r="Y73" s="2"/>
      <c r="Z73" s="6">
        <f t="shared" si="19"/>
        <v>0</v>
      </c>
    </row>
    <row r="74" spans="1:26" s="69" customFormat="1" ht="15" hidden="1" customHeight="1" outlineLevel="2" x14ac:dyDescent="0.3">
      <c r="A74" s="26"/>
      <c r="B74" s="12" t="str">
        <f>CONCATENATE("          ","6322"," - ","EQUIPMENT DEPRECIATION EXPENSE")</f>
        <v xml:space="preserve">          6322 - EQUIPMENT DEPRECIATION EXPENSE</v>
      </c>
      <c r="C74" s="12"/>
      <c r="D74" s="8">
        <v>280.44</v>
      </c>
      <c r="E74" s="3"/>
      <c r="F74" s="7">
        <f t="shared" si="12"/>
        <v>8.7625005221911615E-4</v>
      </c>
      <c r="G74" s="3"/>
      <c r="H74" s="8">
        <v>280.44</v>
      </c>
      <c r="I74" s="3"/>
      <c r="J74" s="7">
        <f t="shared" si="13"/>
        <v>6.9548838243746513E-4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2804.4</v>
      </c>
      <c r="Q74" s="3"/>
      <c r="R74" s="7">
        <f t="shared" si="16"/>
        <v>1.3544440107793731E-3</v>
      </c>
      <c r="S74" s="3"/>
      <c r="T74" s="8">
        <v>2804.4</v>
      </c>
      <c r="U74" s="3"/>
      <c r="V74" s="7">
        <f t="shared" si="17"/>
        <v>1.1575114066095622E-3</v>
      </c>
      <c r="W74" s="3"/>
      <c r="X74" s="8">
        <f t="shared" si="18"/>
        <v>0</v>
      </c>
      <c r="Y74" s="3"/>
      <c r="Z74" s="7">
        <f t="shared" si="19"/>
        <v>0</v>
      </c>
    </row>
    <row r="75" spans="1:26" s="68" customFormat="1" ht="15" customHeight="1" outlineLevel="1" collapsed="1" x14ac:dyDescent="0.3">
      <c r="A75" s="25"/>
      <c r="B75" s="14" t="str">
        <f>CONCATENATE("     ","Discounts and Markdowns                           ")</f>
        <v xml:space="preserve">     Discounts and Markdowns                           </v>
      </c>
      <c r="C75" s="14"/>
      <c r="D75" s="2">
        <f>SUM(OSRRefD22_4x_0)</f>
        <v>0</v>
      </c>
      <c r="E75" s="2"/>
      <c r="F75" s="6">
        <f t="shared" si="12"/>
        <v>0</v>
      </c>
      <c r="G75" s="2"/>
      <c r="H75" s="2">
        <f>SUM(OSRRefH22_4x_0)</f>
        <v>0</v>
      </c>
      <c r="I75" s="2"/>
      <c r="J75" s="6">
        <f t="shared" si="13"/>
        <v>0</v>
      </c>
      <c r="K75" s="2"/>
      <c r="L75" s="2">
        <f t="shared" si="14"/>
        <v>0</v>
      </c>
      <c r="M75" s="2"/>
      <c r="N75" s="6">
        <f t="shared" si="15"/>
        <v>0</v>
      </c>
      <c r="O75" s="14"/>
      <c r="P75" s="2">
        <f>SUM(OSRRefP22_4x_0)</f>
        <v>0</v>
      </c>
      <c r="Q75" s="2"/>
      <c r="R75" s="6">
        <f t="shared" si="16"/>
        <v>0</v>
      </c>
      <c r="S75" s="2"/>
      <c r="T75" s="2">
        <f>SUM(OSRRefT22_4x_0)</f>
        <v>0</v>
      </c>
      <c r="U75" s="2"/>
      <c r="V75" s="6">
        <f t="shared" si="17"/>
        <v>0</v>
      </c>
      <c r="W75" s="2"/>
      <c r="X75" s="2">
        <f t="shared" si="18"/>
        <v>0</v>
      </c>
      <c r="Y75" s="2"/>
      <c r="Z75" s="6">
        <f t="shared" si="19"/>
        <v>0</v>
      </c>
    </row>
    <row r="76" spans="1:26" s="69" customFormat="1" ht="15" hidden="1" customHeight="1" outlineLevel="2" x14ac:dyDescent="0.3">
      <c r="A76" s="26"/>
      <c r="B76" s="12" t="str">
        <f>CONCATENATE("          ","6382"," - ","DISCOUNTS/MARK DOWNS")</f>
        <v xml:space="preserve">          6382 - DISCOUNTS/MARK DOWNS</v>
      </c>
      <c r="C76" s="12"/>
      <c r="D76" s="8"/>
      <c r="E76" s="3"/>
      <c r="F76" s="7">
        <f t="shared" si="12"/>
        <v>0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/>
      <c r="Q76" s="3"/>
      <c r="R76" s="7">
        <f t="shared" si="16"/>
        <v>0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0</v>
      </c>
      <c r="Y76" s="3"/>
      <c r="Z76" s="7">
        <f t="shared" si="19"/>
        <v>0</v>
      </c>
    </row>
    <row r="77" spans="1:26" s="68" customFormat="1" ht="15" customHeight="1" outlineLevel="1" collapsed="1" x14ac:dyDescent="0.3">
      <c r="A77" s="25"/>
      <c r="B77" s="14" t="str">
        <f>CONCATENATE("     ","Freight out/Postage                               ")</f>
        <v xml:space="preserve">     Freight out/Postage                               </v>
      </c>
      <c r="C77" s="14"/>
      <c r="D77" s="2">
        <f>SUM(OSRRefD22_5x_0)</f>
        <v>0</v>
      </c>
      <c r="E77" s="2"/>
      <c r="F77" s="6">
        <f t="shared" si="12"/>
        <v>0</v>
      </c>
      <c r="G77" s="2"/>
      <c r="H77" s="2">
        <f>SUM(OSRRefH22_5x_0)</f>
        <v>26.99</v>
      </c>
      <c r="I77" s="2"/>
      <c r="J77" s="6">
        <f t="shared" si="13"/>
        <v>6.693492883321632E-5</v>
      </c>
      <c r="K77" s="2"/>
      <c r="L77" s="2">
        <f t="shared" si="14"/>
        <v>-26.99</v>
      </c>
      <c r="M77" s="2"/>
      <c r="N77" s="6">
        <f t="shared" si="15"/>
        <v>-1</v>
      </c>
      <c r="O77" s="14"/>
      <c r="P77" s="2">
        <f>SUM(OSRRefP22_5x_0)</f>
        <v>122.13</v>
      </c>
      <c r="Q77" s="2"/>
      <c r="R77" s="6">
        <f t="shared" si="16"/>
        <v>5.8985254256341748E-5</v>
      </c>
      <c r="S77" s="2"/>
      <c r="T77" s="2">
        <f>SUM(OSRRefT22_5x_0)</f>
        <v>1641.28</v>
      </c>
      <c r="U77" s="2"/>
      <c r="V77" s="6">
        <f t="shared" si="17"/>
        <v>6.7743557318504565E-4</v>
      </c>
      <c r="W77" s="2"/>
      <c r="X77" s="2">
        <f t="shared" si="18"/>
        <v>-1519.15</v>
      </c>
      <c r="Y77" s="2"/>
      <c r="Z77" s="6">
        <f t="shared" si="19"/>
        <v>-0.92558856502242159</v>
      </c>
    </row>
    <row r="78" spans="1:26" s="69" customFormat="1" ht="15" hidden="1" customHeight="1" outlineLevel="2" x14ac:dyDescent="0.3">
      <c r="A78" s="26"/>
      <c r="B78" s="12" t="str">
        <f>CONCATENATE("          ","6305"," - ","FREIGHT OUT")</f>
        <v xml:space="preserve">          6305 - FREIGHT OUT</v>
      </c>
      <c r="C78" s="12"/>
      <c r="D78" s="8"/>
      <c r="E78" s="3"/>
      <c r="F78" s="7">
        <f t="shared" si="12"/>
        <v>0</v>
      </c>
      <c r="G78" s="3"/>
      <c r="H78" s="8">
        <v>26.99</v>
      </c>
      <c r="I78" s="3"/>
      <c r="J78" s="7">
        <f t="shared" si="13"/>
        <v>6.693492883321632E-5</v>
      </c>
      <c r="K78" s="3"/>
      <c r="L78" s="8">
        <f t="shared" si="14"/>
        <v>-26.99</v>
      </c>
      <c r="M78" s="3"/>
      <c r="N78" s="7">
        <f t="shared" si="15"/>
        <v>-1</v>
      </c>
      <c r="O78" s="12"/>
      <c r="P78" s="8">
        <v>122.13</v>
      </c>
      <c r="Q78" s="3"/>
      <c r="R78" s="7">
        <f t="shared" si="16"/>
        <v>5.8985254256341748E-5</v>
      </c>
      <c r="S78" s="3"/>
      <c r="T78" s="8">
        <v>1628.68</v>
      </c>
      <c r="U78" s="3"/>
      <c r="V78" s="7">
        <f t="shared" si="17"/>
        <v>6.7223494427216574E-4</v>
      </c>
      <c r="W78" s="3"/>
      <c r="X78" s="8">
        <f t="shared" si="18"/>
        <v>-1506.5500000000002</v>
      </c>
      <c r="Y78" s="3"/>
      <c r="Z78" s="7">
        <f t="shared" si="19"/>
        <v>-0.92501289387725039</v>
      </c>
    </row>
    <row r="79" spans="1:26" s="69" customFormat="1" ht="15" hidden="1" customHeight="1" outlineLevel="2" x14ac:dyDescent="0.3">
      <c r="A79" s="26"/>
      <c r="B79" s="12" t="str">
        <f>CONCATENATE("          ","6307"," - ","POSTAGE")</f>
        <v xml:space="preserve">          6307 - POSTAGE</v>
      </c>
      <c r="C79" s="12"/>
      <c r="D79" s="8"/>
      <c r="E79" s="3"/>
      <c r="F79" s="7">
        <f t="shared" si="12"/>
        <v>0</v>
      </c>
      <c r="G79" s="3"/>
      <c r="H79" s="8"/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12.6</v>
      </c>
      <c r="U79" s="3"/>
      <c r="V79" s="7">
        <f t="shared" si="17"/>
        <v>5.2006289128799322E-6</v>
      </c>
      <c r="W79" s="3"/>
      <c r="X79" s="8">
        <f t="shared" si="18"/>
        <v>-12.6</v>
      </c>
      <c r="Y79" s="3"/>
      <c r="Z79" s="7">
        <f t="shared" si="19"/>
        <v>-1</v>
      </c>
    </row>
    <row r="80" spans="1:26" s="68" customFormat="1" ht="15" customHeight="1" outlineLevel="1" collapsed="1" x14ac:dyDescent="0.3">
      <c r="A80" s="25"/>
      <c r="B80" s="14" t="str">
        <f>CONCATENATE("     ","General                                           ")</f>
        <v xml:space="preserve">     General                                           </v>
      </c>
      <c r="C80" s="14"/>
      <c r="D80" s="2">
        <f>SUM(OSRRefD22_6x_0)</f>
        <v>285</v>
      </c>
      <c r="E80" s="2"/>
      <c r="F80" s="6">
        <f t="shared" si="12"/>
        <v>8.9049802054788228E-4</v>
      </c>
      <c r="G80" s="2"/>
      <c r="H80" s="2">
        <f>SUM(OSRRefH22_6x_0)</f>
        <v>0</v>
      </c>
      <c r="I80" s="2"/>
      <c r="J80" s="6">
        <f t="shared" si="13"/>
        <v>0</v>
      </c>
      <c r="K80" s="2"/>
      <c r="L80" s="2">
        <f t="shared" si="14"/>
        <v>285</v>
      </c>
      <c r="M80" s="2"/>
      <c r="N80" s="6">
        <f t="shared" si="15"/>
        <v>0</v>
      </c>
      <c r="O80" s="14"/>
      <c r="P80" s="2">
        <f>SUM(OSRRefP22_6x_0)</f>
        <v>285</v>
      </c>
      <c r="Q80" s="2"/>
      <c r="R80" s="6">
        <f t="shared" si="16"/>
        <v>1.3764674906294441E-4</v>
      </c>
      <c r="S80" s="2"/>
      <c r="T80" s="2">
        <f>SUM(OSRRefT22_6x_0)</f>
        <v>-30.15</v>
      </c>
      <c r="U80" s="2"/>
      <c r="V80" s="6">
        <f t="shared" si="17"/>
        <v>-1.2444362041534123E-5</v>
      </c>
      <c r="W80" s="2"/>
      <c r="X80" s="2">
        <f t="shared" si="18"/>
        <v>315.14999999999998</v>
      </c>
      <c r="Y80" s="2"/>
      <c r="Z80" s="6">
        <f t="shared" si="19"/>
        <v>-10.452736318407959</v>
      </c>
    </row>
    <row r="81" spans="1:26" s="69" customFormat="1" ht="15" hidden="1" customHeight="1" outlineLevel="2" x14ac:dyDescent="0.3">
      <c r="A81" s="26"/>
      <c r="B81" s="12" t="str">
        <f>CONCATENATE("          ","6279"," - ","GENERAL EXPENSE")</f>
        <v xml:space="preserve">          6279 - GENERAL EXPENSE</v>
      </c>
      <c r="C81" s="12"/>
      <c r="D81" s="8">
        <v>285</v>
      </c>
      <c r="E81" s="3"/>
      <c r="F81" s="7">
        <f t="shared" si="12"/>
        <v>8.9049802054788228E-4</v>
      </c>
      <c r="G81" s="3"/>
      <c r="H81" s="8"/>
      <c r="I81" s="3"/>
      <c r="J81" s="7">
        <f t="shared" si="13"/>
        <v>0</v>
      </c>
      <c r="K81" s="3"/>
      <c r="L81" s="8">
        <f t="shared" si="14"/>
        <v>285</v>
      </c>
      <c r="M81" s="3"/>
      <c r="N81" s="7">
        <f t="shared" si="15"/>
        <v>0</v>
      </c>
      <c r="O81" s="12"/>
      <c r="P81" s="8">
        <v>285</v>
      </c>
      <c r="Q81" s="3"/>
      <c r="R81" s="7">
        <f t="shared" si="16"/>
        <v>1.3764674906294441E-4</v>
      </c>
      <c r="S81" s="3"/>
      <c r="T81" s="8">
        <v>-30.15</v>
      </c>
      <c r="U81" s="3"/>
      <c r="V81" s="7">
        <f t="shared" si="17"/>
        <v>-1.2444362041534123E-5</v>
      </c>
      <c r="W81" s="3"/>
      <c r="X81" s="8">
        <f t="shared" si="18"/>
        <v>315.14999999999998</v>
      </c>
      <c r="Y81" s="3"/>
      <c r="Z81" s="7">
        <f t="shared" si="19"/>
        <v>-10.452736318407959</v>
      </c>
    </row>
    <row r="82" spans="1:26" s="68" customFormat="1" ht="15" customHeight="1" outlineLevel="1" collapsed="1" x14ac:dyDescent="0.3">
      <c r="A82" s="25"/>
      <c r="B82" s="14" t="str">
        <f>CONCATENATE("     ","Inventory Adjustment                              ")</f>
        <v xml:space="preserve">     Inventory Adjustment                              </v>
      </c>
      <c r="C82" s="14"/>
      <c r="D82" s="2">
        <f>SUM(OSRRefD22_7x_0)</f>
        <v>1100</v>
      </c>
      <c r="E82" s="2"/>
      <c r="F82" s="6">
        <f t="shared" si="12"/>
        <v>3.4370099038690195E-3</v>
      </c>
      <c r="G82" s="2"/>
      <c r="H82" s="2">
        <f>SUM(OSRRefH22_7x_0)</f>
        <v>1250</v>
      </c>
      <c r="I82" s="2"/>
      <c r="J82" s="6">
        <f t="shared" si="13"/>
        <v>3.0999874413308783E-3</v>
      </c>
      <c r="K82" s="2"/>
      <c r="L82" s="2">
        <f t="shared" si="14"/>
        <v>-150</v>
      </c>
      <c r="M82" s="2"/>
      <c r="N82" s="6">
        <f t="shared" si="15"/>
        <v>-0.12</v>
      </c>
      <c r="O82" s="14"/>
      <c r="P82" s="2">
        <f>SUM(OSRRefP22_7x_0)</f>
        <v>8640</v>
      </c>
      <c r="Q82" s="2"/>
      <c r="R82" s="6">
        <f t="shared" si="16"/>
        <v>4.1728698663292619E-3</v>
      </c>
      <c r="S82" s="2"/>
      <c r="T82" s="2">
        <f>SUM(OSRRefT22_7x_0)</f>
        <v>12500</v>
      </c>
      <c r="U82" s="2"/>
      <c r="V82" s="6">
        <f t="shared" si="17"/>
        <v>5.1593540802380286E-3</v>
      </c>
      <c r="W82" s="2"/>
      <c r="X82" s="2">
        <f t="shared" si="18"/>
        <v>-3860</v>
      </c>
      <c r="Y82" s="2"/>
      <c r="Z82" s="6">
        <f t="shared" si="19"/>
        <v>-0.30880000000000002</v>
      </c>
    </row>
    <row r="83" spans="1:26" s="69" customFormat="1" ht="15" hidden="1" customHeight="1" outlineLevel="2" x14ac:dyDescent="0.3">
      <c r="A83" s="26"/>
      <c r="B83" s="12" t="str">
        <f>CONCATENATE("          ","6408"," - ","INVENTORY ADJUSTMENT")</f>
        <v xml:space="preserve">          6408 - INVENTORY ADJUSTMENT</v>
      </c>
      <c r="C83" s="12"/>
      <c r="D83" s="8">
        <v>1100</v>
      </c>
      <c r="E83" s="3"/>
      <c r="F83" s="7">
        <f t="shared" si="12"/>
        <v>3.4370099038690195E-3</v>
      </c>
      <c r="G83" s="3"/>
      <c r="H83" s="8">
        <v>1250</v>
      </c>
      <c r="I83" s="3"/>
      <c r="J83" s="7">
        <f t="shared" si="13"/>
        <v>3.0999874413308783E-3</v>
      </c>
      <c r="K83" s="3"/>
      <c r="L83" s="8">
        <f t="shared" si="14"/>
        <v>-150</v>
      </c>
      <c r="M83" s="3"/>
      <c r="N83" s="7">
        <f t="shared" si="15"/>
        <v>-0.12</v>
      </c>
      <c r="O83" s="12"/>
      <c r="P83" s="8">
        <v>8640</v>
      </c>
      <c r="Q83" s="3"/>
      <c r="R83" s="7">
        <f t="shared" si="16"/>
        <v>4.1728698663292619E-3</v>
      </c>
      <c r="S83" s="3"/>
      <c r="T83" s="8">
        <v>12500</v>
      </c>
      <c r="U83" s="3"/>
      <c r="V83" s="7">
        <f t="shared" si="17"/>
        <v>5.1593540802380286E-3</v>
      </c>
      <c r="W83" s="3"/>
      <c r="X83" s="8">
        <f t="shared" si="18"/>
        <v>-3860</v>
      </c>
      <c r="Y83" s="3"/>
      <c r="Z83" s="7">
        <f t="shared" si="19"/>
        <v>-0.30880000000000002</v>
      </c>
    </row>
    <row r="84" spans="1:26" s="68" customFormat="1" ht="15" customHeight="1" outlineLevel="1" collapsed="1" x14ac:dyDescent="0.3">
      <c r="A84" s="25"/>
      <c r="B84" s="14" t="str">
        <f>CONCATENATE("     ","Repair and Maintenance                            ")</f>
        <v xml:space="preserve">     Repair and Maintenance                            </v>
      </c>
      <c r="C84" s="14"/>
      <c r="D84" s="2">
        <f>SUM(OSRRefD22_8x_0)</f>
        <v>0</v>
      </c>
      <c r="E84" s="2"/>
      <c r="F84" s="6">
        <f t="shared" si="12"/>
        <v>0</v>
      </c>
      <c r="G84" s="2"/>
      <c r="H84" s="2">
        <f>SUM(OSRRefH22_8x_0)</f>
        <v>0</v>
      </c>
      <c r="I84" s="2"/>
      <c r="J84" s="6">
        <f t="shared" si="13"/>
        <v>0</v>
      </c>
      <c r="K84" s="2"/>
      <c r="L84" s="2">
        <f t="shared" si="14"/>
        <v>0</v>
      </c>
      <c r="M84" s="2"/>
      <c r="N84" s="6">
        <f t="shared" si="15"/>
        <v>0</v>
      </c>
      <c r="O84" s="14"/>
      <c r="P84" s="2">
        <f>SUM(OSRRefP22_8x_0)</f>
        <v>1550</v>
      </c>
      <c r="Q84" s="2"/>
      <c r="R84" s="6">
        <f t="shared" si="16"/>
        <v>7.4860512648268008E-4</v>
      </c>
      <c r="S84" s="2"/>
      <c r="T84" s="2">
        <f>SUM(OSRRefT22_8x_0)</f>
        <v>1550</v>
      </c>
      <c r="U84" s="2"/>
      <c r="V84" s="6">
        <f t="shared" si="17"/>
        <v>6.3975990594951555E-4</v>
      </c>
      <c r="W84" s="2"/>
      <c r="X84" s="2">
        <f t="shared" si="18"/>
        <v>0</v>
      </c>
      <c r="Y84" s="2"/>
      <c r="Z84" s="6">
        <f t="shared" si="19"/>
        <v>0</v>
      </c>
    </row>
    <row r="85" spans="1:26" s="69" customFormat="1" ht="15" hidden="1" customHeight="1" outlineLevel="2" x14ac:dyDescent="0.3">
      <c r="A85" s="26"/>
      <c r="B85" s="12" t="str">
        <f>CONCATENATE("          ","6371"," - ","COMPUTER SOFTWARE MAINTENANCE")</f>
        <v xml:space="preserve">          6371 - COMPUTER SOFTWARE MAINTENANCE</v>
      </c>
      <c r="C85" s="12"/>
      <c r="D85" s="8"/>
      <c r="E85" s="3"/>
      <c r="F85" s="7">
        <f t="shared" si="12"/>
        <v>0</v>
      </c>
      <c r="G85" s="3"/>
      <c r="H85" s="8"/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>
        <v>1550</v>
      </c>
      <c r="Q85" s="3"/>
      <c r="R85" s="7">
        <f t="shared" si="16"/>
        <v>7.4860512648268008E-4</v>
      </c>
      <c r="S85" s="3"/>
      <c r="T85" s="8">
        <v>1550</v>
      </c>
      <c r="U85" s="3"/>
      <c r="V85" s="7">
        <f t="shared" si="17"/>
        <v>6.3975990594951555E-4</v>
      </c>
      <c r="W85" s="3"/>
      <c r="X85" s="8">
        <f t="shared" si="18"/>
        <v>0</v>
      </c>
      <c r="Y85" s="3"/>
      <c r="Z85" s="7">
        <f t="shared" si="19"/>
        <v>0</v>
      </c>
    </row>
    <row r="86" spans="1:26" s="68" customFormat="1" ht="15" customHeight="1" outlineLevel="1" collapsed="1" x14ac:dyDescent="0.3">
      <c r="A86" s="2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SUM(OSRRefD22_9x_0)</f>
        <v>0</v>
      </c>
      <c r="E86" s="2"/>
      <c r="F86" s="6">
        <f t="shared" si="12"/>
        <v>0</v>
      </c>
      <c r="G86" s="2"/>
      <c r="H86" s="2">
        <f>SUM(OSRRefH22_9x_0)</f>
        <v>142.22</v>
      </c>
      <c r="I86" s="2"/>
      <c r="J86" s="6">
        <f t="shared" si="13"/>
        <v>3.5270417112486196E-4</v>
      </c>
      <c r="K86" s="2"/>
      <c r="L86" s="2">
        <f t="shared" si="14"/>
        <v>-142.22</v>
      </c>
      <c r="M86" s="2"/>
      <c r="N86" s="6">
        <f t="shared" si="15"/>
        <v>-1</v>
      </c>
      <c r="O86" s="14"/>
      <c r="P86" s="2">
        <f>SUM(OSRRefP22_9x_0)</f>
        <v>0</v>
      </c>
      <c r="Q86" s="2"/>
      <c r="R86" s="6">
        <f t="shared" si="16"/>
        <v>0</v>
      </c>
      <c r="S86" s="2"/>
      <c r="T86" s="2">
        <f>SUM(OSRRefT22_9x_0)</f>
        <v>142.22</v>
      </c>
      <c r="U86" s="2"/>
      <c r="V86" s="6">
        <f t="shared" si="17"/>
        <v>5.8701066983316191E-5</v>
      </c>
      <c r="W86" s="2"/>
      <c r="X86" s="2">
        <f t="shared" si="18"/>
        <v>-142.22</v>
      </c>
      <c r="Y86" s="2"/>
      <c r="Z86" s="6">
        <f t="shared" si="19"/>
        <v>-1</v>
      </c>
    </row>
    <row r="87" spans="1:26" s="69" customFormat="1" ht="15" hidden="1" customHeight="1" outlineLevel="2" x14ac:dyDescent="0.3">
      <c r="A87" s="26"/>
      <c r="B87" s="12" t="str">
        <f>CONCATENATE("          ","6275"," - ","SUBSCRIPTIONS")</f>
        <v xml:space="preserve">          6275 - SUBSCRIPTIONS</v>
      </c>
      <c r="C87" s="12"/>
      <c r="D87" s="8"/>
      <c r="E87" s="3"/>
      <c r="F87" s="7">
        <f t="shared" si="12"/>
        <v>0</v>
      </c>
      <c r="G87" s="3"/>
      <c r="H87" s="8">
        <v>142.22</v>
      </c>
      <c r="I87" s="3"/>
      <c r="J87" s="7">
        <f t="shared" si="13"/>
        <v>3.5270417112486196E-4</v>
      </c>
      <c r="K87" s="3"/>
      <c r="L87" s="8">
        <f t="shared" si="14"/>
        <v>-142.22</v>
      </c>
      <c r="M87" s="3"/>
      <c r="N87" s="7">
        <f t="shared" si="15"/>
        <v>-1</v>
      </c>
      <c r="O87" s="12"/>
      <c r="P87" s="8"/>
      <c r="Q87" s="3"/>
      <c r="R87" s="7">
        <f t="shared" si="16"/>
        <v>0</v>
      </c>
      <c r="S87" s="3"/>
      <c r="T87" s="8">
        <v>142.22</v>
      </c>
      <c r="U87" s="3"/>
      <c r="V87" s="7">
        <f t="shared" si="17"/>
        <v>5.8701066983316191E-5</v>
      </c>
      <c r="W87" s="3"/>
      <c r="X87" s="8">
        <f t="shared" si="18"/>
        <v>-142.22</v>
      </c>
      <c r="Y87" s="3"/>
      <c r="Z87" s="7">
        <f t="shared" si="19"/>
        <v>-1</v>
      </c>
    </row>
    <row r="88" spans="1:26" s="68" customFormat="1" ht="15" customHeight="1" outlineLevel="1" collapsed="1" x14ac:dyDescent="0.3">
      <c r="A88" s="25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SUM(OSRRefD22_10x_0)</f>
        <v>1549.15</v>
      </c>
      <c r="E88" s="2"/>
      <c r="F88" s="6">
        <f t="shared" si="12"/>
        <v>4.8404035387079013E-3</v>
      </c>
      <c r="G88" s="2"/>
      <c r="H88" s="2">
        <f>SUM(OSRRefH22_10x_0)</f>
        <v>19.559999999999999</v>
      </c>
      <c r="I88" s="2"/>
      <c r="J88" s="6">
        <f t="shared" si="13"/>
        <v>4.8508603481945579E-5</v>
      </c>
      <c r="K88" s="2"/>
      <c r="L88" s="2">
        <f t="shared" si="14"/>
        <v>1529.5900000000001</v>
      </c>
      <c r="M88" s="2"/>
      <c r="N88" s="6">
        <f t="shared" si="15"/>
        <v>78.199897750511255</v>
      </c>
      <c r="O88" s="14"/>
      <c r="P88" s="2">
        <f>SUM(OSRRefP22_10x_0)</f>
        <v>4930.8999999999996</v>
      </c>
      <c r="Q88" s="2"/>
      <c r="R88" s="6">
        <f t="shared" si="16"/>
        <v>2.3814819472086756E-3</v>
      </c>
      <c r="S88" s="2"/>
      <c r="T88" s="2">
        <f>SUM(OSRRefT22_10x_0)</f>
        <v>3831.65</v>
      </c>
      <c r="U88" s="2"/>
      <c r="V88" s="6">
        <f t="shared" si="17"/>
        <v>1.5815071249235234E-3</v>
      </c>
      <c r="W88" s="2"/>
      <c r="X88" s="2">
        <f t="shared" si="18"/>
        <v>1099.2499999999995</v>
      </c>
      <c r="Y88" s="2"/>
      <c r="Z88" s="6">
        <f t="shared" si="19"/>
        <v>0.28688685031252842</v>
      </c>
    </row>
    <row r="89" spans="1:26" s="69" customFormat="1" ht="15" hidden="1" customHeight="1" outlineLevel="2" x14ac:dyDescent="0.3">
      <c r="A89" s="26"/>
      <c r="B89" s="12" t="str">
        <f>CONCATENATE("          ","6234"," - ","EXPENDABLE SUPPLIES &amp; EQUIPMEN")</f>
        <v xml:space="preserve">          6234 - EXPENDABLE SUPPLIES &amp; EQUIPMEN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/>
      <c r="Q89" s="3"/>
      <c r="R89" s="7">
        <f t="shared" si="16"/>
        <v>0</v>
      </c>
      <c r="S89" s="3"/>
      <c r="T89" s="8">
        <v>1733.49</v>
      </c>
      <c r="U89" s="3"/>
      <c r="V89" s="7">
        <f t="shared" si="17"/>
        <v>7.1549509636414552E-4</v>
      </c>
      <c r="W89" s="3"/>
      <c r="X89" s="8">
        <f t="shared" si="18"/>
        <v>-1733.49</v>
      </c>
      <c r="Y89" s="3"/>
      <c r="Z89" s="7">
        <f t="shared" si="19"/>
        <v>-1</v>
      </c>
    </row>
    <row r="90" spans="1:26" s="69" customFormat="1" ht="15" hidden="1" customHeight="1" outlineLevel="2" x14ac:dyDescent="0.3">
      <c r="A90" s="26"/>
      <c r="B90" s="12" t="str">
        <f>CONCATENATE("          ","6235"," - ","COVID-19 EXPENSES")</f>
        <v xml:space="preserve">          6235 - COVID-19 EXPENSES</v>
      </c>
      <c r="C90" s="12"/>
      <c r="D90" s="8"/>
      <c r="E90" s="3"/>
      <c r="F90" s="7">
        <f t="shared" si="12"/>
        <v>0</v>
      </c>
      <c r="G90" s="3"/>
      <c r="H90" s="8"/>
      <c r="I90" s="3"/>
      <c r="J90" s="7">
        <f t="shared" si="13"/>
        <v>0</v>
      </c>
      <c r="K90" s="3"/>
      <c r="L90" s="8">
        <f t="shared" si="14"/>
        <v>0</v>
      </c>
      <c r="M90" s="3"/>
      <c r="N90" s="7">
        <f t="shared" si="15"/>
        <v>0</v>
      </c>
      <c r="O90" s="12"/>
      <c r="P90" s="8"/>
      <c r="Q90" s="3"/>
      <c r="R90" s="7">
        <f t="shared" si="16"/>
        <v>0</v>
      </c>
      <c r="S90" s="3"/>
      <c r="T90" s="8">
        <v>668.12</v>
      </c>
      <c r="U90" s="3"/>
      <c r="V90" s="7">
        <f t="shared" si="17"/>
        <v>2.7576541184709053E-4</v>
      </c>
      <c r="W90" s="3"/>
      <c r="X90" s="8">
        <f t="shared" si="18"/>
        <v>-668.12</v>
      </c>
      <c r="Y90" s="3"/>
      <c r="Z90" s="7">
        <f t="shared" si="19"/>
        <v>-1</v>
      </c>
    </row>
    <row r="91" spans="1:26" s="69" customFormat="1" ht="15" hidden="1" customHeight="1" outlineLevel="2" x14ac:dyDescent="0.3">
      <c r="A91" s="26"/>
      <c r="B91" s="12" t="str">
        <f>CONCATENATE("          ","6241"," - ","OFFICE EXPENSE")</f>
        <v xml:space="preserve">          6241 - OFFICE EXPENSE</v>
      </c>
      <c r="C91" s="12"/>
      <c r="D91" s="8">
        <v>1549.15</v>
      </c>
      <c r="E91" s="3"/>
      <c r="F91" s="7">
        <f t="shared" si="12"/>
        <v>4.8404035387079013E-3</v>
      </c>
      <c r="G91" s="3"/>
      <c r="H91" s="8">
        <v>19.559999999999999</v>
      </c>
      <c r="I91" s="3"/>
      <c r="J91" s="7">
        <f t="shared" si="13"/>
        <v>4.8508603481945579E-5</v>
      </c>
      <c r="K91" s="3"/>
      <c r="L91" s="8">
        <f t="shared" si="14"/>
        <v>1529.5900000000001</v>
      </c>
      <c r="M91" s="3"/>
      <c r="N91" s="7">
        <f t="shared" si="15"/>
        <v>78.199897750511255</v>
      </c>
      <c r="O91" s="12"/>
      <c r="P91" s="8">
        <v>2018.9</v>
      </c>
      <c r="Q91" s="3"/>
      <c r="R91" s="7">
        <f t="shared" si="16"/>
        <v>9.7507025151992444E-4</v>
      </c>
      <c r="S91" s="3"/>
      <c r="T91" s="8">
        <v>1430.04</v>
      </c>
      <c r="U91" s="3"/>
      <c r="V91" s="7">
        <f t="shared" si="17"/>
        <v>5.9024661671228714E-4</v>
      </c>
      <c r="W91" s="3"/>
      <c r="X91" s="8">
        <f t="shared" si="18"/>
        <v>588.86000000000013</v>
      </c>
      <c r="Y91" s="3"/>
      <c r="Z91" s="7">
        <f t="shared" si="19"/>
        <v>0.4117786915051328</v>
      </c>
    </row>
    <row r="92" spans="1:26" s="69" customFormat="1" ht="15" hidden="1" customHeight="1" outlineLevel="2" x14ac:dyDescent="0.3">
      <c r="A92" s="26"/>
      <c r="B92" s="12" t="str">
        <f>CONCATENATE("          ","6247"," - ","STORE SUPPLIES")</f>
        <v xml:space="preserve">          6247 - STORE SUPPLIES</v>
      </c>
      <c r="C92" s="12"/>
      <c r="D92" s="8"/>
      <c r="E92" s="3"/>
      <c r="F92" s="7">
        <f t="shared" si="12"/>
        <v>0</v>
      </c>
      <c r="G92" s="3"/>
      <c r="H92" s="8"/>
      <c r="I92" s="3"/>
      <c r="J92" s="7">
        <f t="shared" si="13"/>
        <v>0</v>
      </c>
      <c r="K92" s="3"/>
      <c r="L92" s="8">
        <f t="shared" si="14"/>
        <v>0</v>
      </c>
      <c r="M92" s="3"/>
      <c r="N92" s="7">
        <f t="shared" si="15"/>
        <v>0</v>
      </c>
      <c r="O92" s="12"/>
      <c r="P92" s="8">
        <v>2912</v>
      </c>
      <c r="Q92" s="3"/>
      <c r="R92" s="7">
        <f t="shared" si="16"/>
        <v>1.4064116956887512E-3</v>
      </c>
      <c r="S92" s="3"/>
      <c r="T92" s="8"/>
      <c r="U92" s="3"/>
      <c r="V92" s="7">
        <f t="shared" si="17"/>
        <v>0</v>
      </c>
      <c r="W92" s="3"/>
      <c r="X92" s="8">
        <f t="shared" si="18"/>
        <v>2912</v>
      </c>
      <c r="Y92" s="3"/>
      <c r="Z92" s="7">
        <f t="shared" si="19"/>
        <v>0</v>
      </c>
    </row>
    <row r="93" spans="1:26" s="68" customFormat="1" ht="15" customHeight="1" outlineLevel="1" collapsed="1" x14ac:dyDescent="0.3">
      <c r="A93" s="25"/>
      <c r="B93" s="14" t="str">
        <f>CONCATENATE("     ","Telephone/Data Lines                              ")</f>
        <v xml:space="preserve">     Telephone/Data Lines                              </v>
      </c>
      <c r="C93" s="14"/>
      <c r="D93" s="2">
        <f>SUM(OSRRefD22_11x_0)</f>
        <v>110.47</v>
      </c>
      <c r="E93" s="2"/>
      <c r="F93" s="6">
        <f t="shared" si="12"/>
        <v>3.4516953098219142E-4</v>
      </c>
      <c r="G93" s="2"/>
      <c r="H93" s="2">
        <f>SUM(OSRRefH22_11x_0)</f>
        <v>271.3</v>
      </c>
      <c r="I93" s="2"/>
      <c r="J93" s="6">
        <f t="shared" si="13"/>
        <v>6.7282127426645383E-4</v>
      </c>
      <c r="K93" s="2"/>
      <c r="L93" s="2">
        <f t="shared" si="14"/>
        <v>-160.83000000000001</v>
      </c>
      <c r="M93" s="2"/>
      <c r="N93" s="6">
        <f t="shared" si="15"/>
        <v>-0.59281238481385923</v>
      </c>
      <c r="O93" s="14"/>
      <c r="P93" s="2">
        <f>SUM(OSRRefP22_11x_0)</f>
        <v>1915.21</v>
      </c>
      <c r="Q93" s="2"/>
      <c r="R93" s="6">
        <f t="shared" si="16"/>
        <v>9.2499098341347987E-4</v>
      </c>
      <c r="S93" s="2"/>
      <c r="T93" s="2">
        <f>SUM(OSRRefT22_11x_0)</f>
        <v>2877.55</v>
      </c>
      <c r="U93" s="2"/>
      <c r="V93" s="6">
        <f t="shared" si="17"/>
        <v>1.1877039466871152E-3</v>
      </c>
      <c r="W93" s="2"/>
      <c r="X93" s="2">
        <f t="shared" si="18"/>
        <v>-962.34000000000015</v>
      </c>
      <c r="Y93" s="2"/>
      <c r="Z93" s="6">
        <f t="shared" si="19"/>
        <v>-0.33443033135827355</v>
      </c>
    </row>
    <row r="94" spans="1:26" s="69" customFormat="1" ht="15" hidden="1" customHeight="1" outlineLevel="2" x14ac:dyDescent="0.3">
      <c r="A94" s="26"/>
      <c r="B94" s="12" t="str">
        <f>CONCATENATE("          ","6309"," - ","TELEPHONE")</f>
        <v xml:space="preserve">          6309 - TELEPHONE</v>
      </c>
      <c r="C94" s="12"/>
      <c r="D94" s="8">
        <v>110.47</v>
      </c>
      <c r="E94" s="3"/>
      <c r="F94" s="7">
        <f t="shared" si="12"/>
        <v>3.4516953098219142E-4</v>
      </c>
      <c r="G94" s="3"/>
      <c r="H94" s="8">
        <v>271.3</v>
      </c>
      <c r="I94" s="3"/>
      <c r="J94" s="7">
        <f t="shared" si="13"/>
        <v>6.7282127426645383E-4</v>
      </c>
      <c r="K94" s="3"/>
      <c r="L94" s="8">
        <f t="shared" si="14"/>
        <v>-160.83000000000001</v>
      </c>
      <c r="M94" s="3"/>
      <c r="N94" s="7">
        <f t="shared" si="15"/>
        <v>-0.59281238481385923</v>
      </c>
      <c r="O94" s="12"/>
      <c r="P94" s="8">
        <v>1915.21</v>
      </c>
      <c r="Q94" s="3"/>
      <c r="R94" s="7">
        <f t="shared" si="16"/>
        <v>9.2499098341347987E-4</v>
      </c>
      <c r="S94" s="3"/>
      <c r="T94" s="8">
        <v>2877.55</v>
      </c>
      <c r="U94" s="3"/>
      <c r="V94" s="7">
        <f t="shared" si="17"/>
        <v>1.1877039466871152E-3</v>
      </c>
      <c r="W94" s="3"/>
      <c r="X94" s="8">
        <f t="shared" si="18"/>
        <v>-962.34000000000015</v>
      </c>
      <c r="Y94" s="3"/>
      <c r="Z94" s="7">
        <f t="shared" si="19"/>
        <v>-0.33443033135827355</v>
      </c>
    </row>
    <row r="95" spans="1:26" s="68" customFormat="1" ht="15" customHeight="1" outlineLevel="1" collapsed="1" x14ac:dyDescent="0.3">
      <c r="A95" s="25"/>
      <c r="B95" s="14" t="str">
        <f>CONCATENATE("     ","Training                                          ")</f>
        <v xml:space="preserve">     Training                                          </v>
      </c>
      <c r="C95" s="14"/>
      <c r="D95" s="2">
        <f>SUM(OSRRefD22_12x_0)</f>
        <v>0</v>
      </c>
      <c r="E95" s="2"/>
      <c r="F95" s="6">
        <f t="shared" si="12"/>
        <v>0</v>
      </c>
      <c r="G95" s="2"/>
      <c r="H95" s="2">
        <f>SUM(OSRRefH22_12x_0)</f>
        <v>0</v>
      </c>
      <c r="I95" s="2"/>
      <c r="J95" s="6">
        <f t="shared" si="13"/>
        <v>0</v>
      </c>
      <c r="K95" s="2"/>
      <c r="L95" s="2">
        <f t="shared" si="14"/>
        <v>0</v>
      </c>
      <c r="M95" s="2"/>
      <c r="N95" s="6">
        <f t="shared" si="15"/>
        <v>0</v>
      </c>
      <c r="O95" s="14"/>
      <c r="P95" s="2">
        <f>SUM(OSRRefP22_12x_0)</f>
        <v>0</v>
      </c>
      <c r="Q95" s="2"/>
      <c r="R95" s="6">
        <f t="shared" si="16"/>
        <v>0</v>
      </c>
      <c r="S95" s="2"/>
      <c r="T95" s="2">
        <f>SUM(OSRRefT22_12x_0)</f>
        <v>100</v>
      </c>
      <c r="U95" s="2"/>
      <c r="V95" s="6">
        <f t="shared" si="17"/>
        <v>4.1274832641904228E-5</v>
      </c>
      <c r="W95" s="2"/>
      <c r="X95" s="2">
        <f t="shared" si="18"/>
        <v>-100</v>
      </c>
      <c r="Y95" s="2"/>
      <c r="Z95" s="6">
        <f t="shared" si="19"/>
        <v>-1</v>
      </c>
    </row>
    <row r="96" spans="1:26" s="69" customFormat="1" ht="15" hidden="1" customHeight="1" outlineLevel="2" x14ac:dyDescent="0.3">
      <c r="A96" s="26"/>
      <c r="B96" s="12" t="str">
        <f>CONCATENATE("          ","6376"," - ","TRAINING")</f>
        <v xml:space="preserve">          6376 - TRAINING</v>
      </c>
      <c r="C96" s="12"/>
      <c r="D96" s="8"/>
      <c r="E96" s="3"/>
      <c r="F96" s="7">
        <f t="shared" si="12"/>
        <v>0</v>
      </c>
      <c r="G96" s="3"/>
      <c r="H96" s="8"/>
      <c r="I96" s="3"/>
      <c r="J96" s="7">
        <f t="shared" si="13"/>
        <v>0</v>
      </c>
      <c r="K96" s="3"/>
      <c r="L96" s="8">
        <f t="shared" si="14"/>
        <v>0</v>
      </c>
      <c r="M96" s="3"/>
      <c r="N96" s="7">
        <f t="shared" si="15"/>
        <v>0</v>
      </c>
      <c r="O96" s="12"/>
      <c r="P96" s="8"/>
      <c r="Q96" s="3"/>
      <c r="R96" s="7">
        <f t="shared" si="16"/>
        <v>0</v>
      </c>
      <c r="S96" s="3"/>
      <c r="T96" s="8">
        <v>100</v>
      </c>
      <c r="U96" s="3"/>
      <c r="V96" s="7">
        <f t="shared" si="17"/>
        <v>4.1274832641904228E-5</v>
      </c>
      <c r="W96" s="3"/>
      <c r="X96" s="8">
        <f t="shared" si="18"/>
        <v>-100</v>
      </c>
      <c r="Y96" s="3"/>
      <c r="Z96" s="7">
        <f t="shared" si="19"/>
        <v>-1</v>
      </c>
    </row>
    <row r="97" spans="1:26" s="64" customFormat="1" ht="15" customHeight="1" x14ac:dyDescent="0.3">
      <c r="A97" s="36"/>
      <c r="B97" s="36"/>
      <c r="C97" s="36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2" customFormat="1" ht="15" customHeight="1" collapsed="1" x14ac:dyDescent="0.3">
      <c r="A98" s="11"/>
      <c r="B98" s="27" t="s">
        <v>290</v>
      </c>
      <c r="C98" s="11"/>
      <c r="D98" s="5">
        <f>SUM(OSRRefD25x_0)</f>
        <v>1497.14</v>
      </c>
      <c r="E98" s="5"/>
      <c r="F98" s="13">
        <f>IF(D$12=0,0,D98/D$12)</f>
        <v>4.6778954613440581E-3</v>
      </c>
      <c r="G98" s="5"/>
      <c r="H98" s="5">
        <f>SUM(OSRRefH25x_0)</f>
        <v>-23103.62</v>
      </c>
      <c r="I98" s="5"/>
      <c r="J98" s="13">
        <f>IF(H$12=0,0,H98/H$12)</f>
        <v>-5.7296745479424718E-2</v>
      </c>
      <c r="K98" s="5"/>
      <c r="L98" s="5">
        <f>+D98-H98</f>
        <v>24600.76</v>
      </c>
      <c r="M98" s="5"/>
      <c r="N98" s="13">
        <f>IF(H98=0,0,L98/H98)</f>
        <v>-1.0648011004336118</v>
      </c>
      <c r="O98" s="11"/>
      <c r="P98" s="5">
        <f>SUM(OSRRefP25x_0)</f>
        <v>4838.08</v>
      </c>
      <c r="Q98" s="5"/>
      <c r="R98" s="13">
        <f>IF(P$12=0,0,P98/P$12)</f>
        <v>2.3366525744085965E-3</v>
      </c>
      <c r="S98" s="5"/>
      <c r="T98" s="5">
        <f>SUM(OSRRefT25x_0)</f>
        <v>3736.26</v>
      </c>
      <c r="U98" s="5"/>
      <c r="V98" s="13">
        <f>IF(T$12=0,0,T98/T$12)</f>
        <v>1.5421350620664109E-3</v>
      </c>
      <c r="W98" s="5"/>
      <c r="X98" s="5">
        <f>+P98-T98</f>
        <v>1101.8199999999997</v>
      </c>
      <c r="Y98" s="5"/>
      <c r="Z98" s="13">
        <f>IF(T98=0,0,X98/T98)</f>
        <v>0.29489917725211834</v>
      </c>
    </row>
    <row r="99" spans="1:26" s="69" customFormat="1" ht="15" hidden="1" customHeight="1" outlineLevel="1" x14ac:dyDescent="0.3">
      <c r="A99" s="42"/>
      <c r="B99" s="12" t="str">
        <f>CONCATENATE("          ","4187"," - ","NON-TAXABLE SALES-COMPUTER REP")</f>
        <v xml:space="preserve">          4187 - NON-TAXABLE SALES-COMPUTER REP</v>
      </c>
      <c r="C99" s="12"/>
      <c r="D99" s="3">
        <f>0</f>
        <v>0</v>
      </c>
      <c r="E99" s="3"/>
      <c r="F99" s="20">
        <f>IF(D$12=0,0,D99/D$12)</f>
        <v>0</v>
      </c>
      <c r="G99" s="3"/>
      <c r="H99" s="3">
        <f>--1700.99</f>
        <v>1700.99</v>
      </c>
      <c r="I99" s="3"/>
      <c r="J99" s="20">
        <f>IF(H$12=0,0,H99/H$12)</f>
        <v>4.218438110263528E-3</v>
      </c>
      <c r="K99" s="3"/>
      <c r="L99" s="3">
        <f>+D99-H99</f>
        <v>-1700.99</v>
      </c>
      <c r="M99" s="3"/>
      <c r="N99" s="20">
        <f>IF(H99=0,0,L99/H99)</f>
        <v>-1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f>--3315.96</f>
        <v>3315.96</v>
      </c>
      <c r="U99" s="3"/>
      <c r="V99" s="20">
        <f>IF(T$12=0,0,T99/T$12)</f>
        <v>1.3686569404724874E-3</v>
      </c>
      <c r="W99" s="3"/>
      <c r="X99" s="3">
        <f>+P99-T99</f>
        <v>-3315.96</v>
      </c>
      <c r="Y99" s="3"/>
      <c r="Z99" s="20">
        <f>IF(T99=0,0,X99/T99)</f>
        <v>-1</v>
      </c>
    </row>
    <row r="100" spans="1:26" s="69" customFormat="1" ht="15" hidden="1" customHeight="1" outlineLevel="1" x14ac:dyDescent="0.3">
      <c r="A100" s="42"/>
      <c r="B100" s="12" t="str">
        <f>CONCATENATE("          ","9087"," - ","")</f>
        <v xml:space="preserve">          9087 - </v>
      </c>
      <c r="C100" s="12"/>
      <c r="D100" s="3">
        <f>--1264.22</f>
        <v>1264.22</v>
      </c>
      <c r="E100" s="3"/>
      <c r="F100" s="20">
        <f>IF(D$12=0,0,D100/D$12)</f>
        <v>3.9501242369720836E-3</v>
      </c>
      <c r="G100" s="3"/>
      <c r="H100" s="3">
        <f>0</f>
        <v>0</v>
      </c>
      <c r="I100" s="3"/>
      <c r="J100" s="20">
        <f>IF(H$12=0,0,H100/H$12)</f>
        <v>0</v>
      </c>
      <c r="K100" s="3"/>
      <c r="L100" s="3">
        <f>+D100-H100</f>
        <v>1264.22</v>
      </c>
      <c r="M100" s="3"/>
      <c r="N100" s="20">
        <f>IF(H100=0,0,L100/H100)</f>
        <v>0</v>
      </c>
      <c r="O100" s="12"/>
      <c r="P100" s="3">
        <f>--1996</f>
        <v>1996</v>
      </c>
      <c r="Q100" s="3"/>
      <c r="R100" s="20">
        <f>IF(P$12=0,0,P100/P$12)</f>
        <v>9.6401021448995451E-4</v>
      </c>
      <c r="S100" s="3"/>
      <c r="T100" s="3">
        <f>0</f>
        <v>0</v>
      </c>
      <c r="U100" s="3"/>
      <c r="V100" s="20">
        <f>IF(T$12=0,0,T100/T$12)</f>
        <v>0</v>
      </c>
      <c r="W100" s="3"/>
      <c r="X100" s="3">
        <f>+P100-T100</f>
        <v>1996</v>
      </c>
      <c r="Y100" s="3"/>
      <c r="Z100" s="20">
        <f>IF(T100=0,0,X100/T100)</f>
        <v>0</v>
      </c>
    </row>
    <row r="101" spans="1:26" s="69" customFormat="1" ht="15" hidden="1" customHeight="1" outlineLevel="1" x14ac:dyDescent="0.3">
      <c r="A101" s="42"/>
      <c r="B101" s="12" t="str">
        <f>CONCATENATE("          ","9150"," - ","MISC. INCOME")</f>
        <v xml:space="preserve">          9150 - MISC. INCOME</v>
      </c>
      <c r="C101" s="12"/>
      <c r="D101" s="3">
        <f>--232.92</f>
        <v>232.92</v>
      </c>
      <c r="E101" s="3"/>
      <c r="F101" s="20">
        <f>IF(D$12=0,0,D101/D$12)</f>
        <v>7.2777122437197455E-4</v>
      </c>
      <c r="G101" s="3"/>
      <c r="H101" s="3">
        <f>-24804.61</f>
        <v>-24804.61</v>
      </c>
      <c r="I101" s="3"/>
      <c r="J101" s="20">
        <f>IF(H$12=0,0,H101/H$12)</f>
        <v>-6.1515183589688251E-2</v>
      </c>
      <c r="K101" s="3"/>
      <c r="L101" s="3">
        <f>+D101-H101</f>
        <v>25037.53</v>
      </c>
      <c r="M101" s="3"/>
      <c r="N101" s="20">
        <f>IF(H101=0,0,L101/H101)</f>
        <v>-1.0093901899687194</v>
      </c>
      <c r="O101" s="12"/>
      <c r="P101" s="3">
        <f>--2842.08</f>
        <v>2842.08</v>
      </c>
      <c r="Q101" s="3"/>
      <c r="R101" s="20">
        <f>IF(P$12=0,0,P101/P$12)</f>
        <v>1.3726423599186421E-3</v>
      </c>
      <c r="S101" s="3"/>
      <c r="T101" s="3">
        <f>--420.3</f>
        <v>420.3</v>
      </c>
      <c r="U101" s="3"/>
      <c r="V101" s="20">
        <f>IF(T$12=0,0,T101/T$12)</f>
        <v>1.7347812159392346E-4</v>
      </c>
      <c r="W101" s="3"/>
      <c r="X101" s="3">
        <f>+P101-T101</f>
        <v>2421.7799999999997</v>
      </c>
      <c r="Y101" s="3"/>
      <c r="Z101" s="20">
        <f>IF(T101=0,0,X101/T101)</f>
        <v>5.7620271234832252</v>
      </c>
    </row>
    <row r="102" spans="1:26" ht="15" customHeight="1" x14ac:dyDescent="0.3">
      <c r="A102" s="10"/>
      <c r="B102" s="11"/>
      <c r="C102" s="11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O102" s="11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2" customFormat="1" ht="15" customHeight="1" x14ac:dyDescent="0.3">
      <c r="A103" s="11"/>
      <c r="B103" s="28" t="s">
        <v>291</v>
      </c>
      <c r="C103" s="28"/>
      <c r="D103" s="21">
        <f>+D52-D54+D98</f>
        <v>8947.9600000000391</v>
      </c>
      <c r="E103" s="15"/>
      <c r="F103" s="23">
        <f>IF(D$12=0,0,D103/D$12)</f>
        <v>2.7958388308567242E-2</v>
      </c>
      <c r="G103" s="15"/>
      <c r="H103" s="21">
        <f>+H52-H54+H98</f>
        <v>-2926.309999999994</v>
      </c>
      <c r="I103" s="15"/>
      <c r="J103" s="23">
        <f>IF(H$12=0,0,H103/H$12)</f>
        <v>-7.2572193995527551E-3</v>
      </c>
      <c r="K103" s="16"/>
      <c r="L103" s="21">
        <f>+D103-H103</f>
        <v>11874.270000000033</v>
      </c>
      <c r="M103" s="16"/>
      <c r="N103" s="23">
        <f>IF(H103=0,0,L103/H103)</f>
        <v>-4.0577621646373956</v>
      </c>
      <c r="O103" s="27"/>
      <c r="P103" s="21">
        <f>+P52-P54+P98</f>
        <v>153333.49999999997</v>
      </c>
      <c r="Q103" s="15"/>
      <c r="R103" s="23">
        <f>IF(P$12=0,0,P103/P$12)</f>
        <v>7.405564139453677E-2</v>
      </c>
      <c r="S103" s="15"/>
      <c r="T103" s="21">
        <f>+T52-T54+T98</f>
        <v>54889.539999999593</v>
      </c>
      <c r="U103" s="15"/>
      <c r="V103" s="23">
        <f>IF(T$12=0,0,T103/T$12)</f>
        <v>2.2655565772910908E-2</v>
      </c>
      <c r="W103" s="16"/>
      <c r="X103" s="21">
        <f>+P103-T103</f>
        <v>98443.96000000037</v>
      </c>
      <c r="Y103" s="16"/>
      <c r="Z103" s="23">
        <f>IF(T103=0,0,X103/T103)</f>
        <v>1.7934921662670356</v>
      </c>
    </row>
    <row r="104" spans="1:26" ht="15" customHeight="1" x14ac:dyDescent="0.3">
      <c r="A104" s="10"/>
      <c r="B104" s="11"/>
      <c r="C104" s="10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2" customFormat="1" ht="15" customHeight="1" x14ac:dyDescent="0.3">
      <c r="A105" s="48"/>
      <c r="B105" s="11" t="s">
        <v>292</v>
      </c>
      <c r="C105" s="11"/>
      <c r="D105" s="5">
        <v>25641.73</v>
      </c>
      <c r="E105" s="5"/>
      <c r="F105" s="13">
        <f>IF(D$12=0,0,D105/D$12)</f>
        <v>8.0118981783941223E-2</v>
      </c>
      <c r="G105" s="5"/>
      <c r="H105" s="5">
        <v>90642.79</v>
      </c>
      <c r="I105" s="5"/>
      <c r="J105" s="13">
        <f>IF(H$12=0,0,H105/H$12)</f>
        <v>0.22479320851775367</v>
      </c>
      <c r="K105" s="5"/>
      <c r="L105" s="5">
        <f>+D105-H105</f>
        <v>-65001.06</v>
      </c>
      <c r="M105" s="5"/>
      <c r="N105" s="13">
        <f>IF(H105=0,0,L105/H105)</f>
        <v>-0.7171123042439449</v>
      </c>
      <c r="O105" s="11"/>
      <c r="P105" s="5">
        <v>234556.25</v>
      </c>
      <c r="Q105" s="5"/>
      <c r="R105" s="13">
        <f>IF(P$12=0,0,P105/P$12)</f>
        <v>0.11328387819261493</v>
      </c>
      <c r="S105" s="5"/>
      <c r="T105" s="5">
        <v>506856.23</v>
      </c>
      <c r="U105" s="5"/>
      <c r="V105" s="13">
        <f>IF(T$12=0,0,T105/T$12)</f>
        <v>0.20920406066756514</v>
      </c>
      <c r="W105" s="5"/>
      <c r="X105" s="5">
        <f>+P105-T105</f>
        <v>-272299.98</v>
      </c>
      <c r="Y105" s="5"/>
      <c r="Z105" s="13">
        <f>IF(T105=0,0,X105/T105)</f>
        <v>-0.53723317162344042</v>
      </c>
    </row>
    <row r="106" spans="1:26" ht="15" customHeight="1" x14ac:dyDescent="0.3">
      <c r="A106" s="10"/>
      <c r="B106" s="11"/>
      <c r="C106" s="11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O106" s="11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2" customFormat="1" ht="15" customHeight="1" x14ac:dyDescent="0.3">
      <c r="A107" s="11"/>
      <c r="B107" s="28" t="s">
        <v>293</v>
      </c>
      <c r="C107" s="28"/>
      <c r="D107" s="34">
        <f>+D103-D105</f>
        <v>-16693.76999999996</v>
      </c>
      <c r="E107" s="15"/>
      <c r="F107" s="30">
        <f>IF(D$12=0,0,D107/D$12)</f>
        <v>-5.2160593475373988E-2</v>
      </c>
      <c r="G107" s="15"/>
      <c r="H107" s="34">
        <f>+H103-H105</f>
        <v>-93569.099999999991</v>
      </c>
      <c r="I107" s="15"/>
      <c r="J107" s="30">
        <f>IF(H$12=0,0,H107/H$12)</f>
        <v>-0.23205042791730643</v>
      </c>
      <c r="K107" s="16"/>
      <c r="L107" s="34">
        <f>D107-H107</f>
        <v>76875.330000000031</v>
      </c>
      <c r="M107" s="16"/>
      <c r="N107" s="30">
        <f>IF(H107=0,0,L107/H107)</f>
        <v>-0.82158885786012725</v>
      </c>
      <c r="O107" s="27"/>
      <c r="P107" s="34">
        <f>+P103-P105</f>
        <v>-81222.750000000029</v>
      </c>
      <c r="Q107" s="15"/>
      <c r="R107" s="30">
        <f>IF(P$12=0,0,P107/P$12)</f>
        <v>-3.9228236798078145E-2</v>
      </c>
      <c r="S107" s="15"/>
      <c r="T107" s="34">
        <f>+T103-T105</f>
        <v>-451966.69000000041</v>
      </c>
      <c r="U107" s="15"/>
      <c r="V107" s="30">
        <f>IF(T$12=0,0,T107/T$12)</f>
        <v>-0.18654849489465425</v>
      </c>
      <c r="W107" s="16"/>
      <c r="X107" s="34">
        <f>P107-T107</f>
        <v>370743.94000000041</v>
      </c>
      <c r="Y107" s="16"/>
      <c r="Z107" s="30">
        <f>IF(T107=0,0,X107/T107)</f>
        <v>-0.82029040679966936</v>
      </c>
    </row>
    <row r="108" spans="1:26" ht="15" customHeight="1" x14ac:dyDescent="0.3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ht="15" customHeight="1" x14ac:dyDescent="0.3">
      <c r="A109" s="10"/>
      <c r="B109" s="10"/>
      <c r="C109" s="10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296</v>
      </c>
      <c r="C110" s="28"/>
      <c r="D110" s="29">
        <f>SUM(D107:D109)</f>
        <v>-16693.76999999996</v>
      </c>
      <c r="E110" s="15"/>
      <c r="F110" s="35">
        <f>IF(D$12=0,0,D110/D$12)</f>
        <v>-5.2160593475373988E-2</v>
      </c>
      <c r="G110" s="15"/>
      <c r="H110" s="29">
        <f>SUM(H107:H109)</f>
        <v>-93569.099999999991</v>
      </c>
      <c r="I110" s="15"/>
      <c r="J110" s="35">
        <f>IF(H$12=0,0,H110/H$12)</f>
        <v>-0.23205042791730643</v>
      </c>
      <c r="K110" s="16"/>
      <c r="L110" s="29">
        <f>+D110-H110</f>
        <v>76875.330000000031</v>
      </c>
      <c r="M110" s="16"/>
      <c r="N110" s="35">
        <f>IF(H110=0,0,L110/H110)</f>
        <v>-0.82158885786012725</v>
      </c>
      <c r="O110" s="27"/>
      <c r="P110" s="29">
        <f>SUM(P107:P109)</f>
        <v>-81222.750000000029</v>
      </c>
      <c r="Q110" s="15"/>
      <c r="R110" s="35">
        <f>IF(P$12=0,0,P110/P$12)</f>
        <v>-3.9228236798078145E-2</v>
      </c>
      <c r="S110" s="15"/>
      <c r="T110" s="29">
        <f>SUM(T107:T109)</f>
        <v>-451966.69000000041</v>
      </c>
      <c r="U110" s="15"/>
      <c r="V110" s="35">
        <f>IF(T$12=0,0,T110/T$12)</f>
        <v>-0.18654849489465425</v>
      </c>
      <c r="W110" s="16"/>
      <c r="X110" s="29">
        <f>+P110-T110</f>
        <v>370743.94000000041</v>
      </c>
      <c r="Y110" s="16"/>
      <c r="Z110" s="35">
        <f>IF(T110=0,0,X110/T110)</f>
        <v>-0.82029040679966936</v>
      </c>
    </row>
    <row r="111" spans="1:26" ht="15" customHeight="1" x14ac:dyDescent="0.3">
      <c r="A111" s="10"/>
      <c r="C111" s="10"/>
      <c r="D111" s="18"/>
      <c r="E111" s="18"/>
      <c r="G111" s="18"/>
      <c r="H111" s="18"/>
      <c r="I111" s="18"/>
      <c r="J111" s="40"/>
      <c r="K111" s="18"/>
      <c r="L111" s="18"/>
      <c r="M111" s="18"/>
      <c r="P111" s="18"/>
      <c r="Q111" s="18"/>
      <c r="R111" s="40"/>
      <c r="S111" s="18"/>
      <c r="T111" s="18"/>
      <c r="U111" s="18"/>
      <c r="V111" s="40"/>
      <c r="W111" s="18"/>
      <c r="X111" s="18"/>
    </row>
    <row r="112" spans="1:26" ht="15" customHeight="1" x14ac:dyDescent="0.3">
      <c r="A112" s="10"/>
      <c r="B112" s="56">
        <v>44694.890829479169</v>
      </c>
      <c r="D112" s="18"/>
      <c r="E112" s="18"/>
      <c r="G112" s="18"/>
      <c r="H112" s="18"/>
      <c r="I112" s="18"/>
      <c r="J112" s="40"/>
      <c r="K112" s="18"/>
      <c r="L112" s="18"/>
      <c r="M112" s="18"/>
      <c r="P112" s="18"/>
      <c r="Q112" s="18"/>
      <c r="R112" s="40"/>
      <c r="S112" s="18"/>
      <c r="T112" s="18"/>
      <c r="U112" s="18"/>
      <c r="V112" s="40"/>
      <c r="W112" s="18"/>
      <c r="X112" s="18"/>
    </row>
    <row r="113" spans="1:24" ht="15" customHeight="1" x14ac:dyDescent="0.3">
      <c r="A113" s="10"/>
      <c r="B113" s="52" t="s">
        <v>297</v>
      </c>
      <c r="D113" s="18"/>
      <c r="E113" s="18"/>
      <c r="G113" s="18"/>
      <c r="H113" s="18"/>
      <c r="I113" s="18"/>
      <c r="J113" s="40"/>
      <c r="K113" s="18"/>
      <c r="L113" s="18"/>
      <c r="M113" s="18"/>
      <c r="P113" s="18"/>
      <c r="Q113" s="18"/>
      <c r="R113" s="40"/>
      <c r="S113" s="18"/>
      <c r="T113" s="18"/>
      <c r="U113" s="18"/>
      <c r="V113" s="40"/>
      <c r="W113" s="18"/>
      <c r="X113" s="18"/>
    </row>
    <row r="114" spans="1:24" ht="15" customHeight="1" x14ac:dyDescent="0.3">
      <c r="A114" s="10"/>
      <c r="B114" s="58"/>
      <c r="D114" s="18"/>
      <c r="E114" s="18"/>
      <c r="G114" s="18"/>
      <c r="H114" s="18"/>
      <c r="I114" s="18"/>
      <c r="J114" s="40"/>
      <c r="K114" s="18"/>
      <c r="L114" s="18"/>
      <c r="M114" s="18"/>
      <c r="P114" s="18"/>
      <c r="Q114" s="18"/>
      <c r="R114" s="40"/>
      <c r="S114" s="18"/>
      <c r="T114" s="18"/>
      <c r="U114" s="18"/>
      <c r="V114" s="40"/>
      <c r="W114" s="18"/>
      <c r="X114" s="18"/>
    </row>
    <row r="115" spans="1:24" ht="15" customHeight="1" x14ac:dyDescent="0.3">
      <c r="D115" s="18"/>
      <c r="E115" s="18"/>
      <c r="G115" s="18"/>
      <c r="H115" s="18"/>
      <c r="I115" s="18"/>
      <c r="J115" s="40"/>
      <c r="K115" s="18"/>
      <c r="L115" s="18"/>
      <c r="M115" s="18"/>
      <c r="P115" s="18"/>
      <c r="Q115" s="18"/>
      <c r="R115" s="40"/>
      <c r="S115" s="18"/>
      <c r="T115" s="18"/>
      <c r="U115" s="18"/>
      <c r="V115" s="40"/>
      <c r="W115" s="18"/>
      <c r="X11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0F50B-71D4-426D-F9C7-4222C98DD2BF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103504.90999999999</v>
      </c>
      <c r="E12" s="5"/>
      <c r="F12" s="13"/>
      <c r="G12" s="5"/>
      <c r="H12" s="5">
        <f>SUM(OSRRefH13x_0)</f>
        <v>51.9</v>
      </c>
      <c r="I12" s="5"/>
      <c r="J12" s="13"/>
      <c r="K12" s="5"/>
      <c r="L12" s="5">
        <f t="shared" ref="L12:L23" si="0">+D12-H12</f>
        <v>103453.01</v>
      </c>
      <c r="M12" s="5"/>
      <c r="N12" s="13">
        <f t="shared" ref="N12:N23" si="1">IF(H12=0,0,L12/H12)</f>
        <v>1993.3142581888246</v>
      </c>
      <c r="O12" s="11"/>
      <c r="P12" s="5">
        <f>SUM(OSRRefP13x_0)</f>
        <v>411544.64</v>
      </c>
      <c r="Q12" s="5"/>
      <c r="R12" s="13"/>
      <c r="S12" s="5"/>
      <c r="T12" s="5">
        <f>SUM(OSRRefT13x_0)</f>
        <v>2872.92</v>
      </c>
      <c r="U12" s="5"/>
      <c r="V12" s="13"/>
      <c r="W12" s="5"/>
      <c r="X12" s="5">
        <f t="shared" ref="X12:X23" si="2">+P12-T12</f>
        <v>408671.72000000003</v>
      </c>
      <c r="Y12" s="5"/>
      <c r="Z12" s="13">
        <f t="shared" ref="Z12:Z23" si="3">IF(T12=0,0,X12/T12)</f>
        <v>142.2495997103992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--14181.08</f>
        <v>14181.08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14181.08</v>
      </c>
      <c r="M13" s="3"/>
      <c r="N13" s="20">
        <f t="shared" si="1"/>
        <v>0</v>
      </c>
      <c r="O13" s="12"/>
      <c r="P13" s="3">
        <f>--62411.75</f>
        <v>62411.75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62411.75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--25.17</f>
        <v>25.17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25.17</v>
      </c>
      <c r="Y16" s="3"/>
      <c r="Z16" s="20">
        <f t="shared" si="3"/>
        <v>0</v>
      </c>
    </row>
    <row r="17" spans="1:26" s="69" customFormat="1" ht="15" hidden="1" customHeight="1" outlineLevel="1" x14ac:dyDescent="0.3">
      <c r="A17" s="42"/>
      <c r="B17" s="12" t="str">
        <f>CONCATENATE("          ","4053"," - ","TAXABLE SALES-FOOD")</f>
        <v xml:space="preserve">          4053 - TAXABLE SALES-FOOD</v>
      </c>
      <c r="C17" s="12"/>
      <c r="D17" s="3">
        <f>--439.9</f>
        <v>439.9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439.9</v>
      </c>
      <c r="M17" s="3"/>
      <c r="N17" s="20">
        <f t="shared" si="1"/>
        <v>0</v>
      </c>
      <c r="O17" s="12"/>
      <c r="P17" s="3">
        <f>--1551.31</f>
        <v>1551.31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1551.31</v>
      </c>
      <c r="Y17" s="3"/>
      <c r="Z17" s="20">
        <f t="shared" si="3"/>
        <v>0</v>
      </c>
    </row>
    <row r="18" spans="1:26" s="69" customFormat="1" ht="15" hidden="1" customHeight="1" outlineLevel="1" x14ac:dyDescent="0.3">
      <c r="A18" s="42"/>
      <c r="B18" s="12" t="str">
        <f>CONCATENATE("          ","4100"," - ","NON-TAXABLE SALES")</f>
        <v xml:space="preserve">          4100 - NON-TAXABLE SALES</v>
      </c>
      <c r="C18" s="12"/>
      <c r="D18" s="3">
        <f>--88883.93</f>
        <v>88883.93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88883.93</v>
      </c>
      <c r="M18" s="3"/>
      <c r="N18" s="20">
        <f t="shared" si="1"/>
        <v>0</v>
      </c>
      <c r="O18" s="12"/>
      <c r="P18" s="3">
        <f>--347350.09</f>
        <v>347350.09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347350.09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","4132"," - ","NON-TAXABLE SALES-JUICE")</f>
        <v xml:space="preserve">          4132 - NON-TAXABLE SALES-JUICE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--2031.88</f>
        <v>2031.88</v>
      </c>
      <c r="U19" s="3"/>
      <c r="V19" s="20"/>
      <c r="W19" s="3"/>
      <c r="X19" s="3">
        <f t="shared" si="2"/>
        <v>-2031.88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","4134"," - ","NON-TAXABLE SALES-SODA")</f>
        <v xml:space="preserve">          4134 - NON-TAXABLE SALES-SODA</v>
      </c>
      <c r="C20" s="12"/>
      <c r="D20" s="3">
        <f>0</f>
        <v>0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","4137"," - ","NON-TAXABLE SALES-WATER")</f>
        <v xml:space="preserve">          4137 - NON-TAXABLE SALES-WATER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0</v>
      </c>
      <c r="Y21" s="3"/>
      <c r="Z21" s="20">
        <f t="shared" si="3"/>
        <v>0</v>
      </c>
    </row>
    <row r="22" spans="1:26" s="69" customFormat="1" ht="15" hidden="1" customHeight="1" outlineLevel="1" x14ac:dyDescent="0.3">
      <c r="A22" s="42"/>
      <c r="B22" s="12" t="str">
        <f>CONCATENATE("          ","4151"," - ","NON-TAXABLE SALES-FOOD")</f>
        <v xml:space="preserve">          4151 - NON-TAXABLE SALES-FOOD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--206.32</f>
        <v>206.32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206.32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","4153"," - ","NON-TAXABLE SALES-FOOD")</f>
        <v xml:space="preserve">          4153 - NON-TAXABLE SALES-FOOD</v>
      </c>
      <c r="C23" s="12"/>
      <c r="D23" s="3">
        <f>0</f>
        <v>0</v>
      </c>
      <c r="E23" s="3"/>
      <c r="F23" s="20"/>
      <c r="G23" s="3"/>
      <c r="H23" s="3">
        <f>--51.9</f>
        <v>51.9</v>
      </c>
      <c r="I23" s="3"/>
      <c r="J23" s="20"/>
      <c r="K23" s="3"/>
      <c r="L23" s="3">
        <f t="shared" si="0"/>
        <v>-51.9</v>
      </c>
      <c r="M23" s="3"/>
      <c r="N23" s="20">
        <f t="shared" si="1"/>
        <v>-1</v>
      </c>
      <c r="O23" s="12"/>
      <c r="P23" s="3">
        <f>0</f>
        <v>0</v>
      </c>
      <c r="Q23" s="3"/>
      <c r="R23" s="20"/>
      <c r="S23" s="3"/>
      <c r="T23" s="3">
        <f>--396.45</f>
        <v>396.45</v>
      </c>
      <c r="U23" s="3"/>
      <c r="V23" s="20"/>
      <c r="W23" s="3"/>
      <c r="X23" s="3">
        <f t="shared" si="2"/>
        <v>-396.45</v>
      </c>
      <c r="Y23" s="3"/>
      <c r="Z23" s="20">
        <f t="shared" si="3"/>
        <v>-1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2" customFormat="1" ht="15" customHeight="1" collapsed="1" x14ac:dyDescent="0.3">
      <c r="A25" s="11"/>
      <c r="B25" s="27" t="s">
        <v>287</v>
      </c>
      <c r="C25" s="11"/>
      <c r="D25" s="5">
        <f>SUM(OSRRefD16x_0)</f>
        <v>47533.82</v>
      </c>
      <c r="E25" s="5"/>
      <c r="F25" s="13">
        <f>IF(D$12=0,0,D25/D$12)</f>
        <v>0.45924217508135606</v>
      </c>
      <c r="G25" s="5"/>
      <c r="H25" s="5">
        <f>SUM(OSRRefH16x_0)</f>
        <v>200.48000000000002</v>
      </c>
      <c r="I25" s="5"/>
      <c r="J25" s="13">
        <f>IF(H$12=0,0,H25/H$12)</f>
        <v>3.8628131021194609</v>
      </c>
      <c r="K25" s="5"/>
      <c r="L25" s="5">
        <f>+D25-H25</f>
        <v>47333.34</v>
      </c>
      <c r="M25" s="5"/>
      <c r="N25" s="13">
        <f>IF(H25=0,0,L25/H25)</f>
        <v>236.10005985634473</v>
      </c>
      <c r="O25" s="11"/>
      <c r="P25" s="5">
        <f>SUM(OSRRefP16x_0)</f>
        <v>187924.95</v>
      </c>
      <c r="Q25" s="5"/>
      <c r="R25" s="13">
        <f>IF(P$12=0,0,P25/P$12)</f>
        <v>0.4566332099477714</v>
      </c>
      <c r="S25" s="5"/>
      <c r="T25" s="5">
        <f>SUM(OSRRefT16x_0)</f>
        <v>28419.84</v>
      </c>
      <c r="U25" s="5"/>
      <c r="V25" s="13">
        <f>IF(T$12=0,0,T25/T$12)</f>
        <v>9.8923186165991392</v>
      </c>
      <c r="W25" s="5"/>
      <c r="X25" s="5">
        <f>+P25-T25</f>
        <v>159505.11000000002</v>
      </c>
      <c r="Y25" s="5"/>
      <c r="Z25" s="13">
        <f>IF(T25=0,0,X25/T25)</f>
        <v>5.6124562981353874</v>
      </c>
    </row>
    <row r="26" spans="1:26" s="69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-2496</v>
      </c>
      <c r="E26" s="3"/>
      <c r="F26" s="20">
        <f>IF(D$12=0,0,D26/D$12)</f>
        <v>-2.4114798032286586E-2</v>
      </c>
      <c r="G26" s="3"/>
      <c r="H26" s="3"/>
      <c r="I26" s="3"/>
      <c r="J26" s="20">
        <f>IF(H$12=0,0,H26/H$12)</f>
        <v>0</v>
      </c>
      <c r="K26" s="3"/>
      <c r="L26" s="3">
        <f>+D26-H26</f>
        <v>-2496</v>
      </c>
      <c r="M26" s="3"/>
      <c r="N26" s="20">
        <f>IF(H26=0,0,L26/H26)</f>
        <v>0</v>
      </c>
      <c r="O26" s="12"/>
      <c r="P26" s="3">
        <v>-8062</v>
      </c>
      <c r="Q26" s="3"/>
      <c r="R26" s="20">
        <f>IF(P$12=0,0,P26/P$12)</f>
        <v>-1.9589612441556766E-2</v>
      </c>
      <c r="S26" s="3"/>
      <c r="T26" s="3"/>
      <c r="U26" s="3"/>
      <c r="V26" s="20">
        <f>IF(T$12=0,0,T26/T$12)</f>
        <v>0</v>
      </c>
      <c r="W26" s="3"/>
      <c r="X26" s="3">
        <f>+P26-T26</f>
        <v>-8062</v>
      </c>
      <c r="Y26" s="3"/>
      <c r="Z26" s="20">
        <f>IF(T26=0,0,X26/T26)</f>
        <v>0</v>
      </c>
    </row>
    <row r="27" spans="1:26" s="69" customFormat="1" ht="15" hidden="1" customHeight="1" outlineLevel="1" x14ac:dyDescent="0.3">
      <c r="A27" s="42"/>
      <c r="B27" s="12" t="str">
        <f>CONCATENATE("          ","5053"," - ","PURCHASES @ COST-FOOD")</f>
        <v xml:space="preserve">          5053 - PURCHASES @ COST-FOOD</v>
      </c>
      <c r="C27" s="12"/>
      <c r="D27" s="3">
        <v>1344.8</v>
      </c>
      <c r="E27" s="3"/>
      <c r="F27" s="20">
        <f>IF(D$12=0,0,D27/D$12)</f>
        <v>1.299262035008774E-2</v>
      </c>
      <c r="G27" s="3"/>
      <c r="H27" s="3">
        <v>176.4</v>
      </c>
      <c r="I27" s="3"/>
      <c r="J27" s="20">
        <f>IF(H$12=0,0,H27/H$12)</f>
        <v>3.3988439306358385</v>
      </c>
      <c r="K27" s="3"/>
      <c r="L27" s="3">
        <f>+D27-H27</f>
        <v>1168.3999999999999</v>
      </c>
      <c r="M27" s="3"/>
      <c r="N27" s="20">
        <f>IF(H27=0,0,L27/H27)</f>
        <v>6.6235827664399087</v>
      </c>
      <c r="O27" s="12"/>
      <c r="P27" s="3">
        <v>28404.14</v>
      </c>
      <c r="Q27" s="3"/>
      <c r="R27" s="20">
        <f>IF(P$12=0,0,P27/P$12)</f>
        <v>6.9018369428891113E-2</v>
      </c>
      <c r="S27" s="3"/>
      <c r="T27" s="3">
        <v>-2470.15</v>
      </c>
      <c r="U27" s="3"/>
      <c r="V27" s="20">
        <f>IF(T$12=0,0,T27/T$12)</f>
        <v>-0.85980465867479783</v>
      </c>
      <c r="W27" s="3"/>
      <c r="X27" s="3">
        <f>+P27-T27</f>
        <v>30874.29</v>
      </c>
      <c r="Y27" s="3"/>
      <c r="Z27" s="20">
        <f>IF(T27=0,0,X27/T27)</f>
        <v>-12.498953504847883</v>
      </c>
    </row>
    <row r="28" spans="1:26" s="69" customFormat="1" ht="15" hidden="1" customHeight="1" outlineLevel="1" x14ac:dyDescent="0.3">
      <c r="A28" s="42"/>
      <c r="B28" s="12" t="str">
        <f>CONCATENATE("          ","5059"," - ","PURCHASES @ COST-FOOD")</f>
        <v xml:space="preserve">          5059 - PURCHASES @ COST-FOOD</v>
      </c>
      <c r="C28" s="12"/>
      <c r="D28" s="3">
        <v>48685.02</v>
      </c>
      <c r="E28" s="3"/>
      <c r="F28" s="20">
        <f>IF(D$12=0,0,D28/D$12)</f>
        <v>0.47036435276355493</v>
      </c>
      <c r="G28" s="3"/>
      <c r="H28" s="3">
        <v>24.08</v>
      </c>
      <c r="I28" s="3"/>
      <c r="J28" s="20">
        <f>IF(H$12=0,0,H28/H$12)</f>
        <v>0.46396917148362232</v>
      </c>
      <c r="K28" s="3"/>
      <c r="L28" s="3">
        <f>+D28-H28</f>
        <v>48660.939999999995</v>
      </c>
      <c r="M28" s="3"/>
      <c r="N28" s="20">
        <f>IF(H28=0,0,L28/H28)</f>
        <v>2020.8031561461794</v>
      </c>
      <c r="O28" s="12"/>
      <c r="P28" s="3">
        <v>167582.81</v>
      </c>
      <c r="Q28" s="3"/>
      <c r="R28" s="20">
        <f>IF(P$12=0,0,P28/P$12)</f>
        <v>0.40720445296043706</v>
      </c>
      <c r="S28" s="3"/>
      <c r="T28" s="3">
        <v>30889.99</v>
      </c>
      <c r="U28" s="3"/>
      <c r="V28" s="20">
        <f>IF(T$12=0,0,T28/T$12)</f>
        <v>10.752123275273938</v>
      </c>
      <c r="W28" s="3"/>
      <c r="X28" s="3">
        <f>+P28-T28</f>
        <v>136692.82</v>
      </c>
      <c r="Y28" s="3"/>
      <c r="Z28" s="20">
        <f>IF(T28=0,0,X28/T28)</f>
        <v>4.4251493768693351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288</v>
      </c>
      <c r="C30" s="28"/>
      <c r="D30" s="21">
        <f>D12-D25</f>
        <v>55971.089999999989</v>
      </c>
      <c r="E30" s="15"/>
      <c r="F30" s="23">
        <f>IF(D$12=0,0,D30/D$12)</f>
        <v>0.54075782491864388</v>
      </c>
      <c r="G30" s="15"/>
      <c r="H30" s="21">
        <f>H12-H25</f>
        <v>-148.58000000000001</v>
      </c>
      <c r="I30" s="15"/>
      <c r="J30" s="23">
        <f>IF(H$12=0,0,H30/H$12)</f>
        <v>-2.8628131021194609</v>
      </c>
      <c r="K30" s="16"/>
      <c r="L30" s="21">
        <f>+D30-H30</f>
        <v>56119.669999999991</v>
      </c>
      <c r="M30" s="16"/>
      <c r="N30" s="23">
        <f>IF(H30=0,0,L30/H30)</f>
        <v>-377.70675730246325</v>
      </c>
      <c r="O30" s="27"/>
      <c r="P30" s="21">
        <f>P12-P25</f>
        <v>223619.69</v>
      </c>
      <c r="Q30" s="15"/>
      <c r="R30" s="23">
        <f>IF(P$12=0,0,P30/P$12)</f>
        <v>0.54336679005222854</v>
      </c>
      <c r="S30" s="15"/>
      <c r="T30" s="21">
        <f>T12-T25</f>
        <v>-25546.92</v>
      </c>
      <c r="U30" s="15"/>
      <c r="V30" s="23">
        <f>IF(T$12=0,0,T30/T$12)</f>
        <v>-8.8923186165991392</v>
      </c>
      <c r="W30" s="16"/>
      <c r="X30" s="21">
        <f>+P30-T30</f>
        <v>249166.61</v>
      </c>
      <c r="Y30" s="16"/>
      <c r="Z30" s="23">
        <f>IF(T30=0,0,X30/T30)</f>
        <v>-9.7532935477153408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2" customFormat="1" ht="15" customHeight="1" x14ac:dyDescent="0.3">
      <c r="A32" s="11"/>
      <c r="B32" s="27" t="s">
        <v>289</v>
      </c>
      <c r="C32" s="11"/>
      <c r="D32" s="22" cm="1">
        <f t="array" ref="D32">SUM(OSRRefD22x_0)</f>
        <v>63234.210000000014</v>
      </c>
      <c r="E32" s="22"/>
      <c r="F32" s="32">
        <f t="shared" ref="F32:F63" si="4">IF(D$12=0,0,D32/D$12)</f>
        <v>0.61092956846201807</v>
      </c>
      <c r="G32" s="22"/>
      <c r="H32" s="22" cm="1">
        <f t="array" ref="H32">SUM(OSRRefH22x_0)</f>
        <v>15574.200000000003</v>
      </c>
      <c r="I32" s="22"/>
      <c r="J32" s="32">
        <f t="shared" ref="J32:J63" si="5">IF(H$12=0,0,H32/H$12)</f>
        <v>300.08092485549139</v>
      </c>
      <c r="K32" s="5"/>
      <c r="L32" s="22">
        <f t="shared" ref="L32:L63" si="6">+D32-H32</f>
        <v>47660.010000000009</v>
      </c>
      <c r="M32" s="5"/>
      <c r="N32" s="32">
        <f t="shared" ref="N32:N63" si="7">IF(H32=0,0,L32/H32)</f>
        <v>3.0601899294987867</v>
      </c>
      <c r="O32" s="11"/>
      <c r="P32" s="22" cm="1">
        <f t="array" ref="P32">SUM(OSRRefP22x_0)</f>
        <v>327991.50000000006</v>
      </c>
      <c r="Q32" s="22"/>
      <c r="R32" s="32">
        <f t="shared" ref="R32:R63" si="8">IF(P$12=0,0,P32/P$12)</f>
        <v>0.79697672651015461</v>
      </c>
      <c r="S32" s="22"/>
      <c r="T32" s="22" cm="1">
        <f t="array" ref="T32">SUM(OSRRefT22x_0)</f>
        <v>233105.09999999998</v>
      </c>
      <c r="U32" s="22"/>
      <c r="V32" s="32">
        <f t="shared" ref="V32:V63" si="9">IF(T$12=0,0,T32/T$12)</f>
        <v>81.13873689486654</v>
      </c>
      <c r="W32" s="5"/>
      <c r="X32" s="22">
        <f t="shared" ref="X32:X63" si="10">+P32-T32</f>
        <v>94886.400000000081</v>
      </c>
      <c r="Y32" s="5"/>
      <c r="Z32" s="32">
        <f t="shared" ref="Z32:Z63" si="11">IF(T32=0,0,X32/T32)</f>
        <v>0.40705415711625398</v>
      </c>
    </row>
    <row r="33" spans="1:26" s="68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8108.85</v>
      </c>
      <c r="E33" s="2"/>
      <c r="F33" s="6">
        <f t="shared" si="4"/>
        <v>7.8342660266068551E-2</v>
      </c>
      <c r="G33" s="2"/>
      <c r="H33" s="2">
        <f>SUM(OSRRefH22_0x_0)</f>
        <v>0</v>
      </c>
      <c r="I33" s="2"/>
      <c r="J33" s="6">
        <f t="shared" si="5"/>
        <v>0</v>
      </c>
      <c r="K33" s="2"/>
      <c r="L33" s="2">
        <f t="shared" si="6"/>
        <v>8108.85</v>
      </c>
      <c r="M33" s="2"/>
      <c r="N33" s="6">
        <f t="shared" si="7"/>
        <v>0</v>
      </c>
      <c r="O33" s="14"/>
      <c r="P33" s="2">
        <f>SUM(OSRRefP22_0x_0)</f>
        <v>30985.78</v>
      </c>
      <c r="Q33" s="2"/>
      <c r="R33" s="6">
        <f t="shared" si="8"/>
        <v>7.5291419176301264E-2</v>
      </c>
      <c r="S33" s="2"/>
      <c r="T33" s="2">
        <f>SUM(OSRRefT22_0x_0)</f>
        <v>35025.26</v>
      </c>
      <c r="U33" s="2"/>
      <c r="V33" s="6">
        <f t="shared" si="9"/>
        <v>12.191519429709146</v>
      </c>
      <c r="W33" s="2"/>
      <c r="X33" s="2">
        <f t="shared" si="10"/>
        <v>-4039.4800000000032</v>
      </c>
      <c r="Y33" s="2"/>
      <c r="Z33" s="6">
        <f t="shared" si="11"/>
        <v>-0.1153304786317076</v>
      </c>
    </row>
    <row r="34" spans="1:26" s="69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8">
        <v>1689.26</v>
      </c>
      <c r="E34" s="3"/>
      <c r="F34" s="7">
        <f t="shared" si="4"/>
        <v>1.6320578415072291E-2</v>
      </c>
      <c r="G34" s="3"/>
      <c r="H34" s="8"/>
      <c r="I34" s="3"/>
      <c r="J34" s="7">
        <f t="shared" si="5"/>
        <v>0</v>
      </c>
      <c r="K34" s="3"/>
      <c r="L34" s="8">
        <f t="shared" si="6"/>
        <v>1689.26</v>
      </c>
      <c r="M34" s="3"/>
      <c r="N34" s="7">
        <f t="shared" si="7"/>
        <v>0</v>
      </c>
      <c r="O34" s="12"/>
      <c r="P34" s="8">
        <v>6158.83</v>
      </c>
      <c r="Q34" s="3"/>
      <c r="R34" s="7">
        <f t="shared" si="8"/>
        <v>1.4965156635255899E-2</v>
      </c>
      <c r="S34" s="3"/>
      <c r="T34" s="8">
        <v>3909.68</v>
      </c>
      <c r="U34" s="3"/>
      <c r="V34" s="7">
        <f t="shared" si="9"/>
        <v>1.3608732578700415</v>
      </c>
      <c r="W34" s="3"/>
      <c r="X34" s="8">
        <f t="shared" si="10"/>
        <v>2249.15</v>
      </c>
      <c r="Y34" s="3"/>
      <c r="Z34" s="7">
        <f t="shared" si="11"/>
        <v>0.57527726054306239</v>
      </c>
    </row>
    <row r="35" spans="1:26" s="69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8">
        <v>402.52</v>
      </c>
      <c r="E35" s="3"/>
      <c r="F35" s="7">
        <f t="shared" si="4"/>
        <v>3.8888976378028831E-3</v>
      </c>
      <c r="G35" s="3"/>
      <c r="H35" s="8"/>
      <c r="I35" s="3"/>
      <c r="J35" s="7">
        <f t="shared" si="5"/>
        <v>0</v>
      </c>
      <c r="K35" s="3"/>
      <c r="L35" s="8">
        <f t="shared" si="6"/>
        <v>402.52</v>
      </c>
      <c r="M35" s="3"/>
      <c r="N35" s="7">
        <f t="shared" si="7"/>
        <v>0</v>
      </c>
      <c r="O35" s="12"/>
      <c r="P35" s="8">
        <v>1916.2</v>
      </c>
      <c r="Q35" s="3"/>
      <c r="R35" s="7">
        <f t="shared" si="8"/>
        <v>4.6561170132114948E-3</v>
      </c>
      <c r="S35" s="3"/>
      <c r="T35" s="8">
        <v>830.67</v>
      </c>
      <c r="U35" s="3"/>
      <c r="V35" s="7">
        <f t="shared" si="9"/>
        <v>0.28913788062319867</v>
      </c>
      <c r="W35" s="3"/>
      <c r="X35" s="8">
        <f t="shared" si="10"/>
        <v>1085.5300000000002</v>
      </c>
      <c r="Y35" s="3"/>
      <c r="Z35" s="7">
        <f t="shared" si="11"/>
        <v>1.3068125729832547</v>
      </c>
    </row>
    <row r="36" spans="1:26" s="69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8">
        <v>3036.65</v>
      </c>
      <c r="E36" s="3"/>
      <c r="F36" s="7">
        <f t="shared" si="4"/>
        <v>2.9338221732669499E-2</v>
      </c>
      <c r="G36" s="3"/>
      <c r="H36" s="8"/>
      <c r="I36" s="3"/>
      <c r="J36" s="7">
        <f t="shared" si="5"/>
        <v>0</v>
      </c>
      <c r="K36" s="3"/>
      <c r="L36" s="8">
        <f t="shared" si="6"/>
        <v>3036.65</v>
      </c>
      <c r="M36" s="3"/>
      <c r="N36" s="7">
        <f t="shared" si="7"/>
        <v>0</v>
      </c>
      <c r="O36" s="12"/>
      <c r="P36" s="8">
        <v>12180.44</v>
      </c>
      <c r="Q36" s="3"/>
      <c r="R36" s="7">
        <f t="shared" si="8"/>
        <v>2.9596886500575004E-2</v>
      </c>
      <c r="S36" s="3"/>
      <c r="T36" s="8">
        <v>18067.72</v>
      </c>
      <c r="U36" s="3"/>
      <c r="V36" s="7">
        <f t="shared" si="9"/>
        <v>6.2889742840037313</v>
      </c>
      <c r="W36" s="3"/>
      <c r="X36" s="8">
        <f t="shared" si="10"/>
        <v>-5887.2800000000007</v>
      </c>
      <c r="Y36" s="3"/>
      <c r="Z36" s="7">
        <f t="shared" si="11"/>
        <v>-0.3258452090247137</v>
      </c>
    </row>
    <row r="37" spans="1:26" s="69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8">
        <v>70.72</v>
      </c>
      <c r="E37" s="3"/>
      <c r="F37" s="7">
        <f t="shared" si="4"/>
        <v>6.8325261091478661E-4</v>
      </c>
      <c r="G37" s="3"/>
      <c r="H37" s="8"/>
      <c r="I37" s="3"/>
      <c r="J37" s="7">
        <f t="shared" si="5"/>
        <v>0</v>
      </c>
      <c r="K37" s="3"/>
      <c r="L37" s="8">
        <f t="shared" si="6"/>
        <v>70.72</v>
      </c>
      <c r="M37" s="3"/>
      <c r="N37" s="7">
        <f t="shared" si="7"/>
        <v>0</v>
      </c>
      <c r="O37" s="12"/>
      <c r="P37" s="8">
        <v>314.20999999999998</v>
      </c>
      <c r="Q37" s="3"/>
      <c r="R37" s="7">
        <f t="shared" si="8"/>
        <v>7.6348947224777355E-4</v>
      </c>
      <c r="S37" s="3"/>
      <c r="T37" s="8">
        <v>132.15</v>
      </c>
      <c r="U37" s="3"/>
      <c r="V37" s="7">
        <f t="shared" si="9"/>
        <v>4.5998496303412559E-2</v>
      </c>
      <c r="W37" s="3"/>
      <c r="X37" s="8">
        <f t="shared" si="10"/>
        <v>182.05999999999997</v>
      </c>
      <c r="Y37" s="3"/>
      <c r="Z37" s="7">
        <f t="shared" si="11"/>
        <v>1.3776768823306846</v>
      </c>
    </row>
    <row r="38" spans="1:26" s="69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8">
        <v>794.87</v>
      </c>
      <c r="E38" s="3"/>
      <c r="F38" s="7">
        <f t="shared" si="4"/>
        <v>7.6795390672770988E-3</v>
      </c>
      <c r="G38" s="3"/>
      <c r="H38" s="8"/>
      <c r="I38" s="3"/>
      <c r="J38" s="7">
        <f t="shared" si="5"/>
        <v>0</v>
      </c>
      <c r="K38" s="3"/>
      <c r="L38" s="8">
        <f t="shared" si="6"/>
        <v>794.87</v>
      </c>
      <c r="M38" s="3"/>
      <c r="N38" s="7">
        <f t="shared" si="7"/>
        <v>0</v>
      </c>
      <c r="O38" s="12"/>
      <c r="P38" s="8">
        <v>2439.41</v>
      </c>
      <c r="Q38" s="3"/>
      <c r="R38" s="7">
        <f t="shared" si="8"/>
        <v>5.9274493284616698E-3</v>
      </c>
      <c r="S38" s="3"/>
      <c r="T38" s="8">
        <v>5525.49</v>
      </c>
      <c r="U38" s="3"/>
      <c r="V38" s="7">
        <f t="shared" si="9"/>
        <v>1.9233010317029362</v>
      </c>
      <c r="W38" s="3"/>
      <c r="X38" s="8">
        <f t="shared" si="10"/>
        <v>-3086.08</v>
      </c>
      <c r="Y38" s="3"/>
      <c r="Z38" s="7">
        <f t="shared" si="11"/>
        <v>-0.55851698220429324</v>
      </c>
    </row>
    <row r="39" spans="1:26" s="69" customFormat="1" ht="15" hidden="1" customHeight="1" outlineLevel="2" x14ac:dyDescent="0.3">
      <c r="A39" s="26"/>
      <c r="B39" s="12" t="str">
        <f>CONCATENATE("          ","6117"," - ","RETIREMENT STAFF HOURLY")</f>
        <v xml:space="preserve">          6117 - RETIREMENT STAFF HOURLY</v>
      </c>
      <c r="C39" s="12"/>
      <c r="D39" s="8">
        <v>211.63</v>
      </c>
      <c r="E39" s="3"/>
      <c r="F39" s="7">
        <f t="shared" si="4"/>
        <v>2.0446373027134656E-3</v>
      </c>
      <c r="G39" s="3"/>
      <c r="H39" s="8"/>
      <c r="I39" s="3"/>
      <c r="J39" s="7">
        <f t="shared" si="5"/>
        <v>0</v>
      </c>
      <c r="K39" s="3"/>
      <c r="L39" s="8">
        <f t="shared" si="6"/>
        <v>211.63</v>
      </c>
      <c r="M39" s="3"/>
      <c r="N39" s="7">
        <f t="shared" si="7"/>
        <v>0</v>
      </c>
      <c r="O39" s="12"/>
      <c r="P39" s="8">
        <v>968.66</v>
      </c>
      <c r="Q39" s="3"/>
      <c r="R39" s="7">
        <f t="shared" si="8"/>
        <v>2.3537179344627107E-3</v>
      </c>
      <c r="S39" s="3"/>
      <c r="T39" s="8"/>
      <c r="U39" s="3"/>
      <c r="V39" s="7">
        <f t="shared" si="9"/>
        <v>0</v>
      </c>
      <c r="W39" s="3"/>
      <c r="X39" s="8">
        <f t="shared" si="10"/>
        <v>968.66</v>
      </c>
      <c r="Y39" s="3"/>
      <c r="Z39" s="7">
        <f t="shared" si="11"/>
        <v>0</v>
      </c>
    </row>
    <row r="40" spans="1:26" s="69" customFormat="1" ht="15" hidden="1" customHeight="1" outlineLevel="2" x14ac:dyDescent="0.3">
      <c r="A40" s="26"/>
      <c r="B40" s="12" t="str">
        <f>CONCATENATE("          ","6118"," - ","VACATION")</f>
        <v xml:space="preserve">          6118 - VACATION</v>
      </c>
      <c r="C40" s="12"/>
      <c r="D40" s="8">
        <v>797.52</v>
      </c>
      <c r="E40" s="3"/>
      <c r="F40" s="7">
        <f t="shared" si="4"/>
        <v>7.7051417174315694E-3</v>
      </c>
      <c r="G40" s="3"/>
      <c r="H40" s="8"/>
      <c r="I40" s="3"/>
      <c r="J40" s="7">
        <f t="shared" si="5"/>
        <v>0</v>
      </c>
      <c r="K40" s="3"/>
      <c r="L40" s="8">
        <f t="shared" si="6"/>
        <v>797.52</v>
      </c>
      <c r="M40" s="3"/>
      <c r="N40" s="7">
        <f t="shared" si="7"/>
        <v>0</v>
      </c>
      <c r="O40" s="12"/>
      <c r="P40" s="8">
        <v>2637.42</v>
      </c>
      <c r="Q40" s="3"/>
      <c r="R40" s="7">
        <f t="shared" si="8"/>
        <v>6.4085878994803577E-3</v>
      </c>
      <c r="S40" s="3"/>
      <c r="T40" s="8">
        <v>3386</v>
      </c>
      <c r="U40" s="3"/>
      <c r="V40" s="7">
        <f t="shared" si="9"/>
        <v>1.1785918159920916</v>
      </c>
      <c r="W40" s="3"/>
      <c r="X40" s="8">
        <f t="shared" si="10"/>
        <v>-748.57999999999993</v>
      </c>
      <c r="Y40" s="3"/>
      <c r="Z40" s="7">
        <f t="shared" si="11"/>
        <v>-0.22108092144122857</v>
      </c>
    </row>
    <row r="41" spans="1:26" s="69" customFormat="1" ht="15" hidden="1" customHeight="1" outlineLevel="2" x14ac:dyDescent="0.3">
      <c r="A41" s="26"/>
      <c r="B41" s="12" t="str">
        <f>CONCATENATE("          ","6119"," - ","SICK LEAVE")</f>
        <v xml:space="preserve">          6119 - SICK LEAVE</v>
      </c>
      <c r="C41" s="12"/>
      <c r="D41" s="8">
        <v>641.97</v>
      </c>
      <c r="E41" s="3"/>
      <c r="F41" s="7">
        <f t="shared" si="4"/>
        <v>6.20231446025121E-3</v>
      </c>
      <c r="G41" s="3"/>
      <c r="H41" s="8"/>
      <c r="I41" s="3"/>
      <c r="J41" s="7">
        <f t="shared" si="5"/>
        <v>0</v>
      </c>
      <c r="K41" s="3"/>
      <c r="L41" s="8">
        <f t="shared" si="6"/>
        <v>641.97</v>
      </c>
      <c r="M41" s="3"/>
      <c r="N41" s="7">
        <f t="shared" si="7"/>
        <v>0</v>
      </c>
      <c r="O41" s="12"/>
      <c r="P41" s="8">
        <v>2219.2800000000002</v>
      </c>
      <c r="Q41" s="3"/>
      <c r="R41" s="7">
        <f t="shared" si="8"/>
        <v>5.3925620316668445E-3</v>
      </c>
      <c r="S41" s="3"/>
      <c r="T41" s="8">
        <v>2447.1799999999998</v>
      </c>
      <c r="U41" s="3"/>
      <c r="V41" s="7">
        <f t="shared" si="9"/>
        <v>0.85180930899572549</v>
      </c>
      <c r="W41" s="3"/>
      <c r="X41" s="8">
        <f t="shared" si="10"/>
        <v>-227.89999999999964</v>
      </c>
      <c r="Y41" s="3"/>
      <c r="Z41" s="7">
        <f t="shared" si="11"/>
        <v>-9.3127599931349406E-2</v>
      </c>
    </row>
    <row r="42" spans="1:26" s="69" customFormat="1" ht="15" hidden="1" customHeight="1" outlineLevel="2" x14ac:dyDescent="0.3">
      <c r="A42" s="26"/>
      <c r="B42" s="12" t="str">
        <f>CONCATENATE("          ","6156"," - ","EMPLOYEE MEALS")</f>
        <v xml:space="preserve">          6156 - EMPLOYEE MEALS</v>
      </c>
      <c r="C42" s="12"/>
      <c r="D42" s="8">
        <v>463.71</v>
      </c>
      <c r="E42" s="3"/>
      <c r="F42" s="7">
        <f t="shared" si="4"/>
        <v>4.4800773219357427E-3</v>
      </c>
      <c r="G42" s="3"/>
      <c r="H42" s="8"/>
      <c r="I42" s="3"/>
      <c r="J42" s="7">
        <f t="shared" si="5"/>
        <v>0</v>
      </c>
      <c r="K42" s="3"/>
      <c r="L42" s="8">
        <f t="shared" si="6"/>
        <v>463.71</v>
      </c>
      <c r="M42" s="3"/>
      <c r="N42" s="7">
        <f t="shared" si="7"/>
        <v>0</v>
      </c>
      <c r="O42" s="12"/>
      <c r="P42" s="8">
        <v>2151.33</v>
      </c>
      <c r="Q42" s="3"/>
      <c r="R42" s="7">
        <f t="shared" si="8"/>
        <v>5.2274523609395079E-3</v>
      </c>
      <c r="S42" s="3"/>
      <c r="T42" s="8">
        <v>726.37</v>
      </c>
      <c r="U42" s="3"/>
      <c r="V42" s="7">
        <f t="shared" si="9"/>
        <v>0.25283335421800818</v>
      </c>
      <c r="W42" s="3"/>
      <c r="X42" s="8">
        <f t="shared" si="10"/>
        <v>1424.96</v>
      </c>
      <c r="Y42" s="3"/>
      <c r="Z42" s="7">
        <f t="shared" si="11"/>
        <v>1.9617550284290375</v>
      </c>
    </row>
    <row r="43" spans="1:26" s="68" customFormat="1" ht="15" customHeight="1" outlineLevel="1" collapsed="1" x14ac:dyDescent="0.3">
      <c r="A43" s="25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34513.64</v>
      </c>
      <c r="E43" s="2"/>
      <c r="F43" s="6">
        <f t="shared" si="4"/>
        <v>0.33344930206692613</v>
      </c>
      <c r="G43" s="2"/>
      <c r="H43" s="2">
        <f>SUM(OSRRefH22_1x_0)</f>
        <v>0</v>
      </c>
      <c r="I43" s="2"/>
      <c r="J43" s="6">
        <f t="shared" si="5"/>
        <v>0</v>
      </c>
      <c r="K43" s="2"/>
      <c r="L43" s="2">
        <f t="shared" si="6"/>
        <v>34513.64</v>
      </c>
      <c r="M43" s="2"/>
      <c r="N43" s="6">
        <f t="shared" si="7"/>
        <v>0</v>
      </c>
      <c r="O43" s="14"/>
      <c r="P43" s="2">
        <f>SUM(OSRRefP22_1x_0)</f>
        <v>133957.37</v>
      </c>
      <c r="Q43" s="2"/>
      <c r="R43" s="6">
        <f t="shared" si="8"/>
        <v>0.32549900297571605</v>
      </c>
      <c r="S43" s="2"/>
      <c r="T43" s="2">
        <f>SUM(OSRRefT22_1x_0)</f>
        <v>41960.38</v>
      </c>
      <c r="U43" s="2"/>
      <c r="V43" s="6">
        <f t="shared" si="9"/>
        <v>14.605481530985895</v>
      </c>
      <c r="W43" s="2"/>
      <c r="X43" s="2">
        <f t="shared" si="10"/>
        <v>91996.989999999991</v>
      </c>
      <c r="Y43" s="2"/>
      <c r="Z43" s="6">
        <f t="shared" si="11"/>
        <v>2.1924727564431019</v>
      </c>
    </row>
    <row r="44" spans="1:26" s="69" customFormat="1" ht="15" hidden="1" customHeight="1" outlineLevel="2" x14ac:dyDescent="0.3">
      <c r="A44" s="26"/>
      <c r="B44" s="12" t="str">
        <f>CONCATENATE("          ","6002"," - ","STAFF SALARIES")</f>
        <v xml:space="preserve">          6002 - STAFF SALARIES</v>
      </c>
      <c r="C44" s="12"/>
      <c r="D44" s="8">
        <v>5541.93</v>
      </c>
      <c r="E44" s="3"/>
      <c r="F44" s="7">
        <f t="shared" si="4"/>
        <v>5.354267734738382E-2</v>
      </c>
      <c r="G44" s="3"/>
      <c r="H44" s="8"/>
      <c r="I44" s="3"/>
      <c r="J44" s="7">
        <f t="shared" si="5"/>
        <v>0</v>
      </c>
      <c r="K44" s="3"/>
      <c r="L44" s="8">
        <f t="shared" si="6"/>
        <v>5541.93</v>
      </c>
      <c r="M44" s="3"/>
      <c r="N44" s="7">
        <f t="shared" si="7"/>
        <v>0</v>
      </c>
      <c r="O44" s="12"/>
      <c r="P44" s="8">
        <v>21161.54</v>
      </c>
      <c r="Q44" s="3"/>
      <c r="R44" s="7">
        <f t="shared" si="8"/>
        <v>5.1419792516311229E-2</v>
      </c>
      <c r="S44" s="3"/>
      <c r="T44" s="8">
        <v>39828.42</v>
      </c>
      <c r="U44" s="3"/>
      <c r="V44" s="7">
        <f t="shared" si="9"/>
        <v>13.863393341965665</v>
      </c>
      <c r="W44" s="3"/>
      <c r="X44" s="8">
        <f t="shared" si="10"/>
        <v>-18666.879999999997</v>
      </c>
      <c r="Y44" s="3"/>
      <c r="Z44" s="7">
        <f t="shared" si="11"/>
        <v>-0.46868241321147058</v>
      </c>
    </row>
    <row r="45" spans="1:26" s="69" customFormat="1" ht="15" hidden="1" customHeight="1" outlineLevel="2" x14ac:dyDescent="0.3">
      <c r="A45" s="26"/>
      <c r="B45" s="12" t="str">
        <f>CONCATENATE("          ","6004"," - ","STAFF HOURLY")</f>
        <v xml:space="preserve">          6004 - STAFF HOURLY</v>
      </c>
      <c r="C45" s="12"/>
      <c r="D45" s="8">
        <v>6240.77</v>
      </c>
      <c r="E45" s="3"/>
      <c r="F45" s="7">
        <f t="shared" si="4"/>
        <v>6.0294434341327391E-2</v>
      </c>
      <c r="G45" s="3"/>
      <c r="H45" s="8"/>
      <c r="I45" s="3"/>
      <c r="J45" s="7">
        <f t="shared" si="5"/>
        <v>0</v>
      </c>
      <c r="K45" s="3"/>
      <c r="L45" s="8">
        <f t="shared" si="6"/>
        <v>6240.77</v>
      </c>
      <c r="M45" s="3"/>
      <c r="N45" s="7">
        <f t="shared" si="7"/>
        <v>0</v>
      </c>
      <c r="O45" s="12"/>
      <c r="P45" s="8">
        <v>24632.99</v>
      </c>
      <c r="Q45" s="3"/>
      <c r="R45" s="7">
        <f t="shared" si="8"/>
        <v>5.9854964943778642E-2</v>
      </c>
      <c r="S45" s="3"/>
      <c r="T45" s="8"/>
      <c r="U45" s="3"/>
      <c r="V45" s="7">
        <f t="shared" si="9"/>
        <v>0</v>
      </c>
      <c r="W45" s="3"/>
      <c r="X45" s="8">
        <f t="shared" si="10"/>
        <v>24632.99</v>
      </c>
      <c r="Y45" s="3"/>
      <c r="Z45" s="7">
        <f t="shared" si="11"/>
        <v>0</v>
      </c>
    </row>
    <row r="46" spans="1:26" s="69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8">
        <v>5012.8</v>
      </c>
      <c r="E46" s="3"/>
      <c r="F46" s="7">
        <f t="shared" si="4"/>
        <v>4.8430552714842229E-2</v>
      </c>
      <c r="G46" s="3"/>
      <c r="H46" s="8"/>
      <c r="I46" s="3"/>
      <c r="J46" s="7">
        <f t="shared" si="5"/>
        <v>0</v>
      </c>
      <c r="K46" s="3"/>
      <c r="L46" s="8">
        <f t="shared" si="6"/>
        <v>5012.8</v>
      </c>
      <c r="M46" s="3"/>
      <c r="N46" s="7">
        <f t="shared" si="7"/>
        <v>0</v>
      </c>
      <c r="O46" s="12"/>
      <c r="P46" s="8">
        <v>26220.47</v>
      </c>
      <c r="Q46" s="3"/>
      <c r="R46" s="7">
        <f t="shared" si="8"/>
        <v>6.3712335070139653E-2</v>
      </c>
      <c r="S46" s="3"/>
      <c r="T46" s="8">
        <v>2131.96</v>
      </c>
      <c r="U46" s="3"/>
      <c r="V46" s="7">
        <f t="shared" si="9"/>
        <v>0.74208818902023033</v>
      </c>
      <c r="W46" s="3"/>
      <c r="X46" s="8">
        <f t="shared" si="10"/>
        <v>24088.510000000002</v>
      </c>
      <c r="Y46" s="3"/>
      <c r="Z46" s="7">
        <f t="shared" si="11"/>
        <v>11.298762640950113</v>
      </c>
    </row>
    <row r="47" spans="1:26" s="69" customFormat="1" ht="15" hidden="1" customHeight="1" outlineLevel="2" x14ac:dyDescent="0.3">
      <c r="A47" s="26"/>
      <c r="B47" s="12" t="str">
        <f>CONCATENATE("          ","6006"," - ","TEMPORARY PART TIME")</f>
        <v xml:space="preserve">          6006 - TEMPORARY PART TIME</v>
      </c>
      <c r="C47" s="12"/>
      <c r="D47" s="8">
        <v>2858.76</v>
      </c>
      <c r="E47" s="3"/>
      <c r="F47" s="7">
        <f t="shared" si="4"/>
        <v>2.7619559303998242E-2</v>
      </c>
      <c r="G47" s="3"/>
      <c r="H47" s="8"/>
      <c r="I47" s="3"/>
      <c r="J47" s="7">
        <f t="shared" si="5"/>
        <v>0</v>
      </c>
      <c r="K47" s="3"/>
      <c r="L47" s="8">
        <f t="shared" si="6"/>
        <v>2858.76</v>
      </c>
      <c r="M47" s="3"/>
      <c r="N47" s="7">
        <f t="shared" si="7"/>
        <v>0</v>
      </c>
      <c r="O47" s="12"/>
      <c r="P47" s="8">
        <v>5202</v>
      </c>
      <c r="Q47" s="3"/>
      <c r="R47" s="7">
        <f t="shared" si="8"/>
        <v>1.264018406362916E-2</v>
      </c>
      <c r="S47" s="3"/>
      <c r="T47" s="8"/>
      <c r="U47" s="3"/>
      <c r="V47" s="7">
        <f t="shared" si="9"/>
        <v>0</v>
      </c>
      <c r="W47" s="3"/>
      <c r="X47" s="8">
        <f t="shared" si="10"/>
        <v>5202</v>
      </c>
      <c r="Y47" s="3"/>
      <c r="Z47" s="7">
        <f t="shared" si="11"/>
        <v>0</v>
      </c>
    </row>
    <row r="48" spans="1:26" s="69" customFormat="1" ht="15" hidden="1" customHeight="1" outlineLevel="2" x14ac:dyDescent="0.3">
      <c r="A48" s="26"/>
      <c r="B48" s="12" t="str">
        <f>CONCATENATE("          ","6007"," - ","STUDENT HOURLY")</f>
        <v xml:space="preserve">          6007 - STUDENT HOURLY</v>
      </c>
      <c r="C48" s="12"/>
      <c r="D48" s="8">
        <v>11134.09</v>
      </c>
      <c r="E48" s="3"/>
      <c r="F48" s="7">
        <f t="shared" si="4"/>
        <v>0.10757064568241256</v>
      </c>
      <c r="G48" s="3"/>
      <c r="H48" s="8"/>
      <c r="I48" s="3"/>
      <c r="J48" s="7">
        <f t="shared" si="5"/>
        <v>0</v>
      </c>
      <c r="K48" s="3"/>
      <c r="L48" s="8">
        <f t="shared" si="6"/>
        <v>11134.09</v>
      </c>
      <c r="M48" s="3"/>
      <c r="N48" s="7">
        <f t="shared" si="7"/>
        <v>0</v>
      </c>
      <c r="O48" s="12"/>
      <c r="P48" s="8">
        <v>49125.51</v>
      </c>
      <c r="Q48" s="3"/>
      <c r="R48" s="7">
        <f t="shared" si="8"/>
        <v>0.11936860603991829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49125.51</v>
      </c>
      <c r="Y48" s="3"/>
      <c r="Z48" s="7">
        <f t="shared" si="11"/>
        <v>0</v>
      </c>
    </row>
    <row r="49" spans="1:26" s="69" customFormat="1" ht="15" hidden="1" customHeight="1" outlineLevel="2" x14ac:dyDescent="0.3">
      <c r="A49" s="26"/>
      <c r="B49" s="12" t="str">
        <f>CONCATENATE("          ","6008"," - ","STUDENT HOURLY-FICA EXEMPT")</f>
        <v xml:space="preserve">          6008 - STUDENT HOURLY-FICA EXEMPT</v>
      </c>
      <c r="C49" s="12"/>
      <c r="D49" s="8">
        <v>3725.29</v>
      </c>
      <c r="E49" s="3"/>
      <c r="F49" s="7">
        <f t="shared" si="4"/>
        <v>3.59914326769619E-2</v>
      </c>
      <c r="G49" s="3"/>
      <c r="H49" s="8"/>
      <c r="I49" s="3"/>
      <c r="J49" s="7">
        <f t="shared" si="5"/>
        <v>0</v>
      </c>
      <c r="K49" s="3"/>
      <c r="L49" s="8">
        <f t="shared" si="6"/>
        <v>3725.29</v>
      </c>
      <c r="M49" s="3"/>
      <c r="N49" s="7">
        <f t="shared" si="7"/>
        <v>0</v>
      </c>
      <c r="O49" s="12"/>
      <c r="P49" s="8">
        <v>7614.86</v>
      </c>
      <c r="Q49" s="3"/>
      <c r="R49" s="7">
        <f t="shared" si="8"/>
        <v>1.850312034193909E-2</v>
      </c>
      <c r="S49" s="3"/>
      <c r="T49" s="8"/>
      <c r="U49" s="3"/>
      <c r="V49" s="7">
        <f t="shared" si="9"/>
        <v>0</v>
      </c>
      <c r="W49" s="3"/>
      <c r="X49" s="8">
        <f t="shared" si="10"/>
        <v>7614.86</v>
      </c>
      <c r="Y49" s="3"/>
      <c r="Z49" s="7">
        <f t="shared" si="11"/>
        <v>0</v>
      </c>
    </row>
    <row r="50" spans="1:26" s="68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0</v>
      </c>
      <c r="E50" s="2"/>
      <c r="F50" s="6">
        <f t="shared" si="4"/>
        <v>0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1.5190818667933567E-3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69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8"/>
      <c r="E51" s="3"/>
      <c r="F51" s="7">
        <f t="shared" si="4"/>
        <v>0</v>
      </c>
      <c r="G51" s="3"/>
      <c r="H51" s="8"/>
      <c r="I51" s="3"/>
      <c r="J51" s="7">
        <f t="shared" si="5"/>
        <v>0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>
        <v>625.16999999999996</v>
      </c>
      <c r="Q51" s="3"/>
      <c r="R51" s="7">
        <f t="shared" si="8"/>
        <v>1.5190818667933567E-3</v>
      </c>
      <c r="S51" s="3"/>
      <c r="T51" s="8"/>
      <c r="U51" s="3"/>
      <c r="V51" s="7">
        <f t="shared" si="9"/>
        <v>0</v>
      </c>
      <c r="W51" s="3"/>
      <c r="X51" s="8">
        <f t="shared" si="10"/>
        <v>625.16999999999996</v>
      </c>
      <c r="Y51" s="3"/>
      <c r="Z51" s="7">
        <f t="shared" si="11"/>
        <v>0</v>
      </c>
    </row>
    <row r="52" spans="1:26" s="68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0.41</v>
      </c>
      <c r="E52" s="2"/>
      <c r="F52" s="6">
        <f t="shared" si="4"/>
        <v>3.9611647408804085E-6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0.41</v>
      </c>
      <c r="M52" s="2"/>
      <c r="N52" s="6">
        <f t="shared" si="7"/>
        <v>0</v>
      </c>
      <c r="O52" s="14"/>
      <c r="P52" s="2">
        <f>SUM(OSRRefP22_3x_0)</f>
        <v>8.77</v>
      </c>
      <c r="Q52" s="2"/>
      <c r="R52" s="6">
        <f t="shared" si="8"/>
        <v>2.1309960445603178E-5</v>
      </c>
      <c r="S52" s="2"/>
      <c r="T52" s="2">
        <f>SUM(OSRRefT22_3x_0)</f>
        <v>3.31</v>
      </c>
      <c r="U52" s="2"/>
      <c r="V52" s="6">
        <f t="shared" si="9"/>
        <v>1.1521378945463152E-3</v>
      </c>
      <c r="W52" s="2"/>
      <c r="X52" s="2">
        <f t="shared" si="10"/>
        <v>5.4599999999999991</v>
      </c>
      <c r="Y52" s="2"/>
      <c r="Z52" s="6">
        <f t="shared" si="11"/>
        <v>1.6495468277945615</v>
      </c>
    </row>
    <row r="53" spans="1:26" s="69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8">
        <v>0.41</v>
      </c>
      <c r="E53" s="3"/>
      <c r="F53" s="7">
        <f t="shared" si="4"/>
        <v>3.9611647408804085E-6</v>
      </c>
      <c r="G53" s="3"/>
      <c r="H53" s="8"/>
      <c r="I53" s="3"/>
      <c r="J53" s="7">
        <f t="shared" si="5"/>
        <v>0</v>
      </c>
      <c r="K53" s="3"/>
      <c r="L53" s="8">
        <f t="shared" si="6"/>
        <v>0.41</v>
      </c>
      <c r="M53" s="3"/>
      <c r="N53" s="7">
        <f t="shared" si="7"/>
        <v>0</v>
      </c>
      <c r="O53" s="12"/>
      <c r="P53" s="8">
        <v>8.77</v>
      </c>
      <c r="Q53" s="3"/>
      <c r="R53" s="7">
        <f t="shared" si="8"/>
        <v>2.1309960445603178E-5</v>
      </c>
      <c r="S53" s="3"/>
      <c r="T53" s="8">
        <v>3.31</v>
      </c>
      <c r="U53" s="3"/>
      <c r="V53" s="7">
        <f t="shared" si="9"/>
        <v>1.1521378945463152E-3</v>
      </c>
      <c r="W53" s="3"/>
      <c r="X53" s="8">
        <f t="shared" si="10"/>
        <v>5.4599999999999991</v>
      </c>
      <c r="Y53" s="3"/>
      <c r="Z53" s="7">
        <f t="shared" si="11"/>
        <v>1.6495468277945615</v>
      </c>
    </row>
    <row r="54" spans="1:26" s="68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5711.76</v>
      </c>
      <c r="E54" s="2"/>
      <c r="F54" s="6">
        <f t="shared" si="4"/>
        <v>5.5183469074075821E-2</v>
      </c>
      <c r="G54" s="2"/>
      <c r="H54" s="2">
        <f>SUM(OSRRefH22_4x_0)</f>
        <v>736.54</v>
      </c>
      <c r="I54" s="2"/>
      <c r="J54" s="6">
        <f t="shared" si="5"/>
        <v>14.191522157996147</v>
      </c>
      <c r="K54" s="2"/>
      <c r="L54" s="2">
        <f t="shared" si="6"/>
        <v>4975.22</v>
      </c>
      <c r="M54" s="2"/>
      <c r="N54" s="6">
        <f t="shared" si="7"/>
        <v>6.7548537757623492</v>
      </c>
      <c r="O54" s="14"/>
      <c r="P54" s="2">
        <f>SUM(OSRRefP22_4x_0)</f>
        <v>19670.39</v>
      </c>
      <c r="Q54" s="2"/>
      <c r="R54" s="6">
        <f t="shared" si="8"/>
        <v>4.7796491773043133E-2</v>
      </c>
      <c r="S54" s="2"/>
      <c r="T54" s="2">
        <f>SUM(OSRRefT22_4x_0)</f>
        <v>2324.7199999999998</v>
      </c>
      <c r="U54" s="2"/>
      <c r="V54" s="6">
        <f t="shared" si="9"/>
        <v>0.8091836876766495</v>
      </c>
      <c r="W54" s="2"/>
      <c r="X54" s="2">
        <f t="shared" si="10"/>
        <v>17345.669999999998</v>
      </c>
      <c r="Y54" s="2"/>
      <c r="Z54" s="6">
        <f t="shared" si="11"/>
        <v>7.4614018032279157</v>
      </c>
    </row>
    <row r="55" spans="1:26" s="69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8">
        <v>5711.76</v>
      </c>
      <c r="E55" s="3"/>
      <c r="F55" s="7">
        <f t="shared" si="4"/>
        <v>5.5183469074075821E-2</v>
      </c>
      <c r="G55" s="3"/>
      <c r="H55" s="8">
        <v>736.54</v>
      </c>
      <c r="I55" s="3"/>
      <c r="J55" s="7">
        <f t="shared" si="5"/>
        <v>14.191522157996147</v>
      </c>
      <c r="K55" s="3"/>
      <c r="L55" s="8">
        <f t="shared" si="6"/>
        <v>4975.22</v>
      </c>
      <c r="M55" s="3"/>
      <c r="N55" s="7">
        <f t="shared" si="7"/>
        <v>6.7548537757623492</v>
      </c>
      <c r="O55" s="12"/>
      <c r="P55" s="8">
        <v>19670.39</v>
      </c>
      <c r="Q55" s="3"/>
      <c r="R55" s="7">
        <f t="shared" si="8"/>
        <v>4.7796491773043133E-2</v>
      </c>
      <c r="S55" s="3"/>
      <c r="T55" s="8">
        <v>2324.7199999999998</v>
      </c>
      <c r="U55" s="3"/>
      <c r="V55" s="7">
        <f t="shared" si="9"/>
        <v>0.8091836876766495</v>
      </c>
      <c r="W55" s="3"/>
      <c r="X55" s="8">
        <f t="shared" si="10"/>
        <v>17345.669999999998</v>
      </c>
      <c r="Y55" s="3"/>
      <c r="Z55" s="7">
        <f t="shared" si="11"/>
        <v>7.4614018032279157</v>
      </c>
    </row>
    <row r="56" spans="1:26" s="68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6.1105796816788696E-2</v>
      </c>
      <c r="G56" s="2"/>
      <c r="H56" s="2">
        <f>SUM(OSRRefH22_5x_0)</f>
        <v>9152.09</v>
      </c>
      <c r="I56" s="2"/>
      <c r="J56" s="6">
        <f t="shared" si="5"/>
        <v>176.34084778420041</v>
      </c>
      <c r="K56" s="2"/>
      <c r="L56" s="2">
        <f t="shared" si="6"/>
        <v>-2827.34</v>
      </c>
      <c r="M56" s="2"/>
      <c r="N56" s="6">
        <f t="shared" si="7"/>
        <v>-0.30892834314347872</v>
      </c>
      <c r="O56" s="14"/>
      <c r="P56" s="2">
        <f>SUM(OSRRefP22_5x_0)</f>
        <v>65679.86</v>
      </c>
      <c r="Q56" s="2"/>
      <c r="R56" s="6">
        <f t="shared" si="8"/>
        <v>0.15959352550430494</v>
      </c>
      <c r="S56" s="2"/>
      <c r="T56" s="2">
        <f>SUM(OSRRefT22_5x_0)</f>
        <v>91702.18</v>
      </c>
      <c r="U56" s="2"/>
      <c r="V56" s="6">
        <f t="shared" si="9"/>
        <v>31.919503501663808</v>
      </c>
      <c r="W56" s="2"/>
      <c r="X56" s="2">
        <f t="shared" si="10"/>
        <v>-26022.319999999992</v>
      </c>
      <c r="Y56" s="2"/>
      <c r="Z56" s="6">
        <f t="shared" si="11"/>
        <v>-0.28376991692018655</v>
      </c>
    </row>
    <row r="57" spans="1:26" s="69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8">
        <v>5080.51</v>
      </c>
      <c r="E57" s="3"/>
      <c r="F57" s="7">
        <f t="shared" si="4"/>
        <v>4.9084724579732508E-2</v>
      </c>
      <c r="G57" s="3"/>
      <c r="H57" s="8">
        <v>5080.51</v>
      </c>
      <c r="I57" s="3"/>
      <c r="J57" s="7">
        <f t="shared" si="5"/>
        <v>97.890366088631993</v>
      </c>
      <c r="K57" s="3"/>
      <c r="L57" s="8">
        <f t="shared" si="6"/>
        <v>0</v>
      </c>
      <c r="M57" s="3"/>
      <c r="N57" s="7">
        <f t="shared" si="7"/>
        <v>0</v>
      </c>
      <c r="O57" s="12"/>
      <c r="P57" s="8">
        <v>50805.1</v>
      </c>
      <c r="Q57" s="3"/>
      <c r="R57" s="7">
        <f t="shared" si="8"/>
        <v>0.1234497914977097</v>
      </c>
      <c r="S57" s="3"/>
      <c r="T57" s="8">
        <v>50805.1</v>
      </c>
      <c r="U57" s="3"/>
      <c r="V57" s="7">
        <f t="shared" si="9"/>
        <v>17.684133216379152</v>
      </c>
      <c r="W57" s="3"/>
      <c r="X57" s="8">
        <f t="shared" si="10"/>
        <v>0</v>
      </c>
      <c r="Y57" s="3"/>
      <c r="Z57" s="7">
        <f t="shared" si="11"/>
        <v>0</v>
      </c>
    </row>
    <row r="58" spans="1:26" s="69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1244.24</v>
      </c>
      <c r="E58" s="3"/>
      <c r="F58" s="7">
        <f t="shared" si="4"/>
        <v>1.2021072237056195E-2</v>
      </c>
      <c r="G58" s="3"/>
      <c r="H58" s="8">
        <v>4071.58</v>
      </c>
      <c r="I58" s="3"/>
      <c r="J58" s="7">
        <f t="shared" si="5"/>
        <v>78.450481695568399</v>
      </c>
      <c r="K58" s="3"/>
      <c r="L58" s="8">
        <f t="shared" si="6"/>
        <v>-2827.34</v>
      </c>
      <c r="M58" s="3"/>
      <c r="N58" s="7">
        <f t="shared" si="7"/>
        <v>-0.69440855883956598</v>
      </c>
      <c r="O58" s="12"/>
      <c r="P58" s="8">
        <v>14874.76</v>
      </c>
      <c r="Q58" s="3"/>
      <c r="R58" s="7">
        <f t="shared" si="8"/>
        <v>3.6143734006595249E-2</v>
      </c>
      <c r="S58" s="3"/>
      <c r="T58" s="8">
        <v>40897.08</v>
      </c>
      <c r="U58" s="3"/>
      <c r="V58" s="7">
        <f t="shared" si="9"/>
        <v>14.235370285284658</v>
      </c>
      <c r="W58" s="3"/>
      <c r="X58" s="8">
        <f t="shared" si="10"/>
        <v>-26022.32</v>
      </c>
      <c r="Y58" s="3"/>
      <c r="Z58" s="7">
        <f t="shared" si="11"/>
        <v>-0.63628796970346047</v>
      </c>
    </row>
    <row r="59" spans="1:26" s="68" customFormat="1" ht="15" customHeight="1" outlineLevel="1" collapsed="1" x14ac:dyDescent="0.3">
      <c r="A59" s="25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SUM(OSRRefD22_6x_0)</f>
        <v>0</v>
      </c>
      <c r="E59" s="2"/>
      <c r="F59" s="6">
        <f t="shared" si="4"/>
        <v>0</v>
      </c>
      <c r="G59" s="2"/>
      <c r="H59" s="2">
        <f>SUM(OSRRefH22_6x_0)</f>
        <v>176.4</v>
      </c>
      <c r="I59" s="2"/>
      <c r="J59" s="6">
        <f t="shared" si="5"/>
        <v>3.3988439306358385</v>
      </c>
      <c r="K59" s="2"/>
      <c r="L59" s="2">
        <f t="shared" si="6"/>
        <v>-176.4</v>
      </c>
      <c r="M59" s="2"/>
      <c r="N59" s="6">
        <f t="shared" si="7"/>
        <v>-1</v>
      </c>
      <c r="O59" s="14"/>
      <c r="P59" s="2">
        <f>SUM(OSRRefP22_6x_0)</f>
        <v>30</v>
      </c>
      <c r="Q59" s="2"/>
      <c r="R59" s="6">
        <f t="shared" si="8"/>
        <v>7.2896101866373479E-5</v>
      </c>
      <c r="S59" s="2"/>
      <c r="T59" s="2">
        <f>SUM(OSRRefT22_6x_0)</f>
        <v>617.35</v>
      </c>
      <c r="U59" s="2"/>
      <c r="V59" s="6">
        <f t="shared" si="9"/>
        <v>0.21488590005986941</v>
      </c>
      <c r="W59" s="2"/>
      <c r="X59" s="2">
        <f t="shared" si="10"/>
        <v>-587.35</v>
      </c>
      <c r="Y59" s="2"/>
      <c r="Z59" s="6">
        <f t="shared" si="11"/>
        <v>-0.95140519964363812</v>
      </c>
    </row>
    <row r="60" spans="1:26" s="69" customFormat="1" ht="15" hidden="1" customHeight="1" outlineLevel="2" x14ac:dyDescent="0.3">
      <c r="A60" s="26"/>
      <c r="B60" s="12" t="str">
        <f>CONCATENATE("          ","6351"," - ","EQUIPMENT RENTAL")</f>
        <v xml:space="preserve">          6351 - EQUIPMENT RENTAL</v>
      </c>
      <c r="C60" s="12"/>
      <c r="D60" s="8"/>
      <c r="E60" s="3"/>
      <c r="F60" s="7">
        <f t="shared" si="4"/>
        <v>0</v>
      </c>
      <c r="G60" s="3"/>
      <c r="H60" s="8">
        <v>176.4</v>
      </c>
      <c r="I60" s="3"/>
      <c r="J60" s="7">
        <f t="shared" si="5"/>
        <v>3.3988439306358385</v>
      </c>
      <c r="K60" s="3"/>
      <c r="L60" s="8">
        <f t="shared" si="6"/>
        <v>-176.4</v>
      </c>
      <c r="M60" s="3"/>
      <c r="N60" s="7">
        <f t="shared" si="7"/>
        <v>-1</v>
      </c>
      <c r="O60" s="12"/>
      <c r="P60" s="8">
        <v>30</v>
      </c>
      <c r="Q60" s="3"/>
      <c r="R60" s="7">
        <f t="shared" si="8"/>
        <v>7.2896101866373479E-5</v>
      </c>
      <c r="S60" s="3"/>
      <c r="T60" s="8">
        <v>617.35</v>
      </c>
      <c r="U60" s="3"/>
      <c r="V60" s="7">
        <f t="shared" si="9"/>
        <v>0.21488590005986941</v>
      </c>
      <c r="W60" s="3"/>
      <c r="X60" s="8">
        <f t="shared" si="10"/>
        <v>-587.35</v>
      </c>
      <c r="Y60" s="3"/>
      <c r="Z60" s="7">
        <f t="shared" si="11"/>
        <v>-0.95140519964363812</v>
      </c>
    </row>
    <row r="61" spans="1:26" s="68" customFormat="1" ht="15" customHeight="1" outlineLevel="1" collapsed="1" x14ac:dyDescent="0.3">
      <c r="A61" s="25"/>
      <c r="B61" s="14" t="str">
        <f>CONCATENATE("     ","Freight out/Postage                               ")</f>
        <v xml:space="preserve">     Freight out/Postage                               </v>
      </c>
      <c r="C61" s="14"/>
      <c r="D61" s="2">
        <f>SUM(OSRRefD22_7x_0)</f>
        <v>0</v>
      </c>
      <c r="E61" s="2"/>
      <c r="F61" s="6">
        <f t="shared" si="4"/>
        <v>0</v>
      </c>
      <c r="G61" s="2"/>
      <c r="H61" s="2">
        <f>SUM(OSRRefH22_7x_0)</f>
        <v>30.28</v>
      </c>
      <c r="I61" s="2"/>
      <c r="J61" s="6">
        <f t="shared" si="5"/>
        <v>0.58342967244701349</v>
      </c>
      <c r="K61" s="2"/>
      <c r="L61" s="2">
        <f t="shared" si="6"/>
        <v>-30.28</v>
      </c>
      <c r="M61" s="2"/>
      <c r="N61" s="6">
        <f t="shared" si="7"/>
        <v>-1</v>
      </c>
      <c r="O61" s="14"/>
      <c r="P61" s="2">
        <f>SUM(OSRRefP22_7x_0)</f>
        <v>0</v>
      </c>
      <c r="Q61" s="2"/>
      <c r="R61" s="6">
        <f t="shared" si="8"/>
        <v>0</v>
      </c>
      <c r="S61" s="2"/>
      <c r="T61" s="2">
        <f>SUM(OSRRefT22_7x_0)</f>
        <v>280.10000000000002</v>
      </c>
      <c r="U61" s="2"/>
      <c r="V61" s="6">
        <f t="shared" si="9"/>
        <v>9.749662364423653E-2</v>
      </c>
      <c r="W61" s="2"/>
      <c r="X61" s="2">
        <f t="shared" si="10"/>
        <v>-280.10000000000002</v>
      </c>
      <c r="Y61" s="2"/>
      <c r="Z61" s="6">
        <f t="shared" si="11"/>
        <v>-1</v>
      </c>
    </row>
    <row r="62" spans="1:26" s="69" customFormat="1" ht="15" hidden="1" customHeight="1" outlineLevel="2" x14ac:dyDescent="0.3">
      <c r="A62" s="26"/>
      <c r="B62" s="12" t="str">
        <f>CONCATENATE("          ","6305"," - ","FREIGHT OUT")</f>
        <v xml:space="preserve">          6305 - FREIGHT OUT</v>
      </c>
      <c r="C62" s="12"/>
      <c r="D62" s="8"/>
      <c r="E62" s="3"/>
      <c r="F62" s="7">
        <f t="shared" si="4"/>
        <v>0</v>
      </c>
      <c r="G62" s="3"/>
      <c r="H62" s="8">
        <v>30.28</v>
      </c>
      <c r="I62" s="3"/>
      <c r="J62" s="7">
        <f t="shared" si="5"/>
        <v>0.58342967244701349</v>
      </c>
      <c r="K62" s="3"/>
      <c r="L62" s="8">
        <f t="shared" si="6"/>
        <v>-30.28</v>
      </c>
      <c r="M62" s="3"/>
      <c r="N62" s="7">
        <f t="shared" si="7"/>
        <v>-1</v>
      </c>
      <c r="O62" s="12"/>
      <c r="P62" s="8"/>
      <c r="Q62" s="3"/>
      <c r="R62" s="7">
        <f t="shared" si="8"/>
        <v>0</v>
      </c>
      <c r="S62" s="3"/>
      <c r="T62" s="8">
        <v>280.10000000000002</v>
      </c>
      <c r="U62" s="3"/>
      <c r="V62" s="7">
        <f t="shared" si="9"/>
        <v>9.749662364423653E-2</v>
      </c>
      <c r="W62" s="3"/>
      <c r="X62" s="8">
        <f t="shared" si="10"/>
        <v>-280.10000000000002</v>
      </c>
      <c r="Y62" s="3"/>
      <c r="Z62" s="7">
        <f t="shared" si="11"/>
        <v>-1</v>
      </c>
    </row>
    <row r="63" spans="1:26" s="68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0</v>
      </c>
      <c r="E63" s="2"/>
      <c r="F63" s="6">
        <f t="shared" si="4"/>
        <v>0</v>
      </c>
      <c r="G63" s="2"/>
      <c r="H63" s="2">
        <f>SUM(OSRRefH22_8x_0)</f>
        <v>120</v>
      </c>
      <c r="I63" s="2"/>
      <c r="J63" s="6">
        <f t="shared" si="5"/>
        <v>2.3121387283236996</v>
      </c>
      <c r="K63" s="2"/>
      <c r="L63" s="2">
        <f t="shared" si="6"/>
        <v>-120</v>
      </c>
      <c r="M63" s="2"/>
      <c r="N63" s="6">
        <f t="shared" si="7"/>
        <v>-1</v>
      </c>
      <c r="O63" s="14"/>
      <c r="P63" s="2">
        <f>SUM(OSRRefP22_8x_0)</f>
        <v>3761.91</v>
      </c>
      <c r="Q63" s="2"/>
      <c r="R63" s="6">
        <f t="shared" si="8"/>
        <v>9.1409524857376332E-3</v>
      </c>
      <c r="S63" s="2"/>
      <c r="T63" s="2">
        <f>SUM(OSRRefT22_8x_0)</f>
        <v>3554.86</v>
      </c>
      <c r="U63" s="2"/>
      <c r="V63" s="6">
        <f t="shared" si="9"/>
        <v>1.2373682525096417</v>
      </c>
      <c r="W63" s="2"/>
      <c r="X63" s="2">
        <f t="shared" si="10"/>
        <v>207.04999999999973</v>
      </c>
      <c r="Y63" s="2"/>
      <c r="Z63" s="6">
        <f t="shared" si="11"/>
        <v>5.8244206522900965E-2</v>
      </c>
    </row>
    <row r="64" spans="1:26" s="69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8"/>
      <c r="E64" s="3"/>
      <c r="F64" s="7">
        <f t="shared" ref="F64:F91" si="12">IF(D$12=0,0,D64/D$12)</f>
        <v>0</v>
      </c>
      <c r="G64" s="3"/>
      <c r="H64" s="8">
        <v>120</v>
      </c>
      <c r="I64" s="3"/>
      <c r="J64" s="7">
        <f t="shared" ref="J64:J91" si="13">IF(H$12=0,0,H64/H$12)</f>
        <v>2.3121387283236996</v>
      </c>
      <c r="K64" s="3"/>
      <c r="L64" s="8">
        <f t="shared" ref="L64:L91" si="14">+D64-H64</f>
        <v>-120</v>
      </c>
      <c r="M64" s="3"/>
      <c r="N64" s="7">
        <f t="shared" ref="N64:N91" si="15">IF(H64=0,0,L64/H64)</f>
        <v>-1</v>
      </c>
      <c r="O64" s="12"/>
      <c r="P64" s="8">
        <v>3761.91</v>
      </c>
      <c r="Q64" s="3"/>
      <c r="R64" s="7">
        <f t="shared" ref="R64:R91" si="16">IF(P$12=0,0,P64/P$12)</f>
        <v>9.1409524857376332E-3</v>
      </c>
      <c r="S64" s="3"/>
      <c r="T64" s="8">
        <v>3554.86</v>
      </c>
      <c r="U64" s="3"/>
      <c r="V64" s="7">
        <f t="shared" ref="V64:V91" si="17">IF(T$12=0,0,T64/T$12)</f>
        <v>1.2373682525096417</v>
      </c>
      <c r="W64" s="3"/>
      <c r="X64" s="8">
        <f t="shared" ref="X64:X91" si="18">+P64-T64</f>
        <v>207.04999999999973</v>
      </c>
      <c r="Y64" s="3"/>
      <c r="Z64" s="7">
        <f t="shared" ref="Z64:Z91" si="19">IF(T64=0,0,X64/T64)</f>
        <v>5.8244206522900965E-2</v>
      </c>
    </row>
    <row r="65" spans="1:26" s="68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3.1980125387288394E-3</v>
      </c>
      <c r="G65" s="2"/>
      <c r="H65" s="2">
        <f>SUM(OSRRefH22_9x_0)</f>
        <v>243.54</v>
      </c>
      <c r="I65" s="2"/>
      <c r="J65" s="6">
        <f t="shared" si="13"/>
        <v>4.6924855491329476</v>
      </c>
      <c r="K65" s="2"/>
      <c r="L65" s="2">
        <f t="shared" si="14"/>
        <v>87.47</v>
      </c>
      <c r="M65" s="2"/>
      <c r="N65" s="6">
        <f t="shared" si="15"/>
        <v>0.35916071281924944</v>
      </c>
      <c r="O65" s="14"/>
      <c r="P65" s="2">
        <f>SUM(OSRRefP22_9x_0)</f>
        <v>3310.1</v>
      </c>
      <c r="Q65" s="2"/>
      <c r="R65" s="6">
        <f t="shared" si="16"/>
        <v>8.0431128929294281E-3</v>
      </c>
      <c r="S65" s="2"/>
      <c r="T65" s="2">
        <f>SUM(OSRRefT22_9x_0)</f>
        <v>2435.4</v>
      </c>
      <c r="U65" s="2"/>
      <c r="V65" s="6">
        <f t="shared" si="17"/>
        <v>0.84770895117163025</v>
      </c>
      <c r="W65" s="2"/>
      <c r="X65" s="2">
        <f t="shared" si="18"/>
        <v>874.69999999999982</v>
      </c>
      <c r="Y65" s="2"/>
      <c r="Z65" s="6">
        <f t="shared" si="19"/>
        <v>0.35916071281924933</v>
      </c>
    </row>
    <row r="66" spans="1:26" s="69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8">
        <v>331.01</v>
      </c>
      <c r="E66" s="3"/>
      <c r="F66" s="7">
        <f t="shared" si="12"/>
        <v>3.1980125387288394E-3</v>
      </c>
      <c r="G66" s="3"/>
      <c r="H66" s="8">
        <v>243.54</v>
      </c>
      <c r="I66" s="3"/>
      <c r="J66" s="7">
        <f t="shared" si="13"/>
        <v>4.6924855491329476</v>
      </c>
      <c r="K66" s="3"/>
      <c r="L66" s="8">
        <f t="shared" si="14"/>
        <v>87.47</v>
      </c>
      <c r="M66" s="3"/>
      <c r="N66" s="7">
        <f t="shared" si="15"/>
        <v>0.35916071281924944</v>
      </c>
      <c r="O66" s="12"/>
      <c r="P66" s="8">
        <v>3310.1</v>
      </c>
      <c r="Q66" s="3"/>
      <c r="R66" s="7">
        <f t="shared" si="16"/>
        <v>8.0431128929294281E-3</v>
      </c>
      <c r="S66" s="3"/>
      <c r="T66" s="8">
        <v>2435.4</v>
      </c>
      <c r="U66" s="3"/>
      <c r="V66" s="7">
        <f t="shared" si="17"/>
        <v>0.84770895117163025</v>
      </c>
      <c r="W66" s="3"/>
      <c r="X66" s="8">
        <f t="shared" si="18"/>
        <v>874.69999999999982</v>
      </c>
      <c r="Y66" s="3"/>
      <c r="Z66" s="7">
        <f t="shared" si="19"/>
        <v>0.35916071281924933</v>
      </c>
    </row>
    <row r="67" spans="1:26" s="68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3031</v>
      </c>
      <c r="E67" s="2"/>
      <c r="F67" s="6">
        <f t="shared" si="12"/>
        <v>2.9283634950264682E-2</v>
      </c>
      <c r="G67" s="2"/>
      <c r="H67" s="2">
        <f>SUM(OSRRefH22_10x_0)</f>
        <v>3213</v>
      </c>
      <c r="I67" s="2"/>
      <c r="J67" s="6">
        <f t="shared" si="13"/>
        <v>61.907514450867055</v>
      </c>
      <c r="K67" s="2"/>
      <c r="L67" s="2">
        <f t="shared" si="14"/>
        <v>-182</v>
      </c>
      <c r="M67" s="2"/>
      <c r="N67" s="6">
        <f t="shared" si="15"/>
        <v>-5.6644880174291937E-2</v>
      </c>
      <c r="O67" s="14"/>
      <c r="P67" s="2">
        <f>SUM(OSRRefP22_10x_0)</f>
        <v>37900</v>
      </c>
      <c r="Q67" s="2"/>
      <c r="R67" s="6">
        <f t="shared" si="16"/>
        <v>9.2092075357851827E-2</v>
      </c>
      <c r="S67" s="2"/>
      <c r="T67" s="2">
        <f>SUM(OSRRefT22_10x_0)</f>
        <v>39346.85</v>
      </c>
      <c r="U67" s="2"/>
      <c r="V67" s="6">
        <f t="shared" si="17"/>
        <v>13.695769461036157</v>
      </c>
      <c r="W67" s="2"/>
      <c r="X67" s="2">
        <f t="shared" si="18"/>
        <v>-1446.8499999999985</v>
      </c>
      <c r="Y67" s="2"/>
      <c r="Z67" s="6">
        <f t="shared" si="19"/>
        <v>-3.6771685662257553E-2</v>
      </c>
    </row>
    <row r="68" spans="1:26" s="69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8">
        <v>3031</v>
      </c>
      <c r="E68" s="3"/>
      <c r="F68" s="7">
        <f t="shared" si="12"/>
        <v>2.9283634950264682E-2</v>
      </c>
      <c r="G68" s="3"/>
      <c r="H68" s="8">
        <v>3213</v>
      </c>
      <c r="I68" s="3"/>
      <c r="J68" s="7">
        <f t="shared" si="13"/>
        <v>61.907514450867055</v>
      </c>
      <c r="K68" s="3"/>
      <c r="L68" s="8">
        <f t="shared" si="14"/>
        <v>-182</v>
      </c>
      <c r="M68" s="3"/>
      <c r="N68" s="7">
        <f t="shared" si="15"/>
        <v>-5.6644880174291937E-2</v>
      </c>
      <c r="O68" s="12"/>
      <c r="P68" s="8">
        <v>37900</v>
      </c>
      <c r="Q68" s="3"/>
      <c r="R68" s="7">
        <f t="shared" si="16"/>
        <v>9.2092075357851827E-2</v>
      </c>
      <c r="S68" s="3"/>
      <c r="T68" s="8">
        <v>39346.85</v>
      </c>
      <c r="U68" s="3"/>
      <c r="V68" s="7">
        <f t="shared" si="17"/>
        <v>13.695769461036157</v>
      </c>
      <c r="W68" s="3"/>
      <c r="X68" s="8">
        <f t="shared" si="18"/>
        <v>-1446.8499999999985</v>
      </c>
      <c r="Y68" s="3"/>
      <c r="Z68" s="7">
        <f t="shared" si="19"/>
        <v>-3.6771685662257553E-2</v>
      </c>
    </row>
    <row r="69" spans="1:26" s="68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7.87</v>
      </c>
      <c r="E69" s="2"/>
      <c r="F69" s="6">
        <f t="shared" si="12"/>
        <v>7.6035040270070291E-5</v>
      </c>
      <c r="G69" s="2"/>
      <c r="H69" s="2">
        <f>SUM(OSRRefH22_11x_0)</f>
        <v>0</v>
      </c>
      <c r="I69" s="2"/>
      <c r="J69" s="6">
        <f t="shared" si="13"/>
        <v>0</v>
      </c>
      <c r="K69" s="2"/>
      <c r="L69" s="2">
        <f t="shared" si="14"/>
        <v>7.87</v>
      </c>
      <c r="M69" s="2"/>
      <c r="N69" s="6">
        <f t="shared" si="15"/>
        <v>0</v>
      </c>
      <c r="O69" s="14"/>
      <c r="P69" s="2">
        <f>SUM(OSRRefP22_11x_0)</f>
        <v>6658.3899999999994</v>
      </c>
      <c r="Q69" s="2"/>
      <c r="R69" s="6">
        <f t="shared" si="16"/>
        <v>1.6179022523534748E-2</v>
      </c>
      <c r="S69" s="2"/>
      <c r="T69" s="2">
        <f>SUM(OSRRefT22_11x_0)</f>
        <v>2826.3</v>
      </c>
      <c r="U69" s="2"/>
      <c r="V69" s="6">
        <f t="shared" si="17"/>
        <v>0.98377260766049879</v>
      </c>
      <c r="W69" s="2"/>
      <c r="X69" s="2">
        <f t="shared" si="18"/>
        <v>3832.0899999999992</v>
      </c>
      <c r="Y69" s="2"/>
      <c r="Z69" s="6">
        <f t="shared" si="19"/>
        <v>1.3558680960973708</v>
      </c>
    </row>
    <row r="70" spans="1:26" s="69" customFormat="1" ht="15" hidden="1" customHeight="1" outlineLevel="2" x14ac:dyDescent="0.3">
      <c r="A70" s="26"/>
      <c r="B70" s="12" t="str">
        <f>CONCATENATE("          ","6373"," - ","MAINTENANCE CONTRACTS")</f>
        <v xml:space="preserve">          6373 - MAINTENANCE CONTRACTS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>
        <v>1029.2</v>
      </c>
      <c r="Q70" s="3"/>
      <c r="R70" s="7">
        <f t="shared" si="16"/>
        <v>2.5008222680290527E-3</v>
      </c>
      <c r="S70" s="3"/>
      <c r="T70" s="8">
        <v>1258.05</v>
      </c>
      <c r="U70" s="3"/>
      <c r="V70" s="7">
        <f t="shared" si="17"/>
        <v>0.43789941940603982</v>
      </c>
      <c r="W70" s="3"/>
      <c r="X70" s="8">
        <f t="shared" si="18"/>
        <v>-228.84999999999991</v>
      </c>
      <c r="Y70" s="3"/>
      <c r="Z70" s="7">
        <f t="shared" si="19"/>
        <v>-0.18190850920074711</v>
      </c>
    </row>
    <row r="71" spans="1:26" s="69" customFormat="1" ht="15" hidden="1" customHeight="1" outlineLevel="2" x14ac:dyDescent="0.3">
      <c r="A71" s="26"/>
      <c r="B71" s="12" t="str">
        <f>CONCATENATE("          ","6375"," - ","OUTSIDE REPAIRS &amp; MAINTENANCE")</f>
        <v xml:space="preserve">          6375 - OUTSIDE REPAIRS &amp; MAINTENANCE</v>
      </c>
      <c r="C71" s="12"/>
      <c r="D71" s="8">
        <v>7.87</v>
      </c>
      <c r="E71" s="3"/>
      <c r="F71" s="7">
        <f t="shared" si="12"/>
        <v>7.6035040270070291E-5</v>
      </c>
      <c r="G71" s="3"/>
      <c r="H71" s="8"/>
      <c r="I71" s="3"/>
      <c r="J71" s="7">
        <f t="shared" si="13"/>
        <v>0</v>
      </c>
      <c r="K71" s="3"/>
      <c r="L71" s="8">
        <f t="shared" si="14"/>
        <v>7.87</v>
      </c>
      <c r="M71" s="3"/>
      <c r="N71" s="7">
        <f t="shared" si="15"/>
        <v>0</v>
      </c>
      <c r="O71" s="12"/>
      <c r="P71" s="8">
        <v>5629.19</v>
      </c>
      <c r="Q71" s="3"/>
      <c r="R71" s="7">
        <f t="shared" si="16"/>
        <v>1.3678200255505696E-2</v>
      </c>
      <c r="S71" s="3"/>
      <c r="T71" s="8">
        <v>1568.25</v>
      </c>
      <c r="U71" s="3"/>
      <c r="V71" s="7">
        <f t="shared" si="17"/>
        <v>0.54587318825445885</v>
      </c>
      <c r="W71" s="3"/>
      <c r="X71" s="8">
        <f t="shared" si="18"/>
        <v>4060.9399999999996</v>
      </c>
      <c r="Y71" s="3"/>
      <c r="Z71" s="7">
        <f t="shared" si="19"/>
        <v>2.5894723417822409</v>
      </c>
    </row>
    <row r="72" spans="1:26" s="68" customFormat="1" ht="15" customHeight="1" outlineLevel="1" collapsed="1" x14ac:dyDescent="0.3">
      <c r="A72" s="25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2">
        <f>SUM(OSRRefD22_12x_0)</f>
        <v>4367.51</v>
      </c>
      <c r="E72" s="2"/>
      <c r="F72" s="6">
        <f t="shared" si="12"/>
        <v>4.2196162481567309E-2</v>
      </c>
      <c r="G72" s="2"/>
      <c r="H72" s="2">
        <f>SUM(OSRRefH22_12x_0)</f>
        <v>0</v>
      </c>
      <c r="I72" s="2"/>
      <c r="J72" s="6">
        <f t="shared" si="13"/>
        <v>0</v>
      </c>
      <c r="K72" s="2"/>
      <c r="L72" s="2">
        <f t="shared" si="14"/>
        <v>4367.51</v>
      </c>
      <c r="M72" s="2"/>
      <c r="N72" s="6">
        <f t="shared" si="15"/>
        <v>0</v>
      </c>
      <c r="O72" s="14"/>
      <c r="P72" s="2">
        <f>SUM(OSRRefP22_12x_0)</f>
        <v>4367.51</v>
      </c>
      <c r="Q72" s="2"/>
      <c r="R72" s="6">
        <f t="shared" si="16"/>
        <v>1.0612481795413494E-2</v>
      </c>
      <c r="S72" s="2"/>
      <c r="T72" s="2">
        <f>SUM(OSRRefT22_12x_0)</f>
        <v>185.7</v>
      </c>
      <c r="U72" s="2"/>
      <c r="V72" s="6">
        <f t="shared" si="17"/>
        <v>6.4638068585272115E-2</v>
      </c>
      <c r="W72" s="2"/>
      <c r="X72" s="2">
        <f t="shared" si="18"/>
        <v>4181.8100000000004</v>
      </c>
      <c r="Y72" s="2"/>
      <c r="Z72" s="6">
        <f t="shared" si="19"/>
        <v>22.519170705438885</v>
      </c>
    </row>
    <row r="73" spans="1:26" s="69" customFormat="1" ht="15" hidden="1" customHeight="1" outlineLevel="2" x14ac:dyDescent="0.3">
      <c r="A73" s="26"/>
      <c r="B73" s="12" t="str">
        <f>CONCATENATE("          ","6254"," - ","ROYALTY &amp; COMMISSIONS")</f>
        <v xml:space="preserve">          6254 - ROYALTY &amp; COMMISSIONS</v>
      </c>
      <c r="C73" s="12"/>
      <c r="D73" s="8">
        <v>4367.51</v>
      </c>
      <c r="E73" s="3"/>
      <c r="F73" s="7">
        <f t="shared" si="12"/>
        <v>4.2196162481567309E-2</v>
      </c>
      <c r="G73" s="3"/>
      <c r="H73" s="8"/>
      <c r="I73" s="3"/>
      <c r="J73" s="7">
        <f t="shared" si="13"/>
        <v>0</v>
      </c>
      <c r="K73" s="3"/>
      <c r="L73" s="8">
        <f t="shared" si="14"/>
        <v>4367.51</v>
      </c>
      <c r="M73" s="3"/>
      <c r="N73" s="7">
        <f t="shared" si="15"/>
        <v>0</v>
      </c>
      <c r="O73" s="12"/>
      <c r="P73" s="8">
        <v>4367.51</v>
      </c>
      <c r="Q73" s="3"/>
      <c r="R73" s="7">
        <f t="shared" si="16"/>
        <v>1.0612481795413494E-2</v>
      </c>
      <c r="S73" s="3"/>
      <c r="T73" s="8">
        <v>185.7</v>
      </c>
      <c r="U73" s="3"/>
      <c r="V73" s="7">
        <f t="shared" si="17"/>
        <v>6.4638068585272115E-2</v>
      </c>
      <c r="W73" s="3"/>
      <c r="X73" s="8">
        <f t="shared" si="18"/>
        <v>4181.8100000000004</v>
      </c>
      <c r="Y73" s="3"/>
      <c r="Z73" s="7">
        <f t="shared" si="19"/>
        <v>22.519170705438885</v>
      </c>
    </row>
    <row r="74" spans="1:26" s="68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913.78</v>
      </c>
      <c r="E74" s="2"/>
      <c r="F74" s="6">
        <f t="shared" si="12"/>
        <v>8.8283734559065855E-3</v>
      </c>
      <c r="G74" s="2"/>
      <c r="H74" s="2">
        <f>SUM(OSRRefH22_13x_0)</f>
        <v>440.85</v>
      </c>
      <c r="I74" s="2"/>
      <c r="J74" s="6">
        <f t="shared" si="13"/>
        <v>8.4942196531791918</v>
      </c>
      <c r="K74" s="2"/>
      <c r="L74" s="2">
        <f t="shared" si="14"/>
        <v>472.92999999999995</v>
      </c>
      <c r="M74" s="2"/>
      <c r="N74" s="6">
        <f t="shared" si="15"/>
        <v>1.0727685153680389</v>
      </c>
      <c r="O74" s="14"/>
      <c r="P74" s="2">
        <f>SUM(OSRRefP22_13x_0)</f>
        <v>12416.800000000001</v>
      </c>
      <c r="Q74" s="2"/>
      <c r="R74" s="6">
        <f t="shared" si="16"/>
        <v>3.017121058847954E-2</v>
      </c>
      <c r="S74" s="2"/>
      <c r="T74" s="2">
        <f>SUM(OSRRefT22_13x_0)</f>
        <v>2446.21</v>
      </c>
      <c r="U74" s="2"/>
      <c r="V74" s="6">
        <f t="shared" si="17"/>
        <v>0.85147167341937824</v>
      </c>
      <c r="W74" s="2"/>
      <c r="X74" s="2">
        <f t="shared" si="18"/>
        <v>9970.59</v>
      </c>
      <c r="Y74" s="2"/>
      <c r="Z74" s="6">
        <f t="shared" si="19"/>
        <v>4.0759337914569889</v>
      </c>
    </row>
    <row r="75" spans="1:26" s="69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651.35</v>
      </c>
      <c r="E75" s="3"/>
      <c r="F75" s="7">
        <f t="shared" si="12"/>
        <v>6.2929381804206208E-3</v>
      </c>
      <c r="G75" s="3"/>
      <c r="H75" s="8">
        <v>151.85</v>
      </c>
      <c r="I75" s="3"/>
      <c r="J75" s="7">
        <f t="shared" si="13"/>
        <v>2.9258188824662814</v>
      </c>
      <c r="K75" s="3"/>
      <c r="L75" s="8">
        <f t="shared" si="14"/>
        <v>499.5</v>
      </c>
      <c r="M75" s="3"/>
      <c r="N75" s="7">
        <f t="shared" si="15"/>
        <v>3.2894303589068161</v>
      </c>
      <c r="O75" s="12"/>
      <c r="P75" s="8">
        <v>3623.2</v>
      </c>
      <c r="Q75" s="3"/>
      <c r="R75" s="7">
        <f t="shared" si="16"/>
        <v>8.8039052094081444E-3</v>
      </c>
      <c r="S75" s="3"/>
      <c r="T75" s="8">
        <v>2086.81</v>
      </c>
      <c r="U75" s="3"/>
      <c r="V75" s="7">
        <f t="shared" si="17"/>
        <v>0.72637247121395654</v>
      </c>
      <c r="W75" s="3"/>
      <c r="X75" s="8">
        <f t="shared" si="18"/>
        <v>1536.3899999999999</v>
      </c>
      <c r="Y75" s="3"/>
      <c r="Z75" s="7">
        <f t="shared" si="19"/>
        <v>0.73623856508259011</v>
      </c>
    </row>
    <row r="76" spans="1:26" s="69" customFormat="1" ht="15" hidden="1" customHeight="1" outlineLevel="2" x14ac:dyDescent="0.3">
      <c r="A76" s="26"/>
      <c r="B76" s="12" t="str">
        <f>CONCATENATE("          ","6284"," - ","TRASH REMOVAL EXPENSE")</f>
        <v xml:space="preserve">          6284 - TRASH REMOVAL EXPENSE</v>
      </c>
      <c r="C76" s="12"/>
      <c r="D76" s="8"/>
      <c r="E76" s="3"/>
      <c r="F76" s="7">
        <f t="shared" si="12"/>
        <v>0</v>
      </c>
      <c r="G76" s="3"/>
      <c r="H76" s="8">
        <v>289</v>
      </c>
      <c r="I76" s="3"/>
      <c r="J76" s="7">
        <f t="shared" si="13"/>
        <v>5.56840077071291</v>
      </c>
      <c r="K76" s="3"/>
      <c r="L76" s="8">
        <f t="shared" si="14"/>
        <v>-289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1164</v>
      </c>
      <c r="U76" s="3"/>
      <c r="V76" s="7">
        <f t="shared" si="17"/>
        <v>0.4051626916168915</v>
      </c>
      <c r="W76" s="3"/>
      <c r="X76" s="8">
        <f t="shared" si="18"/>
        <v>-1164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>
        <v>7738.84</v>
      </c>
      <c r="Q77" s="3"/>
      <c r="R77" s="7">
        <f t="shared" si="16"/>
        <v>1.880437563225219E-2</v>
      </c>
      <c r="S77" s="3"/>
      <c r="T77" s="8">
        <v>-804.6</v>
      </c>
      <c r="U77" s="3"/>
      <c r="V77" s="7">
        <f t="shared" si="17"/>
        <v>-0.28006348941146986</v>
      </c>
      <c r="W77" s="3"/>
      <c r="X77" s="8">
        <f t="shared" si="18"/>
        <v>8543.44</v>
      </c>
      <c r="Y77" s="3"/>
      <c r="Z77" s="7">
        <f t="shared" si="19"/>
        <v>-10.618245090728312</v>
      </c>
    </row>
    <row r="78" spans="1:26" s="69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8">
        <v>262.43</v>
      </c>
      <c r="E78" s="3"/>
      <c r="F78" s="7">
        <f t="shared" si="12"/>
        <v>2.5354352754859651E-3</v>
      </c>
      <c r="G78" s="3"/>
      <c r="H78" s="8"/>
      <c r="I78" s="3"/>
      <c r="J78" s="7">
        <f t="shared" si="13"/>
        <v>0</v>
      </c>
      <c r="K78" s="3"/>
      <c r="L78" s="8">
        <f t="shared" si="14"/>
        <v>262.43</v>
      </c>
      <c r="M78" s="3"/>
      <c r="N78" s="7">
        <f t="shared" si="15"/>
        <v>0</v>
      </c>
      <c r="O78" s="12"/>
      <c r="P78" s="8">
        <v>1054.76</v>
      </c>
      <c r="Q78" s="3"/>
      <c r="R78" s="7">
        <f t="shared" si="16"/>
        <v>2.5629297468192026E-3</v>
      </c>
      <c r="S78" s="3"/>
      <c r="T78" s="8"/>
      <c r="U78" s="3"/>
      <c r="V78" s="7">
        <f t="shared" si="17"/>
        <v>0</v>
      </c>
      <c r="W78" s="3"/>
      <c r="X78" s="8">
        <f t="shared" si="18"/>
        <v>1054.76</v>
      </c>
      <c r="Y78" s="3"/>
      <c r="Z78" s="7">
        <f t="shared" si="19"/>
        <v>0</v>
      </c>
    </row>
    <row r="79" spans="1:26" s="68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SUM(OSRRefD22_14x_0)</f>
        <v>-579.87</v>
      </c>
      <c r="E79" s="2"/>
      <c r="F79" s="6">
        <f t="shared" si="12"/>
        <v>-5.6023429226690798E-3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-579.87</v>
      </c>
      <c r="M79" s="2"/>
      <c r="N79" s="6">
        <f t="shared" si="15"/>
        <v>0</v>
      </c>
      <c r="O79" s="14"/>
      <c r="P79" s="2">
        <f>SUM(OSRRefP22_14x_0)</f>
        <v>5652.9500000000007</v>
      </c>
      <c r="Q79" s="2"/>
      <c r="R79" s="6">
        <f t="shared" si="16"/>
        <v>1.3735933968183865E-2</v>
      </c>
      <c r="S79" s="2"/>
      <c r="T79" s="2">
        <f>SUM(OSRRefT22_14x_0)</f>
        <v>1094.0899999999999</v>
      </c>
      <c r="U79" s="2"/>
      <c r="V79" s="6">
        <f t="shared" si="17"/>
        <v>0.3808285646659148</v>
      </c>
      <c r="W79" s="2"/>
      <c r="X79" s="2">
        <f t="shared" si="18"/>
        <v>4558.8600000000006</v>
      </c>
      <c r="Y79" s="2"/>
      <c r="Z79" s="6">
        <f t="shared" si="19"/>
        <v>4.1668052902412063</v>
      </c>
    </row>
    <row r="80" spans="1:26" s="69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>
        <v>1194.8900000000001</v>
      </c>
      <c r="Q80" s="3"/>
      <c r="R80" s="7">
        <f t="shared" si="16"/>
        <v>2.9034274386370335E-3</v>
      </c>
      <c r="S80" s="3"/>
      <c r="T80" s="8">
        <v>316.67</v>
      </c>
      <c r="U80" s="3"/>
      <c r="V80" s="7">
        <f t="shared" si="17"/>
        <v>0.11022583295044763</v>
      </c>
      <c r="W80" s="3"/>
      <c r="X80" s="8">
        <f t="shared" si="18"/>
        <v>878.22</v>
      </c>
      <c r="Y80" s="3"/>
      <c r="Z80" s="7">
        <f t="shared" si="19"/>
        <v>2.7732971231881769</v>
      </c>
    </row>
    <row r="81" spans="1:26" s="69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8"/>
      <c r="E81" s="3"/>
      <c r="F81" s="7">
        <f t="shared" si="12"/>
        <v>0</v>
      </c>
      <c r="G81" s="3"/>
      <c r="H81" s="8"/>
      <c r="I81" s="3"/>
      <c r="J81" s="7">
        <f t="shared" si="13"/>
        <v>0</v>
      </c>
      <c r="K81" s="3"/>
      <c r="L81" s="8">
        <f t="shared" si="14"/>
        <v>0</v>
      </c>
      <c r="M81" s="3"/>
      <c r="N81" s="7">
        <f t="shared" si="15"/>
        <v>0</v>
      </c>
      <c r="O81" s="12"/>
      <c r="P81" s="8">
        <v>71.45</v>
      </c>
      <c r="Q81" s="3"/>
      <c r="R81" s="7">
        <f t="shared" si="16"/>
        <v>1.7361421594507949E-4</v>
      </c>
      <c r="S81" s="3"/>
      <c r="T81" s="8">
        <v>207.27</v>
      </c>
      <c r="U81" s="3"/>
      <c r="V81" s="7">
        <f t="shared" si="17"/>
        <v>7.2146109185079993E-2</v>
      </c>
      <c r="W81" s="3"/>
      <c r="X81" s="8">
        <f t="shared" si="18"/>
        <v>-135.82</v>
      </c>
      <c r="Y81" s="3"/>
      <c r="Z81" s="7">
        <f t="shared" si="19"/>
        <v>-0.65528055193708679</v>
      </c>
    </row>
    <row r="82" spans="1:26" s="69" customFormat="1" ht="15" hidden="1" customHeight="1" outlineLevel="2" x14ac:dyDescent="0.3">
      <c r="A82" s="26"/>
      <c r="B82" s="12" t="str">
        <f>CONCATENATE("          ","6237"," - ","JANITORIAL SUPPLIES")</f>
        <v xml:space="preserve">          6237 - JANITORIAL SUPPLIES</v>
      </c>
      <c r="C82" s="12"/>
      <c r="D82" s="8">
        <v>50.12</v>
      </c>
      <c r="E82" s="3"/>
      <c r="F82" s="7">
        <f t="shared" si="12"/>
        <v>4.8422823612908803E-4</v>
      </c>
      <c r="G82" s="3"/>
      <c r="H82" s="8"/>
      <c r="I82" s="3"/>
      <c r="J82" s="7">
        <f t="shared" si="13"/>
        <v>0</v>
      </c>
      <c r="K82" s="3"/>
      <c r="L82" s="8">
        <f t="shared" si="14"/>
        <v>50.12</v>
      </c>
      <c r="M82" s="3"/>
      <c r="N82" s="7">
        <f t="shared" si="15"/>
        <v>0</v>
      </c>
      <c r="O82" s="12"/>
      <c r="P82" s="8">
        <v>938.81</v>
      </c>
      <c r="Q82" s="3"/>
      <c r="R82" s="7">
        <f t="shared" si="16"/>
        <v>2.2811863131056691E-3</v>
      </c>
      <c r="S82" s="3"/>
      <c r="T82" s="8">
        <v>317.57</v>
      </c>
      <c r="U82" s="3"/>
      <c r="V82" s="7">
        <f t="shared" si="17"/>
        <v>0.11053910307283182</v>
      </c>
      <c r="W82" s="3"/>
      <c r="X82" s="8">
        <f t="shared" si="18"/>
        <v>621.24</v>
      </c>
      <c r="Y82" s="3"/>
      <c r="Z82" s="7">
        <f t="shared" si="19"/>
        <v>1.9562301224926788</v>
      </c>
    </row>
    <row r="83" spans="1:26" s="69" customFormat="1" ht="15" hidden="1" customHeight="1" outlineLevel="2" x14ac:dyDescent="0.3">
      <c r="A83" s="26"/>
      <c r="B83" s="12" t="str">
        <f>CONCATENATE("          ","6241"," - ","OFFICE EXPENSE")</f>
        <v xml:space="preserve">          6241 - OFFICE EXPENSE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476.56</v>
      </c>
      <c r="Q83" s="3"/>
      <c r="R83" s="7">
        <f t="shared" si="16"/>
        <v>1.1579788768479647E-3</v>
      </c>
      <c r="S83" s="3"/>
      <c r="T83" s="8">
        <v>131.30000000000001</v>
      </c>
      <c r="U83" s="3"/>
      <c r="V83" s="7">
        <f t="shared" si="17"/>
        <v>4.5702630076716377E-2</v>
      </c>
      <c r="W83" s="3"/>
      <c r="X83" s="8">
        <f t="shared" si="18"/>
        <v>345.26</v>
      </c>
      <c r="Y83" s="3"/>
      <c r="Z83" s="7">
        <f t="shared" si="19"/>
        <v>2.6295506473724291</v>
      </c>
    </row>
    <row r="84" spans="1:26" s="69" customFormat="1" ht="15" hidden="1" customHeight="1" outlineLevel="2" x14ac:dyDescent="0.3">
      <c r="A84" s="26"/>
      <c r="B84" s="12" t="str">
        <f>CONCATENATE("          ","6243"," - ","PAPER SUPPLIES")</f>
        <v xml:space="preserve">          6243 - PAPER SUPPLIES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44.38</v>
      </c>
      <c r="Q84" s="3"/>
      <c r="R84" s="7">
        <f t="shared" si="16"/>
        <v>1.078376333609885E-4</v>
      </c>
      <c r="S84" s="3"/>
      <c r="T84" s="8"/>
      <c r="U84" s="3"/>
      <c r="V84" s="7">
        <f t="shared" si="17"/>
        <v>0</v>
      </c>
      <c r="W84" s="3"/>
      <c r="X84" s="8">
        <f t="shared" si="18"/>
        <v>44.38</v>
      </c>
      <c r="Y84" s="3"/>
      <c r="Z84" s="7">
        <f t="shared" si="19"/>
        <v>0</v>
      </c>
    </row>
    <row r="85" spans="1:26" s="69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8">
        <v>-629.99</v>
      </c>
      <c r="E85" s="3"/>
      <c r="F85" s="7">
        <f t="shared" si="12"/>
        <v>-6.086571158798168E-3</v>
      </c>
      <c r="G85" s="3"/>
      <c r="H85" s="8"/>
      <c r="I85" s="3"/>
      <c r="J85" s="7">
        <f t="shared" si="13"/>
        <v>0</v>
      </c>
      <c r="K85" s="3"/>
      <c r="L85" s="8">
        <f t="shared" si="14"/>
        <v>-629.99</v>
      </c>
      <c r="M85" s="3"/>
      <c r="N85" s="7">
        <f t="shared" si="15"/>
        <v>0</v>
      </c>
      <c r="O85" s="12"/>
      <c r="P85" s="8">
        <v>2926.86</v>
      </c>
      <c r="Q85" s="3"/>
      <c r="R85" s="7">
        <f t="shared" si="16"/>
        <v>7.1118894902871292E-3</v>
      </c>
      <c r="S85" s="3"/>
      <c r="T85" s="8">
        <v>121.28</v>
      </c>
      <c r="U85" s="3"/>
      <c r="V85" s="7">
        <f t="shared" si="17"/>
        <v>4.2214889380839005E-2</v>
      </c>
      <c r="W85" s="3"/>
      <c r="X85" s="8">
        <f t="shared" si="18"/>
        <v>2805.58</v>
      </c>
      <c r="Y85" s="3"/>
      <c r="Z85" s="7">
        <f t="shared" si="19"/>
        <v>23.133080474934037</v>
      </c>
    </row>
    <row r="86" spans="1:26" s="68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403.5</v>
      </c>
      <c r="E86" s="2"/>
      <c r="F86" s="6">
        <f t="shared" si="12"/>
        <v>3.8983657876713292E-3</v>
      </c>
      <c r="G86" s="2"/>
      <c r="H86" s="2">
        <f>SUM(OSRRefH22_15x_0)</f>
        <v>325.5</v>
      </c>
      <c r="I86" s="2"/>
      <c r="J86" s="6">
        <f t="shared" si="13"/>
        <v>6.2716763005780347</v>
      </c>
      <c r="K86" s="2"/>
      <c r="L86" s="2">
        <f t="shared" si="14"/>
        <v>78</v>
      </c>
      <c r="M86" s="2"/>
      <c r="N86" s="6">
        <f t="shared" si="15"/>
        <v>0.23963133640552994</v>
      </c>
      <c r="O86" s="14"/>
      <c r="P86" s="2">
        <f>SUM(OSRRefP22_15x_0)</f>
        <v>1646.5</v>
      </c>
      <c r="Q86" s="2"/>
      <c r="R86" s="6">
        <f t="shared" si="16"/>
        <v>4.0007810574327974E-3</v>
      </c>
      <c r="S86" s="2"/>
      <c r="T86" s="2">
        <f>SUM(OSRRefT22_15x_0)</f>
        <v>3518.39</v>
      </c>
      <c r="U86" s="2"/>
      <c r="V86" s="6">
        <f t="shared" si="17"/>
        <v>1.2246738509948065</v>
      </c>
      <c r="W86" s="2"/>
      <c r="X86" s="2">
        <f t="shared" si="18"/>
        <v>-1871.8899999999999</v>
      </c>
      <c r="Y86" s="2"/>
      <c r="Z86" s="6">
        <f t="shared" si="19"/>
        <v>-0.53203027521110502</v>
      </c>
    </row>
    <row r="87" spans="1:26" s="69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403.5</v>
      </c>
      <c r="E87" s="3"/>
      <c r="F87" s="7">
        <f t="shared" si="12"/>
        <v>3.8983657876713292E-3</v>
      </c>
      <c r="G87" s="3"/>
      <c r="H87" s="8">
        <v>325.5</v>
      </c>
      <c r="I87" s="3"/>
      <c r="J87" s="7">
        <f t="shared" si="13"/>
        <v>6.2716763005780347</v>
      </c>
      <c r="K87" s="3"/>
      <c r="L87" s="8">
        <f t="shared" si="14"/>
        <v>78</v>
      </c>
      <c r="M87" s="3"/>
      <c r="N87" s="7">
        <f t="shared" si="15"/>
        <v>0.23963133640552994</v>
      </c>
      <c r="O87" s="12"/>
      <c r="P87" s="8">
        <v>1646.5</v>
      </c>
      <c r="Q87" s="3"/>
      <c r="R87" s="7">
        <f t="shared" si="16"/>
        <v>4.0007810574327974E-3</v>
      </c>
      <c r="S87" s="3"/>
      <c r="T87" s="8">
        <v>3518.39</v>
      </c>
      <c r="U87" s="3"/>
      <c r="V87" s="7">
        <f t="shared" si="17"/>
        <v>1.2246738509948065</v>
      </c>
      <c r="W87" s="3"/>
      <c r="X87" s="8">
        <f t="shared" si="18"/>
        <v>-1871.8899999999999</v>
      </c>
      <c r="Y87" s="3"/>
      <c r="Z87" s="7">
        <f t="shared" si="19"/>
        <v>-0.53203027521110502</v>
      </c>
    </row>
    <row r="88" spans="1:26" s="68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0</v>
      </c>
      <c r="E88" s="2"/>
      <c r="F88" s="6">
        <f t="shared" si="12"/>
        <v>0</v>
      </c>
      <c r="G88" s="2"/>
      <c r="H88" s="2">
        <f>SUM(OSRRefH22_16x_0)</f>
        <v>0</v>
      </c>
      <c r="I88" s="2"/>
      <c r="J88" s="6">
        <f t="shared" si="13"/>
        <v>0</v>
      </c>
      <c r="K88" s="2"/>
      <c r="L88" s="2">
        <f t="shared" si="14"/>
        <v>0</v>
      </c>
      <c r="M88" s="2"/>
      <c r="N88" s="6">
        <f t="shared" si="15"/>
        <v>0</v>
      </c>
      <c r="O88" s="14"/>
      <c r="P88" s="2">
        <f>SUM(OSRRefP22_16x_0)</f>
        <v>320</v>
      </c>
      <c r="Q88" s="2"/>
      <c r="R88" s="6">
        <f t="shared" si="16"/>
        <v>7.7755841990798373E-4</v>
      </c>
      <c r="S88" s="2"/>
      <c r="T88" s="2">
        <f>SUM(OSRRefT22_16x_0)</f>
        <v>0</v>
      </c>
      <c r="U88" s="2"/>
      <c r="V88" s="6">
        <f t="shared" si="17"/>
        <v>0</v>
      </c>
      <c r="W88" s="2"/>
      <c r="X88" s="2">
        <f t="shared" si="18"/>
        <v>320</v>
      </c>
      <c r="Y88" s="2"/>
      <c r="Z88" s="6">
        <f t="shared" si="19"/>
        <v>0</v>
      </c>
    </row>
    <row r="89" spans="1:26" s="69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320</v>
      </c>
      <c r="Q89" s="3"/>
      <c r="R89" s="7">
        <f t="shared" si="16"/>
        <v>7.7755841990798373E-4</v>
      </c>
      <c r="S89" s="3"/>
      <c r="T89" s="8"/>
      <c r="U89" s="3"/>
      <c r="V89" s="7">
        <f t="shared" si="17"/>
        <v>0</v>
      </c>
      <c r="W89" s="3"/>
      <c r="X89" s="8">
        <f t="shared" si="18"/>
        <v>320</v>
      </c>
      <c r="Y89" s="3"/>
      <c r="Z89" s="7">
        <f t="shared" si="19"/>
        <v>0</v>
      </c>
    </row>
    <row r="90" spans="1:26" s="68" customFormat="1" ht="15" customHeight="1" outlineLevel="1" collapsed="1" x14ac:dyDescent="0.3">
      <c r="A90" s="25"/>
      <c r="B90" s="14" t="str">
        <f>CONCATENATE("     ","Utilities                                         ")</f>
        <v xml:space="preserve">     Utilities                                         </v>
      </c>
      <c r="C90" s="14"/>
      <c r="D90" s="2">
        <f>SUM(OSRRefD22_17x_0)</f>
        <v>100</v>
      </c>
      <c r="E90" s="2"/>
      <c r="F90" s="6">
        <f t="shared" si="12"/>
        <v>9.6613774167814853E-4</v>
      </c>
      <c r="G90" s="2"/>
      <c r="H90" s="2">
        <f>SUM(OSRRefH22_17x_0)</f>
        <v>1136</v>
      </c>
      <c r="I90" s="2"/>
      <c r="J90" s="6">
        <f t="shared" si="13"/>
        <v>21.888246628131022</v>
      </c>
      <c r="K90" s="2"/>
      <c r="L90" s="2">
        <f t="shared" si="14"/>
        <v>-1036</v>
      </c>
      <c r="M90" s="2"/>
      <c r="N90" s="6">
        <f t="shared" si="15"/>
        <v>-0.9119718309859155</v>
      </c>
      <c r="O90" s="14"/>
      <c r="P90" s="2">
        <f>SUM(OSRRefP22_17x_0)</f>
        <v>1000</v>
      </c>
      <c r="Q90" s="2"/>
      <c r="R90" s="6">
        <f t="shared" si="16"/>
        <v>2.4298700622124489E-3</v>
      </c>
      <c r="S90" s="2"/>
      <c r="T90" s="2">
        <f>SUM(OSRRefT22_17x_0)</f>
        <v>5784</v>
      </c>
      <c r="U90" s="2"/>
      <c r="V90" s="6">
        <f t="shared" si="17"/>
        <v>2.0132826531890897</v>
      </c>
      <c r="W90" s="2"/>
      <c r="X90" s="2">
        <f t="shared" si="18"/>
        <v>-4784</v>
      </c>
      <c r="Y90" s="2"/>
      <c r="Z90" s="6">
        <f t="shared" si="19"/>
        <v>-0.82710926694329179</v>
      </c>
    </row>
    <row r="91" spans="1:26" s="69" customFormat="1" ht="15" hidden="1" customHeight="1" outlineLevel="2" x14ac:dyDescent="0.3">
      <c r="A91" s="26"/>
      <c r="B91" s="12" t="str">
        <f>CONCATENATE("          ","6274"," - ","UTILITIES")</f>
        <v xml:space="preserve">          6274 - UTILITIES</v>
      </c>
      <c r="C91" s="12"/>
      <c r="D91" s="8">
        <v>100</v>
      </c>
      <c r="E91" s="3"/>
      <c r="F91" s="7">
        <f t="shared" si="12"/>
        <v>9.6613774167814853E-4</v>
      </c>
      <c r="G91" s="3"/>
      <c r="H91" s="8">
        <v>1136</v>
      </c>
      <c r="I91" s="3"/>
      <c r="J91" s="7">
        <f t="shared" si="13"/>
        <v>21.888246628131022</v>
      </c>
      <c r="K91" s="3"/>
      <c r="L91" s="8">
        <f t="shared" si="14"/>
        <v>-1036</v>
      </c>
      <c r="M91" s="3"/>
      <c r="N91" s="7">
        <f t="shared" si="15"/>
        <v>-0.9119718309859155</v>
      </c>
      <c r="O91" s="12"/>
      <c r="P91" s="8">
        <v>1000</v>
      </c>
      <c r="Q91" s="3"/>
      <c r="R91" s="7">
        <f t="shared" si="16"/>
        <v>2.4298700622124489E-3</v>
      </c>
      <c r="S91" s="3"/>
      <c r="T91" s="8">
        <v>5784</v>
      </c>
      <c r="U91" s="3"/>
      <c r="V91" s="7">
        <f t="shared" si="17"/>
        <v>2.0132826531890897</v>
      </c>
      <c r="W91" s="3"/>
      <c r="X91" s="8">
        <f t="shared" si="18"/>
        <v>-4784</v>
      </c>
      <c r="Y91" s="3"/>
      <c r="Z91" s="7">
        <f t="shared" si="19"/>
        <v>-0.82710926694329179</v>
      </c>
    </row>
    <row r="92" spans="1:26" s="64" customFormat="1" ht="15" customHeight="1" x14ac:dyDescent="0.3">
      <c r="A92" s="36"/>
      <c r="B92" s="36"/>
      <c r="C92" s="36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2" customFormat="1" ht="15" customHeight="1" x14ac:dyDescent="0.3">
      <c r="A93" s="11"/>
      <c r="B93" s="27" t="s">
        <v>290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3">
      <c r="A95" s="11"/>
      <c r="B95" s="28" t="s">
        <v>291</v>
      </c>
      <c r="C95" s="28"/>
      <c r="D95" s="21">
        <f>+D30-D32+D93</f>
        <v>-7263.1200000000244</v>
      </c>
      <c r="E95" s="15"/>
      <c r="F95" s="23">
        <f>IF(D$12=0,0,D95/D$12)</f>
        <v>-7.0171743543374174E-2</v>
      </c>
      <c r="G95" s="15"/>
      <c r="H95" s="21">
        <f>+H30-H32+H93</f>
        <v>-15722.780000000002</v>
      </c>
      <c r="I95" s="15"/>
      <c r="J95" s="23">
        <f>IF(H$12=0,0,H95/H$12)</f>
        <v>-302.94373795761084</v>
      </c>
      <c r="K95" s="16"/>
      <c r="L95" s="21">
        <f>+D95-H95</f>
        <v>8459.659999999978</v>
      </c>
      <c r="M95" s="16"/>
      <c r="N95" s="23">
        <f>IF(H95=0,0,L95/H95)</f>
        <v>-0.53805115889174671</v>
      </c>
      <c r="O95" s="27"/>
      <c r="P95" s="21">
        <f>+P30-P32+P93</f>
        <v>-104371.81000000006</v>
      </c>
      <c r="Q95" s="15"/>
      <c r="R95" s="23">
        <f>IF(P$12=0,0,P95/P$12)</f>
        <v>-0.25360993645792607</v>
      </c>
      <c r="S95" s="15"/>
      <c r="T95" s="21">
        <f>+T30-T32+T93</f>
        <v>-258652.01999999996</v>
      </c>
      <c r="U95" s="15"/>
      <c r="V95" s="23">
        <f>IF(T$12=0,0,T95/T$12)</f>
        <v>-90.031055511465667</v>
      </c>
      <c r="W95" s="16"/>
      <c r="X95" s="21">
        <f>+P95-T95</f>
        <v>154280.2099999999</v>
      </c>
      <c r="Y95" s="16"/>
      <c r="Z95" s="23">
        <f>IF(T95=0,0,X95/T95)</f>
        <v>-0.59647788561635795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48"/>
      <c r="B97" s="11" t="s">
        <v>292</v>
      </c>
      <c r="C97" s="11"/>
      <c r="D97" s="5">
        <v>9857.59</v>
      </c>
      <c r="E97" s="5"/>
      <c r="F97" s="13">
        <f>IF(D$12=0,0,D97/D$12)</f>
        <v>9.5237897409890998E-2</v>
      </c>
      <c r="G97" s="5"/>
      <c r="H97" s="5">
        <v>19.64</v>
      </c>
      <c r="I97" s="5"/>
      <c r="J97" s="13">
        <f>IF(H$12=0,0,H97/H$12)</f>
        <v>0.37842003853564549</v>
      </c>
      <c r="K97" s="5"/>
      <c r="L97" s="5">
        <f>+D97-H97</f>
        <v>9837.9500000000007</v>
      </c>
      <c r="M97" s="5"/>
      <c r="N97" s="13">
        <f>IF(H97=0,0,L97/H97)</f>
        <v>500.91395112016295</v>
      </c>
      <c r="O97" s="11"/>
      <c r="P97" s="5">
        <v>46621.37</v>
      </c>
      <c r="Q97" s="5"/>
      <c r="R97" s="13">
        <f>IF(P$12=0,0,P97/P$12)</f>
        <v>0.11328387122232961</v>
      </c>
      <c r="S97" s="5"/>
      <c r="T97" s="5">
        <v>601.03</v>
      </c>
      <c r="U97" s="5"/>
      <c r="V97" s="13">
        <f>IF(T$12=0,0,T97/T$12)</f>
        <v>0.20920526850730267</v>
      </c>
      <c r="W97" s="5"/>
      <c r="X97" s="5">
        <f>+P97-T97</f>
        <v>46020.340000000004</v>
      </c>
      <c r="Y97" s="5"/>
      <c r="Z97" s="13">
        <f>IF(T97=0,0,X97/T97)</f>
        <v>76.569123005507223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8" t="s">
        <v>293</v>
      </c>
      <c r="C99" s="28"/>
      <c r="D99" s="34">
        <f>+D95-D97</f>
        <v>-17120.710000000025</v>
      </c>
      <c r="E99" s="15"/>
      <c r="F99" s="30">
        <f>IF(D$12=0,0,D99/D$12)</f>
        <v>-0.16540964095326519</v>
      </c>
      <c r="G99" s="15"/>
      <c r="H99" s="34">
        <f>+H95-H97</f>
        <v>-15742.420000000002</v>
      </c>
      <c r="I99" s="15"/>
      <c r="J99" s="30">
        <f>IF(H$12=0,0,H99/H$12)</f>
        <v>-303.32215799614647</v>
      </c>
      <c r="K99" s="16"/>
      <c r="L99" s="34">
        <f>D99-H99</f>
        <v>-1378.2900000000227</v>
      </c>
      <c r="M99" s="16"/>
      <c r="N99" s="30">
        <f>IF(H99=0,0,L99/H99)</f>
        <v>8.7552612622457185E-2</v>
      </c>
      <c r="O99" s="27"/>
      <c r="P99" s="34">
        <f>+P95-P97</f>
        <v>-150993.18000000005</v>
      </c>
      <c r="Q99" s="15"/>
      <c r="R99" s="30">
        <f>IF(P$12=0,0,P99/P$12)</f>
        <v>-0.36689380768025565</v>
      </c>
      <c r="S99" s="15"/>
      <c r="T99" s="34">
        <f>+T95-T97</f>
        <v>-259253.04999999996</v>
      </c>
      <c r="U99" s="15"/>
      <c r="V99" s="30">
        <f>IF(T$12=0,0,T99/T$12)</f>
        <v>-90.240260779972971</v>
      </c>
      <c r="W99" s="16"/>
      <c r="X99" s="34">
        <f>P99-T99</f>
        <v>108259.86999999991</v>
      </c>
      <c r="Y99" s="16"/>
      <c r="Z99" s="30">
        <f>IF(T99=0,0,X99/T99)</f>
        <v>-0.41758378541737473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11"/>
      <c r="B102" s="28" t="s">
        <v>296</v>
      </c>
      <c r="C102" s="28"/>
      <c r="D102" s="29">
        <f>SUM(D99:D101)</f>
        <v>-17120.710000000025</v>
      </c>
      <c r="E102" s="15"/>
      <c r="F102" s="35">
        <f>IF(D$12=0,0,D102/D$12)</f>
        <v>-0.16540964095326519</v>
      </c>
      <c r="G102" s="15"/>
      <c r="H102" s="29">
        <f>SUM(H99:H101)</f>
        <v>-15742.420000000002</v>
      </c>
      <c r="I102" s="15"/>
      <c r="J102" s="35">
        <f>IF(H$12=0,0,H102/H$12)</f>
        <v>-303.32215799614647</v>
      </c>
      <c r="K102" s="16"/>
      <c r="L102" s="29">
        <f>+D102-H102</f>
        <v>-1378.2900000000227</v>
      </c>
      <c r="M102" s="16"/>
      <c r="N102" s="35">
        <f>IF(H102=0,0,L102/H102)</f>
        <v>8.7552612622457185E-2</v>
      </c>
      <c r="O102" s="27"/>
      <c r="P102" s="29">
        <f>SUM(P99:P101)</f>
        <v>-150993.18000000005</v>
      </c>
      <c r="Q102" s="15"/>
      <c r="R102" s="35">
        <f>IF(P$12=0,0,P102/P$12)</f>
        <v>-0.36689380768025565</v>
      </c>
      <c r="S102" s="15"/>
      <c r="T102" s="29">
        <f>SUM(T99:T101)</f>
        <v>-259253.04999999996</v>
      </c>
      <c r="U102" s="15"/>
      <c r="V102" s="35">
        <f>IF(T$12=0,0,T102/T$12)</f>
        <v>-90.240260779972971</v>
      </c>
      <c r="W102" s="16"/>
      <c r="X102" s="29">
        <f>+P102-T102</f>
        <v>108259.86999999991</v>
      </c>
      <c r="Y102" s="16"/>
      <c r="Z102" s="35">
        <f>IF(T102=0,0,X102/T102)</f>
        <v>-0.41758378541737473</v>
      </c>
    </row>
    <row r="103" spans="1:26" ht="15" customHeight="1" x14ac:dyDescent="0.3">
      <c r="A103" s="10"/>
      <c r="C103" s="10"/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3">
      <c r="A104" s="10"/>
      <c r="B104" s="56">
        <v>44694.890781909722</v>
      </c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3">
      <c r="A105" s="10"/>
      <c r="B105" s="52" t="s">
        <v>297</v>
      </c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3">
      <c r="A106" s="10"/>
      <c r="B106" s="58"/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  <row r="107" spans="1:26" ht="15" customHeight="1" x14ac:dyDescent="0.3">
      <c r="D107" s="18"/>
      <c r="E107" s="18"/>
      <c r="G107" s="18"/>
      <c r="H107" s="18"/>
      <c r="I107" s="18"/>
      <c r="J107" s="40"/>
      <c r="K107" s="18"/>
      <c r="L107" s="18"/>
      <c r="M107" s="18"/>
      <c r="P107" s="18"/>
      <c r="Q107" s="18"/>
      <c r="R107" s="40"/>
      <c r="S107" s="18"/>
      <c r="T107" s="18"/>
      <c r="U107" s="18"/>
      <c r="V107" s="40"/>
      <c r="W107" s="18"/>
      <c r="X10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EFD5-1C9E-FA37-2241-74E3F4CA60B2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","309"," - ","Carts")</f>
        <v>Department 309 - Carts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29619.14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29619.14</v>
      </c>
      <c r="M12" s="5"/>
      <c r="N12" s="13">
        <f>IF(H12=0,0,L12/H12)</f>
        <v>0</v>
      </c>
      <c r="O12" s="11"/>
      <c r="P12" s="5">
        <f>SUM(OSRRefP13x_0)</f>
        <v>82495.710000000006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82495.710000000006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--4280.3</f>
        <v>4280.3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4280.3</v>
      </c>
      <c r="M13" s="3"/>
      <c r="N13" s="20">
        <f>IF(H13=0,0,L13/H13)</f>
        <v>0</v>
      </c>
      <c r="O13" s="12"/>
      <c r="P13" s="3">
        <f>--13092.11</f>
        <v>13092.11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13092.11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--25338.84</f>
        <v>25338.84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25338.84</v>
      </c>
      <c r="M15" s="3"/>
      <c r="N15" s="20">
        <f>IF(H15=0,0,L15/H15)</f>
        <v>0</v>
      </c>
      <c r="O15" s="12"/>
      <c r="P15" s="3">
        <f>--69172.11</f>
        <v>69172.11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69172.11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11452.18</v>
      </c>
      <c r="E18" s="5"/>
      <c r="F18" s="13">
        <f>IF(D$12=0,0,D18/D$12)</f>
        <v>0.38664795804334634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11452.18</v>
      </c>
      <c r="M18" s="5"/>
      <c r="N18" s="13">
        <f>IF(H18=0,0,L18/H18)</f>
        <v>0</v>
      </c>
      <c r="O18" s="11"/>
      <c r="P18" s="5">
        <f>SUM(OSRRefP16x_0)</f>
        <v>36958.18</v>
      </c>
      <c r="Q18" s="5"/>
      <c r="R18" s="13">
        <f>IF(P$12=0,0,P18/P$12)</f>
        <v>0.44800123545818321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36958.18</v>
      </c>
      <c r="Y18" s="5"/>
      <c r="Z18" s="13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11452.18</v>
      </c>
      <c r="E20" s="3"/>
      <c r="F20" s="20">
        <f>IF(D$12=0,0,D20/D$12)</f>
        <v>0.38664795804334634</v>
      </c>
      <c r="G20" s="3"/>
      <c r="H20" s="3"/>
      <c r="I20" s="3"/>
      <c r="J20" s="20">
        <f>IF(H$12=0,0,H20/H$12)</f>
        <v>0</v>
      </c>
      <c r="K20" s="3"/>
      <c r="L20" s="3">
        <f>+D20-H20</f>
        <v>11452.18</v>
      </c>
      <c r="M20" s="3"/>
      <c r="N20" s="20">
        <f>IF(H20=0,0,L20/H20)</f>
        <v>0</v>
      </c>
      <c r="O20" s="12"/>
      <c r="P20" s="3">
        <v>36958.18</v>
      </c>
      <c r="Q20" s="3"/>
      <c r="R20" s="20">
        <f>IF(P$12=0,0,P20/P$12)</f>
        <v>0.44800123545818321</v>
      </c>
      <c r="S20" s="3"/>
      <c r="T20" s="3"/>
      <c r="U20" s="3"/>
      <c r="V20" s="20">
        <f>IF(T$12=0,0,T20/T$12)</f>
        <v>0</v>
      </c>
      <c r="W20" s="3"/>
      <c r="X20" s="3">
        <f>+P20-T20</f>
        <v>36958.18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2" customFormat="1" ht="15" customHeight="1" x14ac:dyDescent="0.3">
      <c r="A22" s="11"/>
      <c r="B22" s="28" t="s">
        <v>288</v>
      </c>
      <c r="C22" s="28"/>
      <c r="D22" s="21">
        <f>D12-D18</f>
        <v>18166.96</v>
      </c>
      <c r="E22" s="15"/>
      <c r="F22" s="23">
        <f>IF(D$12=0,0,D22/D$12)</f>
        <v>0.61335204195665372</v>
      </c>
      <c r="G22" s="15"/>
      <c r="H22" s="21">
        <f>H12-H18</f>
        <v>0</v>
      </c>
      <c r="I22" s="15"/>
      <c r="J22" s="23">
        <f>IF(H$12=0,0,H22/H$12)</f>
        <v>0</v>
      </c>
      <c r="K22" s="16"/>
      <c r="L22" s="21">
        <f>+D22-H22</f>
        <v>18166.96</v>
      </c>
      <c r="M22" s="16"/>
      <c r="N22" s="23">
        <f>IF(H22=0,0,L22/H22)</f>
        <v>0</v>
      </c>
      <c r="O22" s="27"/>
      <c r="P22" s="21">
        <f>P12-P18</f>
        <v>45537.530000000006</v>
      </c>
      <c r="Q22" s="15"/>
      <c r="R22" s="23">
        <f>IF(P$12=0,0,P22/P$12)</f>
        <v>0.55199876454181684</v>
      </c>
      <c r="S22" s="15"/>
      <c r="T22" s="21">
        <f>T12-T18</f>
        <v>0</v>
      </c>
      <c r="U22" s="15"/>
      <c r="V22" s="23">
        <f>IF(T$12=0,0,T22/T$12)</f>
        <v>0</v>
      </c>
      <c r="W22" s="16"/>
      <c r="X22" s="21">
        <f>+P22-T22</f>
        <v>45537.530000000006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x14ac:dyDescent="0.3">
      <c r="A24" s="11"/>
      <c r="B24" s="27" t="s">
        <v>289</v>
      </c>
      <c r="C24" s="11"/>
      <c r="D24" s="22" cm="1">
        <f t="array" ref="D24">SUM(OSRRefD22x_0)</f>
        <v>8401.27</v>
      </c>
      <c r="E24" s="22"/>
      <c r="F24" s="32">
        <f t="shared" ref="F24:F55" si="0">IF(D$12=0,0,D24/D$12)</f>
        <v>0.28364327931195843</v>
      </c>
      <c r="G24" s="22"/>
      <c r="H24" s="22" cm="1">
        <f t="array" ref="H24">SUM(OSRRefH22x_0)</f>
        <v>770.02</v>
      </c>
      <c r="I24" s="22"/>
      <c r="J24" s="32">
        <f t="shared" ref="J24:J55" si="1">IF(H$12=0,0,H24/H$12)</f>
        <v>0</v>
      </c>
      <c r="K24" s="5"/>
      <c r="L24" s="22">
        <f t="shared" ref="L24:L55" si="2">+D24-H24</f>
        <v>7631.25</v>
      </c>
      <c r="M24" s="5"/>
      <c r="N24" s="32">
        <f t="shared" ref="N24:N55" si="3">IF(H24=0,0,L24/H24)</f>
        <v>9.9104568712500978</v>
      </c>
      <c r="O24" s="11"/>
      <c r="P24" s="22" cm="1">
        <f t="array" ref="P24">SUM(OSRRefP22x_0)</f>
        <v>31935.870000000003</v>
      </c>
      <c r="Q24" s="22"/>
      <c r="R24" s="32">
        <f t="shared" ref="R24:R55" si="4">IF(P$12=0,0,P24/P$12)</f>
        <v>0.38712158486786769</v>
      </c>
      <c r="S24" s="22"/>
      <c r="T24" s="22" cm="1">
        <f t="array" ref="T24">SUM(OSRRefT22x_0)</f>
        <v>9491.3799999999992</v>
      </c>
      <c r="U24" s="22"/>
      <c r="V24" s="32">
        <f t="shared" ref="V24:V55" si="5">IF(T$12=0,0,T24/T$12)</f>
        <v>0</v>
      </c>
      <c r="W24" s="5"/>
      <c r="X24" s="22">
        <f t="shared" ref="X24:X55" si="6">+P24-T24</f>
        <v>22444.490000000005</v>
      </c>
      <c r="Y24" s="5"/>
      <c r="Z24" s="32">
        <f t="shared" ref="Z24:Z55" si="7">IF(T24=0,0,X24/T24)</f>
        <v>2.3647235702289873</v>
      </c>
    </row>
    <row r="25" spans="1:26" s="68" customFormat="1" ht="15" customHeight="1" outlineLevel="1" collapsed="1" x14ac:dyDescent="0.3">
      <c r="A25" s="25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87.070000000000007</v>
      </c>
      <c r="E25" s="2"/>
      <c r="F25" s="6">
        <f t="shared" si="0"/>
        <v>2.9396532107279281E-3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87.070000000000007</v>
      </c>
      <c r="M25" s="2"/>
      <c r="N25" s="6">
        <f t="shared" si="3"/>
        <v>0</v>
      </c>
      <c r="O25" s="14"/>
      <c r="P25" s="2">
        <f>SUM(OSRRefP22_0x_0)</f>
        <v>232.70000000000002</v>
      </c>
      <c r="Q25" s="2"/>
      <c r="R25" s="6">
        <f t="shared" si="4"/>
        <v>2.8207527397485273E-3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232.70000000000002</v>
      </c>
      <c r="Y25" s="2"/>
      <c r="Z25" s="6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74.06</v>
      </c>
      <c r="E26" s="3"/>
      <c r="F26" s="7">
        <f t="shared" si="0"/>
        <v>2.5004102077237893E-3</v>
      </c>
      <c r="G26" s="3"/>
      <c r="H26" s="8"/>
      <c r="I26" s="3"/>
      <c r="J26" s="7">
        <f t="shared" si="1"/>
        <v>0</v>
      </c>
      <c r="K26" s="3"/>
      <c r="L26" s="8">
        <f t="shared" si="2"/>
        <v>74.06</v>
      </c>
      <c r="M26" s="3"/>
      <c r="N26" s="7">
        <f t="shared" si="3"/>
        <v>0</v>
      </c>
      <c r="O26" s="12"/>
      <c r="P26" s="8">
        <v>197.93</v>
      </c>
      <c r="Q26" s="3"/>
      <c r="R26" s="7">
        <f t="shared" si="4"/>
        <v>2.3992762775179458E-3</v>
      </c>
      <c r="S26" s="3"/>
      <c r="T26" s="8"/>
      <c r="U26" s="3"/>
      <c r="V26" s="7">
        <f t="shared" si="5"/>
        <v>0</v>
      </c>
      <c r="W26" s="3"/>
      <c r="X26" s="8">
        <f t="shared" si="6"/>
        <v>197.93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13.01</v>
      </c>
      <c r="E27" s="3"/>
      <c r="F27" s="7">
        <f t="shared" si="0"/>
        <v>4.3924300300413852E-4</v>
      </c>
      <c r="G27" s="3"/>
      <c r="H27" s="8"/>
      <c r="I27" s="3"/>
      <c r="J27" s="7">
        <f t="shared" si="1"/>
        <v>0</v>
      </c>
      <c r="K27" s="3"/>
      <c r="L27" s="8">
        <f t="shared" si="2"/>
        <v>13.01</v>
      </c>
      <c r="M27" s="3"/>
      <c r="N27" s="7">
        <f t="shared" si="3"/>
        <v>0</v>
      </c>
      <c r="O27" s="12"/>
      <c r="P27" s="8">
        <v>34.770000000000003</v>
      </c>
      <c r="Q27" s="3"/>
      <c r="R27" s="7">
        <f t="shared" si="4"/>
        <v>4.2147646223058145E-4</v>
      </c>
      <c r="S27" s="3"/>
      <c r="T27" s="8"/>
      <c r="U27" s="3"/>
      <c r="V27" s="7">
        <f t="shared" si="5"/>
        <v>0</v>
      </c>
      <c r="W27" s="3"/>
      <c r="X27" s="8">
        <f t="shared" si="6"/>
        <v>34.770000000000003</v>
      </c>
      <c r="Y27" s="3"/>
      <c r="Z27" s="7">
        <f t="shared" si="7"/>
        <v>0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6210.2</v>
      </c>
      <c r="E28" s="2"/>
      <c r="F28" s="6">
        <f t="shared" si="0"/>
        <v>0.20966847788288248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6210.2</v>
      </c>
      <c r="M28" s="2"/>
      <c r="N28" s="6">
        <f t="shared" si="3"/>
        <v>0</v>
      </c>
      <c r="O28" s="14"/>
      <c r="P28" s="2">
        <f>SUM(OSRRefP22_1x_0)</f>
        <v>15946.28</v>
      </c>
      <c r="Q28" s="2"/>
      <c r="R28" s="6">
        <f t="shared" si="4"/>
        <v>0.19329829393552705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15946.28</v>
      </c>
      <c r="Y28" s="2"/>
      <c r="Z28" s="6">
        <f t="shared" si="7"/>
        <v>0</v>
      </c>
    </row>
    <row r="29" spans="1:26" s="69" customFormat="1" ht="15" hidden="1" customHeight="1" outlineLevel="2" x14ac:dyDescent="0.3">
      <c r="A29" s="26"/>
      <c r="B29" s="12" t="str">
        <f>CONCATENATE("          ","6007"," - ","STUDENT HOURLY")</f>
        <v xml:space="preserve">          6007 - STUDENT HOURLY</v>
      </c>
      <c r="C29" s="12"/>
      <c r="D29" s="8">
        <v>3258.16</v>
      </c>
      <c r="E29" s="3"/>
      <c r="F29" s="7">
        <f t="shared" si="0"/>
        <v>0.1100018434026106</v>
      </c>
      <c r="G29" s="3"/>
      <c r="H29" s="8"/>
      <c r="I29" s="3"/>
      <c r="J29" s="7">
        <f t="shared" si="1"/>
        <v>0</v>
      </c>
      <c r="K29" s="3"/>
      <c r="L29" s="8">
        <f t="shared" si="2"/>
        <v>3258.16</v>
      </c>
      <c r="M29" s="3"/>
      <c r="N29" s="7">
        <f t="shared" si="3"/>
        <v>0</v>
      </c>
      <c r="O29" s="12"/>
      <c r="P29" s="8">
        <v>10057.02</v>
      </c>
      <c r="Q29" s="3"/>
      <c r="R29" s="7">
        <f t="shared" si="4"/>
        <v>0.12190961202709813</v>
      </c>
      <c r="S29" s="3"/>
      <c r="T29" s="8"/>
      <c r="U29" s="3"/>
      <c r="V29" s="7">
        <f t="shared" si="5"/>
        <v>0</v>
      </c>
      <c r="W29" s="3"/>
      <c r="X29" s="8">
        <f t="shared" si="6"/>
        <v>10057.02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","6008"," - ","STUDENT HOURLY-FICA EXEMPT")</f>
        <v xml:space="preserve">          6008 - STUDENT HOURLY-FICA EXEMPT</v>
      </c>
      <c r="C30" s="12"/>
      <c r="D30" s="8">
        <v>2952.04</v>
      </c>
      <c r="E30" s="3"/>
      <c r="F30" s="7">
        <f t="shared" si="0"/>
        <v>9.9666634480271882E-2</v>
      </c>
      <c r="G30" s="3"/>
      <c r="H30" s="8"/>
      <c r="I30" s="3"/>
      <c r="J30" s="7">
        <f t="shared" si="1"/>
        <v>0</v>
      </c>
      <c r="K30" s="3"/>
      <c r="L30" s="8">
        <f t="shared" si="2"/>
        <v>2952.04</v>
      </c>
      <c r="M30" s="3"/>
      <c r="N30" s="7">
        <f t="shared" si="3"/>
        <v>0</v>
      </c>
      <c r="O30" s="12"/>
      <c r="P30" s="8">
        <v>5889.26</v>
      </c>
      <c r="Q30" s="3"/>
      <c r="R30" s="7">
        <f t="shared" si="4"/>
        <v>7.1388681908428939E-2</v>
      </c>
      <c r="S30" s="3"/>
      <c r="T30" s="8"/>
      <c r="U30" s="3"/>
      <c r="V30" s="7">
        <f t="shared" si="5"/>
        <v>0</v>
      </c>
      <c r="W30" s="3"/>
      <c r="X30" s="8">
        <f t="shared" si="6"/>
        <v>5889.26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0</v>
      </c>
      <c r="E31" s="2"/>
      <c r="F31" s="6">
        <f t="shared" si="0"/>
        <v>0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5.6136252418459095E-4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","6362"," - ","ADVERTISING EXPENSE")</f>
        <v xml:space="preserve">          6362 - ADVERTISING EXPENSE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46.31</v>
      </c>
      <c r="Q32" s="3"/>
      <c r="R32" s="7">
        <f t="shared" si="4"/>
        <v>5.6136252418459095E-4</v>
      </c>
      <c r="S32" s="3"/>
      <c r="T32" s="8"/>
      <c r="U32" s="3"/>
      <c r="V32" s="7">
        <f t="shared" si="5"/>
        <v>0</v>
      </c>
      <c r="W32" s="3"/>
      <c r="X32" s="8">
        <f t="shared" si="6"/>
        <v>46.31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0</v>
      </c>
      <c r="E33" s="2"/>
      <c r="F33" s="6">
        <f t="shared" si="0"/>
        <v>0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-3.6123090521919258E-5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","6272"," - ","CASH (OVER/SHORT)")</f>
        <v xml:space="preserve">          6272 - CASH (OVER/SHORT)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>
        <v>-2.98</v>
      </c>
      <c r="Q34" s="3"/>
      <c r="R34" s="7">
        <f t="shared" si="4"/>
        <v>-3.6123090521919258E-5</v>
      </c>
      <c r="S34" s="3"/>
      <c r="T34" s="8"/>
      <c r="U34" s="3"/>
      <c r="V34" s="7">
        <f t="shared" si="5"/>
        <v>0</v>
      </c>
      <c r="W34" s="3"/>
      <c r="X34" s="8">
        <f t="shared" si="6"/>
        <v>-2.98</v>
      </c>
      <c r="Y34" s="3"/>
      <c r="Z34" s="7">
        <f t="shared" si="7"/>
        <v>0</v>
      </c>
    </row>
    <row r="35" spans="1:26" s="68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1477.54</v>
      </c>
      <c r="E35" s="2"/>
      <c r="F35" s="6">
        <f t="shared" si="0"/>
        <v>4.9884635408050333E-2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1477.54</v>
      </c>
      <c r="M35" s="2"/>
      <c r="N35" s="6">
        <f t="shared" si="3"/>
        <v>0</v>
      </c>
      <c r="O35" s="14"/>
      <c r="P35" s="2">
        <f>SUM(OSRRefP22_4x_0)</f>
        <v>4234.41</v>
      </c>
      <c r="Q35" s="2"/>
      <c r="R35" s="6">
        <f t="shared" si="4"/>
        <v>5.1328850918429571E-2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4234.41</v>
      </c>
      <c r="Y35" s="2"/>
      <c r="Z35" s="6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8">
        <v>1477.54</v>
      </c>
      <c r="E36" s="3"/>
      <c r="F36" s="7">
        <f t="shared" si="0"/>
        <v>4.9884635408050333E-2</v>
      </c>
      <c r="G36" s="3"/>
      <c r="H36" s="8"/>
      <c r="I36" s="3"/>
      <c r="J36" s="7">
        <f t="shared" si="1"/>
        <v>0</v>
      </c>
      <c r="K36" s="3"/>
      <c r="L36" s="8">
        <f t="shared" si="2"/>
        <v>1477.54</v>
      </c>
      <c r="M36" s="3"/>
      <c r="N36" s="7">
        <f t="shared" si="3"/>
        <v>0</v>
      </c>
      <c r="O36" s="12"/>
      <c r="P36" s="8">
        <v>4234.41</v>
      </c>
      <c r="Q36" s="3"/>
      <c r="R36" s="7">
        <f t="shared" si="4"/>
        <v>5.1328850918429571E-2</v>
      </c>
      <c r="S36" s="3"/>
      <c r="T36" s="8"/>
      <c r="U36" s="3"/>
      <c r="V36" s="7">
        <f t="shared" si="5"/>
        <v>0</v>
      </c>
      <c r="W36" s="3"/>
      <c r="X36" s="8">
        <f t="shared" si="6"/>
        <v>4234.41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1.9883764349673896E-2</v>
      </c>
      <c r="G37" s="2"/>
      <c r="H37" s="2">
        <f>SUM(OSRRefH22_5x_0)</f>
        <v>588.16999999999996</v>
      </c>
      <c r="I37" s="2"/>
      <c r="J37" s="6">
        <f t="shared" si="1"/>
        <v>0</v>
      </c>
      <c r="K37" s="2"/>
      <c r="L37" s="2">
        <f t="shared" si="2"/>
        <v>0.7700000000000955</v>
      </c>
      <c r="M37" s="2"/>
      <c r="N37" s="6">
        <f t="shared" si="3"/>
        <v>1.3091453151301419E-3</v>
      </c>
      <c r="O37" s="14"/>
      <c r="P37" s="2">
        <f>SUM(OSRRefP22_5x_0)</f>
        <v>5889.4</v>
      </c>
      <c r="Q37" s="2"/>
      <c r="R37" s="6">
        <f t="shared" si="4"/>
        <v>7.1390378966372903E-2</v>
      </c>
      <c r="S37" s="2"/>
      <c r="T37" s="2">
        <f>SUM(OSRRefT22_5x_0)</f>
        <v>5617.48</v>
      </c>
      <c r="U37" s="2"/>
      <c r="V37" s="6">
        <f t="shared" si="5"/>
        <v>0</v>
      </c>
      <c r="W37" s="2"/>
      <c r="X37" s="2">
        <f t="shared" si="6"/>
        <v>271.92000000000007</v>
      </c>
      <c r="Y37" s="2"/>
      <c r="Z37" s="6">
        <f t="shared" si="7"/>
        <v>4.8406046839508124E-2</v>
      </c>
    </row>
    <row r="38" spans="1:26" s="69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588.94000000000005</v>
      </c>
      <c r="E38" s="3"/>
      <c r="F38" s="7">
        <f t="shared" si="0"/>
        <v>1.9883764349673896E-2</v>
      </c>
      <c r="G38" s="3"/>
      <c r="H38" s="8">
        <v>588.16999999999996</v>
      </c>
      <c r="I38" s="3"/>
      <c r="J38" s="7">
        <f t="shared" si="1"/>
        <v>0</v>
      </c>
      <c r="K38" s="3"/>
      <c r="L38" s="8">
        <f t="shared" si="2"/>
        <v>0.7700000000000955</v>
      </c>
      <c r="M38" s="3"/>
      <c r="N38" s="7">
        <f t="shared" si="3"/>
        <v>1.3091453151301419E-3</v>
      </c>
      <c r="O38" s="12"/>
      <c r="P38" s="8">
        <v>5889.4</v>
      </c>
      <c r="Q38" s="3"/>
      <c r="R38" s="7">
        <f t="shared" si="4"/>
        <v>7.1390378966372903E-2</v>
      </c>
      <c r="S38" s="3"/>
      <c r="T38" s="8">
        <v>5617.48</v>
      </c>
      <c r="U38" s="3"/>
      <c r="V38" s="7">
        <f t="shared" si="5"/>
        <v>0</v>
      </c>
      <c r="W38" s="3"/>
      <c r="X38" s="8">
        <f t="shared" si="6"/>
        <v>271.92000000000007</v>
      </c>
      <c r="Y38" s="3"/>
      <c r="Z38" s="7">
        <f t="shared" si="7"/>
        <v>4.8406046839508124E-2</v>
      </c>
    </row>
    <row r="39" spans="1:26" s="68" customFormat="1" ht="15" customHeight="1" outlineLevel="1" collapsed="1" x14ac:dyDescent="0.3">
      <c r="A39" s="25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3.6365527371059656E-4</v>
      </c>
      <c r="S39" s="2"/>
      <c r="T39" s="2">
        <f>SUM(OSRRefT22_6x_0)</f>
        <v>12</v>
      </c>
      <c r="U39" s="2"/>
      <c r="V39" s="6">
        <f t="shared" si="5"/>
        <v>0</v>
      </c>
      <c r="W39" s="2"/>
      <c r="X39" s="2">
        <f t="shared" si="6"/>
        <v>18</v>
      </c>
      <c r="Y39" s="2"/>
      <c r="Z39" s="6">
        <f t="shared" si="7"/>
        <v>1.5</v>
      </c>
    </row>
    <row r="40" spans="1:26" s="69" customFormat="1" ht="15" hidden="1" customHeight="1" outlineLevel="2" x14ac:dyDescent="0.3">
      <c r="A40" s="26"/>
      <c r="B40" s="12" t="str">
        <f>CONCATENATE("          ","6351"," - ","EQUIPMENT RENTAL")</f>
        <v xml:space="preserve">          6351 - EQUIPMENT RENTAL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30</v>
      </c>
      <c r="Q40" s="3"/>
      <c r="R40" s="7">
        <f t="shared" si="4"/>
        <v>3.6365527371059656E-4</v>
      </c>
      <c r="S40" s="3"/>
      <c r="T40" s="8">
        <v>12</v>
      </c>
      <c r="U40" s="3"/>
      <c r="V40" s="7">
        <f t="shared" si="5"/>
        <v>0</v>
      </c>
      <c r="W40" s="3"/>
      <c r="X40" s="8">
        <f t="shared" si="6"/>
        <v>18</v>
      </c>
      <c r="Y40" s="3"/>
      <c r="Z40" s="7">
        <f t="shared" si="7"/>
        <v>1.5</v>
      </c>
    </row>
    <row r="41" spans="1:26" s="68" customFormat="1" ht="15" customHeight="1" outlineLevel="1" collapsed="1" x14ac:dyDescent="0.3">
      <c r="A41" s="25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1.0262957916235885E-2</v>
      </c>
      <c r="S41" s="2"/>
      <c r="T41" s="2">
        <f>SUM(OSRRefT22_7x_0)</f>
        <v>575</v>
      </c>
      <c r="U41" s="2"/>
      <c r="V41" s="6">
        <f t="shared" si="5"/>
        <v>0</v>
      </c>
      <c r="W41" s="2"/>
      <c r="X41" s="2">
        <f t="shared" si="6"/>
        <v>271.64999999999998</v>
      </c>
      <c r="Y41" s="2"/>
      <c r="Z41" s="6">
        <f t="shared" si="7"/>
        <v>0.47243478260869559</v>
      </c>
    </row>
    <row r="42" spans="1:26" s="69" customFormat="1" ht="15" hidden="1" customHeight="1" outlineLevel="2" x14ac:dyDescent="0.3">
      <c r="A42" s="26"/>
      <c r="B42" s="12" t="str">
        <f>CONCATENATE("          ","6279"," - ","GENERAL EXPENSE")</f>
        <v xml:space="preserve">          6279 - GENERAL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846.65</v>
      </c>
      <c r="Q42" s="3"/>
      <c r="R42" s="7">
        <f t="shared" si="4"/>
        <v>1.0262957916235885E-2</v>
      </c>
      <c r="S42" s="3"/>
      <c r="T42" s="8">
        <v>575</v>
      </c>
      <c r="U42" s="3"/>
      <c r="V42" s="7">
        <f t="shared" si="5"/>
        <v>0</v>
      </c>
      <c r="W42" s="3"/>
      <c r="X42" s="8">
        <f t="shared" si="6"/>
        <v>271.64999999999998</v>
      </c>
      <c r="Y42" s="3"/>
      <c r="Z42" s="7">
        <f t="shared" si="7"/>
        <v>0.47243478260869559</v>
      </c>
    </row>
    <row r="43" spans="1:26" s="68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2020.17</v>
      </c>
      <c r="Q43" s="2"/>
      <c r="R43" s="6">
        <f t="shared" si="4"/>
        <v>2.4488182476397863E-2</v>
      </c>
      <c r="S43" s="2"/>
      <c r="T43" s="2">
        <f>SUM(OSRRefT22_8x_0)</f>
        <v>1280.28</v>
      </c>
      <c r="U43" s="2"/>
      <c r="V43" s="6">
        <f t="shared" si="5"/>
        <v>0</v>
      </c>
      <c r="W43" s="2"/>
      <c r="X43" s="2">
        <f t="shared" si="6"/>
        <v>739.8900000000001</v>
      </c>
      <c r="Y43" s="2"/>
      <c r="Z43" s="6">
        <f t="shared" si="7"/>
        <v>0.57791264410910126</v>
      </c>
    </row>
    <row r="44" spans="1:26" s="69" customFormat="1" ht="15" hidden="1" customHeight="1" outlineLevel="2" x14ac:dyDescent="0.3">
      <c r="A44" s="26"/>
      <c r="B44" s="12" t="str">
        <f>CONCATENATE("          ","6373"," - ","MAINTENANCE CONTRACTS")</f>
        <v xml:space="preserve">          6373 - MAINTENANCE CONTRACTS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147.76</v>
      </c>
      <c r="Q44" s="3"/>
      <c r="R44" s="7">
        <f t="shared" si="4"/>
        <v>1.7911234414492582E-3</v>
      </c>
      <c r="S44" s="3"/>
      <c r="T44" s="8">
        <v>262.58999999999997</v>
      </c>
      <c r="U44" s="3"/>
      <c r="V44" s="7">
        <f t="shared" si="5"/>
        <v>0</v>
      </c>
      <c r="W44" s="3"/>
      <c r="X44" s="8">
        <f t="shared" si="6"/>
        <v>-114.82999999999998</v>
      </c>
      <c r="Y44" s="3"/>
      <c r="Z44" s="7">
        <f t="shared" si="7"/>
        <v>-0.43729768841159222</v>
      </c>
    </row>
    <row r="45" spans="1:26" s="69" customFormat="1" ht="15" hidden="1" customHeight="1" outlineLevel="2" x14ac:dyDescent="0.3">
      <c r="A45" s="26"/>
      <c r="B45" s="12" t="str">
        <f>CONCATENATE("          ","6375"," - ","OUTSIDE REPAIRS &amp; MAINTENANCE")</f>
        <v xml:space="preserve">          6375 - OUTSIDE REPAIRS &amp; MAINTENANCE</v>
      </c>
      <c r="C45" s="12"/>
      <c r="D45" s="8"/>
      <c r="E45" s="3"/>
      <c r="F45" s="7">
        <f t="shared" si="0"/>
        <v>0</v>
      </c>
      <c r="G45" s="3"/>
      <c r="H45" s="8"/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1872.41</v>
      </c>
      <c r="Q45" s="3"/>
      <c r="R45" s="7">
        <f t="shared" si="4"/>
        <v>2.2697059034948605E-2</v>
      </c>
      <c r="S45" s="3"/>
      <c r="T45" s="8">
        <v>1017.69</v>
      </c>
      <c r="U45" s="3"/>
      <c r="V45" s="7">
        <f t="shared" si="5"/>
        <v>0</v>
      </c>
      <c r="W45" s="3"/>
      <c r="X45" s="8">
        <f t="shared" si="6"/>
        <v>854.72</v>
      </c>
      <c r="Y45" s="3"/>
      <c r="Z45" s="7">
        <f t="shared" si="7"/>
        <v>0.83986282659749034</v>
      </c>
    </row>
    <row r="46" spans="1:26" s="68" customFormat="1" ht="15" customHeight="1" outlineLevel="1" collapsed="1" x14ac:dyDescent="0.3">
      <c r="A46" s="25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280.85000000000002</v>
      </c>
      <c r="E46" s="2"/>
      <c r="F46" s="6">
        <f t="shared" si="0"/>
        <v>9.4820443807618997E-3</v>
      </c>
      <c r="G46" s="2"/>
      <c r="H46" s="2">
        <f>SUM(OSRRefH22_9x_0)</f>
        <v>151.85</v>
      </c>
      <c r="I46" s="2"/>
      <c r="J46" s="6">
        <f t="shared" si="1"/>
        <v>0</v>
      </c>
      <c r="K46" s="2"/>
      <c r="L46" s="2">
        <f t="shared" si="2"/>
        <v>129.00000000000003</v>
      </c>
      <c r="M46" s="2"/>
      <c r="N46" s="6">
        <f t="shared" si="3"/>
        <v>0.84952255515311181</v>
      </c>
      <c r="O46" s="14"/>
      <c r="P46" s="2">
        <f>SUM(OSRRefP22_9x_0)</f>
        <v>2151.34</v>
      </c>
      <c r="Q46" s="2"/>
      <c r="R46" s="6">
        <f t="shared" si="4"/>
        <v>2.607820455148516E-2</v>
      </c>
      <c r="S46" s="2"/>
      <c r="T46" s="2">
        <f>SUM(OSRRefT22_9x_0)</f>
        <v>1612.3</v>
      </c>
      <c r="U46" s="2"/>
      <c r="V46" s="6">
        <f t="shared" si="5"/>
        <v>0</v>
      </c>
      <c r="W46" s="2"/>
      <c r="X46" s="2">
        <f t="shared" si="6"/>
        <v>539.04000000000019</v>
      </c>
      <c r="Y46" s="2"/>
      <c r="Z46" s="6">
        <f t="shared" si="7"/>
        <v>0.33432983935992072</v>
      </c>
    </row>
    <row r="47" spans="1:26" s="69" customFormat="1" ht="15" hidden="1" customHeight="1" outlineLevel="2" x14ac:dyDescent="0.3">
      <c r="A47" s="26"/>
      <c r="B47" s="12" t="str">
        <f>CONCATENATE("          ","6282"," - ","JANITORIAL/EXTERMINATOR EXPENS")</f>
        <v xml:space="preserve">          6282 - JANITORIAL/EXTERMINATOR EXPENS</v>
      </c>
      <c r="C47" s="12"/>
      <c r="D47" s="8">
        <v>280.85000000000002</v>
      </c>
      <c r="E47" s="3"/>
      <c r="F47" s="7">
        <f t="shared" si="0"/>
        <v>9.4820443807618997E-3</v>
      </c>
      <c r="G47" s="3"/>
      <c r="H47" s="8">
        <v>151.85</v>
      </c>
      <c r="I47" s="3"/>
      <c r="J47" s="7">
        <f t="shared" si="1"/>
        <v>0</v>
      </c>
      <c r="K47" s="3"/>
      <c r="L47" s="8">
        <f t="shared" si="2"/>
        <v>129.00000000000003</v>
      </c>
      <c r="M47" s="3"/>
      <c r="N47" s="7">
        <f t="shared" si="3"/>
        <v>0.84952255515311181</v>
      </c>
      <c r="O47" s="12"/>
      <c r="P47" s="8">
        <v>1905.5</v>
      </c>
      <c r="Q47" s="3"/>
      <c r="R47" s="7">
        <f t="shared" si="4"/>
        <v>2.3098170801851392E-2</v>
      </c>
      <c r="S47" s="3"/>
      <c r="T47" s="8">
        <v>1785.34</v>
      </c>
      <c r="U47" s="3"/>
      <c r="V47" s="7">
        <f t="shared" si="5"/>
        <v>0</v>
      </c>
      <c r="W47" s="3"/>
      <c r="X47" s="8">
        <f t="shared" si="6"/>
        <v>120.16000000000008</v>
      </c>
      <c r="Y47" s="3"/>
      <c r="Z47" s="7">
        <f t="shared" si="7"/>
        <v>6.7303706856957274E-2</v>
      </c>
    </row>
    <row r="48" spans="1:26" s="69" customFormat="1" ht="15" hidden="1" customHeight="1" outlineLevel="2" x14ac:dyDescent="0.3">
      <c r="A48" s="26"/>
      <c r="B48" s="12" t="str">
        <f>CONCATENATE("          ","6285"," - ","JANITORIAL SERVICES")</f>
        <v xml:space="preserve">          6285 - JANITORIAL SERVICES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245.84</v>
      </c>
      <c r="Q48" s="3"/>
      <c r="R48" s="7">
        <f t="shared" si="4"/>
        <v>2.9800337496337687E-3</v>
      </c>
      <c r="S48" s="3"/>
      <c r="T48" s="8">
        <v>-173.04</v>
      </c>
      <c r="U48" s="3"/>
      <c r="V48" s="7">
        <f t="shared" si="5"/>
        <v>0</v>
      </c>
      <c r="W48" s="3"/>
      <c r="X48" s="8">
        <f t="shared" si="6"/>
        <v>418.88</v>
      </c>
      <c r="Y48" s="3"/>
      <c r="Z48" s="7">
        <f t="shared" si="7"/>
        <v>-2.4207119741100325</v>
      </c>
    </row>
    <row r="49" spans="1:26" s="68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-273.33</v>
      </c>
      <c r="E49" s="2"/>
      <c r="F49" s="6">
        <f t="shared" si="0"/>
        <v>-9.228154497395941E-3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-273.33</v>
      </c>
      <c r="M49" s="2"/>
      <c r="N49" s="6">
        <f t="shared" si="3"/>
        <v>0</v>
      </c>
      <c r="O49" s="14"/>
      <c r="P49" s="2">
        <f>SUM(OSRRefP22_10x_0)</f>
        <v>121.59</v>
      </c>
      <c r="Q49" s="2"/>
      <c r="R49" s="6">
        <f t="shared" si="4"/>
        <v>1.4738948243490479E-3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121.59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","6241"," - ","OFFICE EXPENSE")</f>
        <v xml:space="preserve">          6241 - OFFICE EXPENSE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28.64</v>
      </c>
      <c r="Q50" s="3"/>
      <c r="R50" s="7">
        <f t="shared" si="4"/>
        <v>3.4716956796904954E-4</v>
      </c>
      <c r="S50" s="3"/>
      <c r="T50" s="8"/>
      <c r="U50" s="3"/>
      <c r="V50" s="7">
        <f t="shared" si="5"/>
        <v>0</v>
      </c>
      <c r="W50" s="3"/>
      <c r="X50" s="8">
        <f t="shared" si="6"/>
        <v>28.64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","6247"," - ","STORE SUPPLIES")</f>
        <v xml:space="preserve">          6247 - STORE SUPPLIES</v>
      </c>
      <c r="C51" s="12"/>
      <c r="D51" s="8">
        <v>-273.33</v>
      </c>
      <c r="E51" s="3"/>
      <c r="F51" s="7">
        <f t="shared" si="0"/>
        <v>-9.228154497395941E-3</v>
      </c>
      <c r="G51" s="3"/>
      <c r="H51" s="8"/>
      <c r="I51" s="3"/>
      <c r="J51" s="7">
        <f t="shared" si="1"/>
        <v>0</v>
      </c>
      <c r="K51" s="3"/>
      <c r="L51" s="8">
        <f t="shared" si="2"/>
        <v>-273.33</v>
      </c>
      <c r="M51" s="3"/>
      <c r="N51" s="7">
        <f t="shared" si="3"/>
        <v>0</v>
      </c>
      <c r="O51" s="12"/>
      <c r="P51" s="8">
        <v>92.95</v>
      </c>
      <c r="Q51" s="3"/>
      <c r="R51" s="7">
        <f t="shared" si="4"/>
        <v>1.1267252563799985E-3</v>
      </c>
      <c r="S51" s="3"/>
      <c r="T51" s="8"/>
      <c r="U51" s="3"/>
      <c r="V51" s="7">
        <f t="shared" si="5"/>
        <v>0</v>
      </c>
      <c r="W51" s="3"/>
      <c r="X51" s="8">
        <f t="shared" si="6"/>
        <v>92.95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1.0128585772578138E-3</v>
      </c>
      <c r="G52" s="2"/>
      <c r="H52" s="2">
        <f>SUM(OSRRefH22_11x_0)</f>
        <v>30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SUM(OSRRefP22_11x_0)</f>
        <v>300</v>
      </c>
      <c r="Q52" s="2"/>
      <c r="R52" s="6">
        <f t="shared" si="4"/>
        <v>3.6365527371059656E-3</v>
      </c>
      <c r="S52" s="2"/>
      <c r="T52" s="2">
        <f>SUM(OSRRefT22_11x_0)</f>
        <v>394.32</v>
      </c>
      <c r="U52" s="2"/>
      <c r="V52" s="6">
        <f t="shared" si="5"/>
        <v>0</v>
      </c>
      <c r="W52" s="2"/>
      <c r="X52" s="2">
        <f t="shared" si="6"/>
        <v>-94.32</v>
      </c>
      <c r="Y52" s="2"/>
      <c r="Z52" s="6">
        <f t="shared" si="7"/>
        <v>-0.23919659160073037</v>
      </c>
    </row>
    <row r="53" spans="1:26" s="69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8">
        <v>30</v>
      </c>
      <c r="E53" s="3"/>
      <c r="F53" s="7">
        <f t="shared" si="0"/>
        <v>1.0128585772578138E-3</v>
      </c>
      <c r="G53" s="3"/>
      <c r="H53" s="8">
        <v>30</v>
      </c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300</v>
      </c>
      <c r="Q53" s="3"/>
      <c r="R53" s="7">
        <f t="shared" si="4"/>
        <v>3.6365527371059656E-3</v>
      </c>
      <c r="S53" s="3"/>
      <c r="T53" s="8">
        <v>394.32</v>
      </c>
      <c r="U53" s="3"/>
      <c r="V53" s="7">
        <f t="shared" si="5"/>
        <v>0</v>
      </c>
      <c r="W53" s="3"/>
      <c r="X53" s="8">
        <f t="shared" si="6"/>
        <v>-94.32</v>
      </c>
      <c r="Y53" s="3"/>
      <c r="Z53" s="7">
        <f t="shared" si="7"/>
        <v>-0.23919659160073037</v>
      </c>
    </row>
    <row r="54" spans="1:26" s="68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1.4546210948423862E-3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120</v>
      </c>
      <c r="Q55" s="3"/>
      <c r="R55" s="7">
        <f t="shared" si="4"/>
        <v>1.4546210948423862E-3</v>
      </c>
      <c r="S55" s="3"/>
      <c r="T55" s="8"/>
      <c r="U55" s="3"/>
      <c r="V55" s="7">
        <f t="shared" si="5"/>
        <v>0</v>
      </c>
      <c r="W55" s="3"/>
      <c r="X55" s="8">
        <f t="shared" si="6"/>
        <v>120</v>
      </c>
      <c r="Y55" s="3"/>
      <c r="Z55" s="7">
        <f t="shared" si="7"/>
        <v>0</v>
      </c>
    </row>
    <row r="56" spans="1:26" s="64" customFormat="1" ht="15" customHeight="1" x14ac:dyDescent="0.3">
      <c r="A56" s="36"/>
      <c r="B56" s="36"/>
      <c r="C56" s="36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2" customFormat="1" ht="15" customHeight="1" x14ac:dyDescent="0.3">
      <c r="A57" s="11"/>
      <c r="B57" s="27" t="s">
        <v>290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2" customFormat="1" ht="15" customHeight="1" x14ac:dyDescent="0.3">
      <c r="A59" s="11"/>
      <c r="B59" s="28" t="s">
        <v>291</v>
      </c>
      <c r="C59" s="28"/>
      <c r="D59" s="21">
        <f>+D22-D24+D57</f>
        <v>9765.6899999999987</v>
      </c>
      <c r="E59" s="15"/>
      <c r="F59" s="23">
        <f>IF(D$12=0,0,D59/D$12)</f>
        <v>0.32970876264469523</v>
      </c>
      <c r="G59" s="15"/>
      <c r="H59" s="21">
        <f>+H22-H24+H57</f>
        <v>-770.02</v>
      </c>
      <c r="I59" s="15"/>
      <c r="J59" s="23">
        <f>IF(H$12=0,0,H59/H$12)</f>
        <v>0</v>
      </c>
      <c r="K59" s="16"/>
      <c r="L59" s="21">
        <f>+D59-H59</f>
        <v>10535.71</v>
      </c>
      <c r="M59" s="16"/>
      <c r="N59" s="23">
        <f>IF(H59=0,0,L59/H59)</f>
        <v>-13.682384873120178</v>
      </c>
      <c r="O59" s="27"/>
      <c r="P59" s="21">
        <f>+P22-P24+P57</f>
        <v>13601.660000000003</v>
      </c>
      <c r="Q59" s="15"/>
      <c r="R59" s="23">
        <f>IF(P$12=0,0,P59/P$12)</f>
        <v>0.16487717967394913</v>
      </c>
      <c r="S59" s="15"/>
      <c r="T59" s="21">
        <f>+T22-T24+T57</f>
        <v>-9491.3799999999992</v>
      </c>
      <c r="U59" s="15"/>
      <c r="V59" s="23">
        <f>IF(T$12=0,0,T59/T$12)</f>
        <v>0</v>
      </c>
      <c r="W59" s="16"/>
      <c r="X59" s="21">
        <f>+P59-T59</f>
        <v>23093.040000000001</v>
      </c>
      <c r="Y59" s="16"/>
      <c r="Z59" s="23">
        <f>IF(T59=0,0,X59/T59)</f>
        <v>-2.4330539921486656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2" customFormat="1" ht="15" customHeight="1" x14ac:dyDescent="0.3">
      <c r="A61" s="48"/>
      <c r="B61" s="11" t="s">
        <v>292</v>
      </c>
      <c r="C61" s="11"/>
      <c r="D61" s="5">
        <v>3034.74</v>
      </c>
      <c r="E61" s="5"/>
      <c r="F61" s="13">
        <f>IF(D$12=0,0,D61/D$12)</f>
        <v>0.10245874795824592</v>
      </c>
      <c r="G61" s="5"/>
      <c r="H61" s="5"/>
      <c r="I61" s="5"/>
      <c r="J61" s="13">
        <f>IF(H$12=0,0,H61/H$12)</f>
        <v>0</v>
      </c>
      <c r="K61" s="5"/>
      <c r="L61" s="5">
        <f>+D61-H61</f>
        <v>3034.74</v>
      </c>
      <c r="M61" s="5"/>
      <c r="N61" s="13">
        <f>IF(H61=0,0,L61/H61)</f>
        <v>0</v>
      </c>
      <c r="O61" s="11"/>
      <c r="P61" s="5">
        <v>9345.43</v>
      </c>
      <c r="Q61" s="5"/>
      <c r="R61" s="13">
        <f>IF(P$12=0,0,P61/P$12)</f>
        <v>0.11328383015310735</v>
      </c>
      <c r="S61" s="5"/>
      <c r="T61" s="5"/>
      <c r="U61" s="5"/>
      <c r="V61" s="13">
        <f>IF(T$12=0,0,T61/T$12)</f>
        <v>0</v>
      </c>
      <c r="W61" s="5"/>
      <c r="X61" s="5">
        <f>+P61-T61</f>
        <v>9345.43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2" customFormat="1" ht="15" customHeight="1" x14ac:dyDescent="0.3">
      <c r="A63" s="11"/>
      <c r="B63" s="28" t="s">
        <v>293</v>
      </c>
      <c r="C63" s="28"/>
      <c r="D63" s="34">
        <f>+D59-D61</f>
        <v>6730.9499999999989</v>
      </c>
      <c r="E63" s="15"/>
      <c r="F63" s="30">
        <f>IF(D$12=0,0,D63/D$12)</f>
        <v>0.22725001468644934</v>
      </c>
      <c r="G63" s="15"/>
      <c r="H63" s="34">
        <f>+H59-H61</f>
        <v>-770.02</v>
      </c>
      <c r="I63" s="15"/>
      <c r="J63" s="30">
        <f>IF(H$12=0,0,H63/H$12)</f>
        <v>0</v>
      </c>
      <c r="K63" s="16"/>
      <c r="L63" s="34">
        <f>D63-H63</f>
        <v>7500.9699999999993</v>
      </c>
      <c r="M63" s="16"/>
      <c r="N63" s="30">
        <f>IF(H63=0,0,L63/H63)</f>
        <v>-9.7412664606114117</v>
      </c>
      <c r="O63" s="27"/>
      <c r="P63" s="34">
        <f>+P59-P61</f>
        <v>4256.2300000000032</v>
      </c>
      <c r="Q63" s="15"/>
      <c r="R63" s="30">
        <f>IF(P$12=0,0,P63/P$12)</f>
        <v>5.1593349520841783E-2</v>
      </c>
      <c r="S63" s="15"/>
      <c r="T63" s="34">
        <f>+T59-T61</f>
        <v>-9491.3799999999992</v>
      </c>
      <c r="U63" s="15"/>
      <c r="V63" s="30">
        <f>IF(T$12=0,0,T63/T$12)</f>
        <v>0</v>
      </c>
      <c r="W63" s="16"/>
      <c r="X63" s="34">
        <f>P63-T63</f>
        <v>13747.610000000002</v>
      </c>
      <c r="Y63" s="16"/>
      <c r="Z63" s="30">
        <f>IF(T63=0,0,X63/T63)</f>
        <v>-1.4484311027479675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11"/>
      <c r="B66" s="28" t="s">
        <v>296</v>
      </c>
      <c r="C66" s="28"/>
      <c r="D66" s="29">
        <f>SUM(D63:D65)</f>
        <v>6730.9499999999989</v>
      </c>
      <c r="E66" s="15"/>
      <c r="F66" s="35">
        <f>IF(D$12=0,0,D66/D$12)</f>
        <v>0.22725001468644934</v>
      </c>
      <c r="G66" s="15"/>
      <c r="H66" s="29">
        <f>SUM(H63:H65)</f>
        <v>-770.02</v>
      </c>
      <c r="I66" s="15"/>
      <c r="J66" s="35">
        <f>IF(H$12=0,0,H66/H$12)</f>
        <v>0</v>
      </c>
      <c r="K66" s="16"/>
      <c r="L66" s="29">
        <f>+D66-H66</f>
        <v>7500.9699999999993</v>
      </c>
      <c r="M66" s="16"/>
      <c r="N66" s="35">
        <f>IF(H66=0,0,L66/H66)</f>
        <v>-9.7412664606114117</v>
      </c>
      <c r="O66" s="27"/>
      <c r="P66" s="29">
        <f>SUM(P63:P65)</f>
        <v>4256.2300000000032</v>
      </c>
      <c r="Q66" s="15"/>
      <c r="R66" s="35">
        <f>IF(P$12=0,0,P66/P$12)</f>
        <v>5.1593349520841783E-2</v>
      </c>
      <c r="S66" s="15"/>
      <c r="T66" s="29">
        <f>SUM(T63:T65)</f>
        <v>-9491.3799999999992</v>
      </c>
      <c r="U66" s="15"/>
      <c r="V66" s="35">
        <f>IF(T$12=0,0,T66/T$12)</f>
        <v>0</v>
      </c>
      <c r="W66" s="16"/>
      <c r="X66" s="29">
        <f>+P66-T66</f>
        <v>13747.610000000002</v>
      </c>
      <c r="Y66" s="16"/>
      <c r="Z66" s="35">
        <f>IF(T66=0,0,X66/T66)</f>
        <v>-1.4484311027479675</v>
      </c>
    </row>
    <row r="67" spans="1:26" ht="15" customHeight="1" x14ac:dyDescent="0.3">
      <c r="A67" s="10"/>
      <c r="C67" s="10"/>
      <c r="D67" s="18"/>
      <c r="E67" s="18"/>
      <c r="G67" s="18"/>
      <c r="H67" s="18"/>
      <c r="I67" s="18"/>
      <c r="J67" s="40"/>
      <c r="K67" s="18"/>
      <c r="L67" s="18"/>
      <c r="M67" s="18"/>
      <c r="P67" s="18"/>
      <c r="Q67" s="18"/>
      <c r="R67" s="40"/>
      <c r="S67" s="18"/>
      <c r="T67" s="18"/>
      <c r="U67" s="18"/>
      <c r="V67" s="40"/>
      <c r="W67" s="18"/>
      <c r="X67" s="18"/>
    </row>
    <row r="68" spans="1:26" ht="15" customHeight="1" x14ac:dyDescent="0.3">
      <c r="A68" s="10"/>
      <c r="B68" s="56">
        <v>44694.890829479169</v>
      </c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  <row r="69" spans="1:26" ht="15" customHeight="1" x14ac:dyDescent="0.3">
      <c r="A69" s="10"/>
      <c r="B69" s="52" t="s">
        <v>297</v>
      </c>
      <c r="D69" s="18"/>
      <c r="E69" s="18"/>
      <c r="G69" s="18"/>
      <c r="H69" s="18"/>
      <c r="I69" s="18"/>
      <c r="J69" s="40"/>
      <c r="K69" s="18"/>
      <c r="L69" s="18"/>
      <c r="M69" s="18"/>
      <c r="P69" s="18"/>
      <c r="Q69" s="18"/>
      <c r="R69" s="40"/>
      <c r="S69" s="18"/>
      <c r="T69" s="18"/>
      <c r="U69" s="18"/>
      <c r="V69" s="40"/>
      <c r="W69" s="18"/>
      <c r="X69" s="18"/>
    </row>
    <row r="70" spans="1:26" ht="15" customHeight="1" x14ac:dyDescent="0.3">
      <c r="A70" s="10"/>
      <c r="B70" s="58"/>
      <c r="D70" s="18"/>
      <c r="E70" s="18"/>
      <c r="G70" s="18"/>
      <c r="H70" s="18"/>
      <c r="I70" s="18"/>
      <c r="J70" s="40"/>
      <c r="K70" s="18"/>
      <c r="L70" s="18"/>
      <c r="M70" s="18"/>
      <c r="P70" s="18"/>
      <c r="Q70" s="18"/>
      <c r="R70" s="40"/>
      <c r="S70" s="18"/>
      <c r="T70" s="18"/>
      <c r="U70" s="18"/>
      <c r="V70" s="40"/>
      <c r="W70" s="18"/>
      <c r="X70" s="18"/>
    </row>
    <row r="71" spans="1:26" ht="15" customHeight="1" x14ac:dyDescent="0.3">
      <c r="D71" s="18"/>
      <c r="E71" s="18"/>
      <c r="G71" s="18"/>
      <c r="H71" s="18"/>
      <c r="I71" s="18"/>
      <c r="J71" s="40"/>
      <c r="K71" s="18"/>
      <c r="L71" s="18"/>
      <c r="M71" s="18"/>
      <c r="P71" s="18"/>
      <c r="Q71" s="18"/>
      <c r="R71" s="40"/>
      <c r="S71" s="18"/>
      <c r="T71" s="18"/>
      <c r="U71" s="18"/>
      <c r="V71" s="40"/>
      <c r="W71" s="18"/>
      <c r="X7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B273E-C2E1-F518-7EB8-3BA90330113C}">
  <sheetPr>
    <tabColor rgb="FF92D050"/>
    <outlinePr summaryBelow="0" summaryRight="0"/>
  </sheetPr>
  <dimension ref="A2:Z6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","313"," - ","Convenience Store")</f>
        <v>Department 313 - Convenience Store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","4034"," - ","TAXABLE SALES-SODA")</f>
        <v xml:space="preserve">          4034 - TAXABLE SALES-SODA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0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","4132"," - ","NON-TAXABLE SALES-JUICE")</f>
        <v xml:space="preserve">          4132 - NON-TAXABLE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0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","4134"," - ","NON-TAXABLE SALES-SODA")</f>
        <v xml:space="preserve">          4134 - NON-TAXABLE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","4137"," - ","NON-TAXABLE SALES-WATER")</f>
        <v xml:space="preserve">          4137 - NON-TAXABLE SALES-WATER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0</f>
        <v>0</v>
      </c>
      <c r="U16" s="3"/>
      <c r="V16" s="20"/>
      <c r="W16" s="3"/>
      <c r="X16" s="3">
        <f>+P16-T16</f>
        <v>0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0</v>
      </c>
      <c r="E18" s="5"/>
      <c r="F18" s="13">
        <f>IF(D$12=0,0,D18/D$12)</f>
        <v>0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0</v>
      </c>
      <c r="M18" s="5"/>
      <c r="N18" s="13">
        <f>IF(H18=0,0,L18/H18)</f>
        <v>0</v>
      </c>
      <c r="O18" s="11"/>
      <c r="P18" s="5">
        <f>SUM(OSRRefP16x_0)</f>
        <v>0</v>
      </c>
      <c r="Q18" s="5"/>
      <c r="R18" s="13">
        <f>IF(P$12=0,0,P18/P$12)</f>
        <v>0</v>
      </c>
      <c r="S18" s="5"/>
      <c r="T18" s="5">
        <f>SUM(OSRRefT16x_0)</f>
        <v>-613.59</v>
      </c>
      <c r="U18" s="5"/>
      <c r="V18" s="13">
        <f>IF(T$12=0,0,T18/T$12)</f>
        <v>0</v>
      </c>
      <c r="W18" s="5"/>
      <c r="X18" s="5">
        <f>+P18-T18</f>
        <v>613.59</v>
      </c>
      <c r="Y18" s="5"/>
      <c r="Z18" s="13">
        <f>IF(T18=0,0,X18/T18)</f>
        <v>-1</v>
      </c>
    </row>
    <row r="19" spans="1:26" s="69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/>
      <c r="Q19" s="3"/>
      <c r="R19" s="20">
        <f>IF(P$12=0,0,P19/P$12)</f>
        <v>0</v>
      </c>
      <c r="S19" s="3"/>
      <c r="T19" s="3">
        <v>-613.59</v>
      </c>
      <c r="U19" s="3"/>
      <c r="V19" s="20">
        <f>IF(T$12=0,0,T19/T$12)</f>
        <v>0</v>
      </c>
      <c r="W19" s="3"/>
      <c r="X19" s="3">
        <f>+P19-T19</f>
        <v>613.59</v>
      </c>
      <c r="Y19" s="3"/>
      <c r="Z19" s="20">
        <f>IF(T19=0,0,X19/T19)</f>
        <v>-1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1">
        <f>D12-D18</f>
        <v>0</v>
      </c>
      <c r="E21" s="15"/>
      <c r="F21" s="23">
        <f>IF(D$12=0,0,D21/D$12)</f>
        <v>0</v>
      </c>
      <c r="G21" s="15"/>
      <c r="H21" s="21">
        <f>H12-H18</f>
        <v>0</v>
      </c>
      <c r="I21" s="15"/>
      <c r="J21" s="23">
        <f>IF(H$12=0,0,H21/H$12)</f>
        <v>0</v>
      </c>
      <c r="K21" s="16"/>
      <c r="L21" s="21">
        <f>+D21-H21</f>
        <v>0</v>
      </c>
      <c r="M21" s="16"/>
      <c r="N21" s="23">
        <f>IF(H21=0,0,L21/H21)</f>
        <v>0</v>
      </c>
      <c r="O21" s="27"/>
      <c r="P21" s="21">
        <f>P12-P18</f>
        <v>0</v>
      </c>
      <c r="Q21" s="15"/>
      <c r="R21" s="23">
        <f>IF(P$12=0,0,P21/P$12)</f>
        <v>0</v>
      </c>
      <c r="S21" s="15"/>
      <c r="T21" s="21">
        <f>T12-T18</f>
        <v>613.59</v>
      </c>
      <c r="U21" s="15"/>
      <c r="V21" s="23">
        <f>IF(T$12=0,0,T21/T$12)</f>
        <v>0</v>
      </c>
      <c r="W21" s="16"/>
      <c r="X21" s="21">
        <f>+P21-T21</f>
        <v>-613.59</v>
      </c>
      <c r="Y21" s="16"/>
      <c r="Z21" s="23">
        <f>IF(T21=0,0,X21/T21)</f>
        <v>-1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2" cm="1">
        <f t="array" ref="D23">SUM(OSRRefD22x_0)</f>
        <v>0</v>
      </c>
      <c r="E23" s="22"/>
      <c r="F23" s="32">
        <f t="shared" ref="F23:F46" si="0">IF(D$12=0,0,D23/D$12)</f>
        <v>0</v>
      </c>
      <c r="G23" s="22"/>
      <c r="H23" s="22" cm="1">
        <f t="array" ref="H23">SUM(OSRRefH22x_0)</f>
        <v>102.28</v>
      </c>
      <c r="I23" s="22"/>
      <c r="J23" s="32">
        <f t="shared" ref="J23:J46" si="1">IF(H$12=0,0,H23/H$12)</f>
        <v>0</v>
      </c>
      <c r="K23" s="5"/>
      <c r="L23" s="22">
        <f t="shared" ref="L23:L46" si="2">+D23-H23</f>
        <v>-102.28</v>
      </c>
      <c r="M23" s="5"/>
      <c r="N23" s="32">
        <f t="shared" ref="N23:N46" si="3">IF(H23=0,0,L23/H23)</f>
        <v>-1</v>
      </c>
      <c r="O23" s="11"/>
      <c r="P23" s="22" cm="1">
        <f t="array" ref="P23">SUM(OSRRefP22x_0)</f>
        <v>0</v>
      </c>
      <c r="Q23" s="22"/>
      <c r="R23" s="32">
        <f t="shared" ref="R23:R46" si="4">IF(P$12=0,0,P23/P$12)</f>
        <v>0</v>
      </c>
      <c r="S23" s="22"/>
      <c r="T23" s="22" cm="1">
        <f t="array" ref="T23">SUM(OSRRefT22x_0)</f>
        <v>46750.96</v>
      </c>
      <c r="U23" s="22"/>
      <c r="V23" s="32">
        <f t="shared" ref="V23:V46" si="5">IF(T$12=0,0,T23/T$12)</f>
        <v>0</v>
      </c>
      <c r="W23" s="5"/>
      <c r="X23" s="22">
        <f t="shared" ref="X23:X46" si="6">+P23-T23</f>
        <v>-46750.96</v>
      </c>
      <c r="Y23" s="5"/>
      <c r="Z23" s="32">
        <f t="shared" ref="Z23:Z46" si="7">IF(T23=0,0,X23/T23)</f>
        <v>-1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0</v>
      </c>
      <c r="E24" s="2"/>
      <c r="F24" s="6">
        <f t="shared" si="0"/>
        <v>0</v>
      </c>
      <c r="G24" s="2"/>
      <c r="H24" s="2">
        <f>SUM(OSRRefH22_0x_0)</f>
        <v>0</v>
      </c>
      <c r="I24" s="2"/>
      <c r="J24" s="6">
        <f t="shared" si="1"/>
        <v>0</v>
      </c>
      <c r="K24" s="2"/>
      <c r="L24" s="2">
        <f t="shared" si="2"/>
        <v>0</v>
      </c>
      <c r="M24" s="2"/>
      <c r="N24" s="6">
        <f t="shared" si="3"/>
        <v>0</v>
      </c>
      <c r="O24" s="14"/>
      <c r="P24" s="2">
        <f>SUM(OSRRefP22_0x_0)</f>
        <v>0</v>
      </c>
      <c r="Q24" s="2"/>
      <c r="R24" s="6">
        <f t="shared" si="4"/>
        <v>0</v>
      </c>
      <c r="S24" s="2"/>
      <c r="T24" s="2">
        <f>SUM(OSRRefT22_0x_0)</f>
        <v>21787.579999999998</v>
      </c>
      <c r="U24" s="2"/>
      <c r="V24" s="6">
        <f t="shared" si="5"/>
        <v>0</v>
      </c>
      <c r="W24" s="2"/>
      <c r="X24" s="2">
        <f t="shared" si="6"/>
        <v>-21787.579999999998</v>
      </c>
      <c r="Y24" s="2"/>
      <c r="Z24" s="6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1924.35</v>
      </c>
      <c r="U25" s="3"/>
      <c r="V25" s="7">
        <f t="shared" si="5"/>
        <v>0</v>
      </c>
      <c r="W25" s="3"/>
      <c r="X25" s="8">
        <f t="shared" si="6"/>
        <v>-1924.35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499.06</v>
      </c>
      <c r="U26" s="3"/>
      <c r="V26" s="7">
        <f t="shared" si="5"/>
        <v>0</v>
      </c>
      <c r="W26" s="3"/>
      <c r="X26" s="8">
        <f t="shared" si="6"/>
        <v>-499.06</v>
      </c>
      <c r="Y26" s="3"/>
      <c r="Z26" s="7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12083.19</v>
      </c>
      <c r="U27" s="3"/>
      <c r="V27" s="7">
        <f t="shared" si="5"/>
        <v>0</v>
      </c>
      <c r="W27" s="3"/>
      <c r="X27" s="8">
        <f t="shared" si="6"/>
        <v>-12083.19</v>
      </c>
      <c r="Y27" s="3"/>
      <c r="Z27" s="7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70.14</v>
      </c>
      <c r="U28" s="3"/>
      <c r="V28" s="7">
        <f t="shared" si="5"/>
        <v>0</v>
      </c>
      <c r="W28" s="3"/>
      <c r="X28" s="8">
        <f t="shared" si="6"/>
        <v>-70.14</v>
      </c>
      <c r="Y28" s="3"/>
      <c r="Z28" s="7">
        <f t="shared" si="7"/>
        <v>-1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/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3490.92</v>
      </c>
      <c r="U29" s="3"/>
      <c r="V29" s="7">
        <f t="shared" si="5"/>
        <v>0</v>
      </c>
      <c r="W29" s="3"/>
      <c r="X29" s="8">
        <f t="shared" si="6"/>
        <v>-3490.92</v>
      </c>
      <c r="Y29" s="3"/>
      <c r="Z29" s="7">
        <f t="shared" si="7"/>
        <v>-1</v>
      </c>
    </row>
    <row r="30" spans="1:26" s="69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2035.3</v>
      </c>
      <c r="U30" s="3"/>
      <c r="V30" s="7">
        <f t="shared" si="5"/>
        <v>0</v>
      </c>
      <c r="W30" s="3"/>
      <c r="X30" s="8">
        <f t="shared" si="6"/>
        <v>-2035.3</v>
      </c>
      <c r="Y30" s="3"/>
      <c r="Z30" s="7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1283.8</v>
      </c>
      <c r="U31" s="3"/>
      <c r="V31" s="7">
        <f t="shared" si="5"/>
        <v>0</v>
      </c>
      <c r="W31" s="3"/>
      <c r="X31" s="8">
        <f t="shared" si="6"/>
        <v>-1283.8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400.82</v>
      </c>
      <c r="U32" s="3"/>
      <c r="V32" s="7">
        <f t="shared" si="5"/>
        <v>0</v>
      </c>
      <c r="W32" s="3"/>
      <c r="X32" s="8">
        <f t="shared" si="6"/>
        <v>-400.82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0</v>
      </c>
      <c r="E33" s="2"/>
      <c r="F33" s="6">
        <f t="shared" si="0"/>
        <v>0</v>
      </c>
      <c r="G33" s="2"/>
      <c r="H33" s="2">
        <f>SUM(OSRRefH22_1x_0)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SUM(OSRRefP22_1x_0)</f>
        <v>0</v>
      </c>
      <c r="Q33" s="2"/>
      <c r="R33" s="6">
        <f t="shared" si="4"/>
        <v>0</v>
      </c>
      <c r="S33" s="2"/>
      <c r="T33" s="2">
        <f>SUM(OSRRefT22_1x_0)</f>
        <v>23136.42</v>
      </c>
      <c r="U33" s="2"/>
      <c r="V33" s="6">
        <f t="shared" si="5"/>
        <v>0</v>
      </c>
      <c r="W33" s="2"/>
      <c r="X33" s="2">
        <f t="shared" si="6"/>
        <v>-23136.42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","6002"," - ","STAFF SALARIES")</f>
        <v xml:space="preserve">          6002 - STAFF SALARIES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23136.42</v>
      </c>
      <c r="U34" s="3"/>
      <c r="V34" s="7">
        <f t="shared" si="5"/>
        <v>0</v>
      </c>
      <c r="W34" s="3"/>
      <c r="X34" s="8">
        <f t="shared" si="6"/>
        <v>-23136.42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SUM(OSRRefD22_2x_0)</f>
        <v>0</v>
      </c>
      <c r="E35" s="2"/>
      <c r="F35" s="6">
        <f t="shared" si="0"/>
        <v>0</v>
      </c>
      <c r="G35" s="2"/>
      <c r="H35" s="2">
        <f>SUM(OSRRefH22_2x_0)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SUM(OSRRefP22_2x_0)</f>
        <v>0</v>
      </c>
      <c r="Q35" s="2"/>
      <c r="R35" s="6">
        <f t="shared" si="4"/>
        <v>0</v>
      </c>
      <c r="S35" s="2"/>
      <c r="T35" s="2">
        <f>SUM(OSRRefT22_2x_0)</f>
        <v>240</v>
      </c>
      <c r="U35" s="2"/>
      <c r="V35" s="6">
        <f t="shared" si="5"/>
        <v>0</v>
      </c>
      <c r="W35" s="2"/>
      <c r="X35" s="2">
        <f t="shared" si="6"/>
        <v>-240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240</v>
      </c>
      <c r="U36" s="3"/>
      <c r="V36" s="7">
        <f t="shared" si="5"/>
        <v>0</v>
      </c>
      <c r="W36" s="3"/>
      <c r="X36" s="8">
        <f t="shared" si="6"/>
        <v>-240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","Freight out/Postage                               ")</f>
        <v xml:space="preserve">     Freight out/Postage                               </v>
      </c>
      <c r="C37" s="14"/>
      <c r="D37" s="2">
        <f>SUM(OSRRefD22_3x_0)</f>
        <v>0</v>
      </c>
      <c r="E37" s="2"/>
      <c r="F37" s="6">
        <f t="shared" si="0"/>
        <v>0</v>
      </c>
      <c r="G37" s="2"/>
      <c r="H37" s="2">
        <f>SUM(OSRRefH22_3x_0)</f>
        <v>30.28</v>
      </c>
      <c r="I37" s="2"/>
      <c r="J37" s="6">
        <f t="shared" si="1"/>
        <v>0</v>
      </c>
      <c r="K37" s="2"/>
      <c r="L37" s="2">
        <f t="shared" si="2"/>
        <v>-30.28</v>
      </c>
      <c r="M37" s="2"/>
      <c r="N37" s="6">
        <f t="shared" si="3"/>
        <v>-1</v>
      </c>
      <c r="O37" s="14"/>
      <c r="P37" s="2">
        <f>SUM(OSRRefP22_3x_0)</f>
        <v>0</v>
      </c>
      <c r="Q37" s="2"/>
      <c r="R37" s="6">
        <f t="shared" si="4"/>
        <v>0</v>
      </c>
      <c r="S37" s="2"/>
      <c r="T37" s="2">
        <f>SUM(OSRRefT22_3x_0)</f>
        <v>280.10000000000002</v>
      </c>
      <c r="U37" s="2"/>
      <c r="V37" s="6">
        <f t="shared" si="5"/>
        <v>0</v>
      </c>
      <c r="W37" s="2"/>
      <c r="X37" s="2">
        <f t="shared" si="6"/>
        <v>-280.10000000000002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","6305"," - ","FREIGHT OUT")</f>
        <v xml:space="preserve">          6305 - FREIGHT OUT</v>
      </c>
      <c r="C38" s="12"/>
      <c r="D38" s="8"/>
      <c r="E38" s="3"/>
      <c r="F38" s="7">
        <f t="shared" si="0"/>
        <v>0</v>
      </c>
      <c r="G38" s="3"/>
      <c r="H38" s="8">
        <v>30.28</v>
      </c>
      <c r="I38" s="3"/>
      <c r="J38" s="7">
        <f t="shared" si="1"/>
        <v>0</v>
      </c>
      <c r="K38" s="3"/>
      <c r="L38" s="8">
        <f t="shared" si="2"/>
        <v>-30.28</v>
      </c>
      <c r="M38" s="3"/>
      <c r="N38" s="7">
        <f t="shared" si="3"/>
        <v>-1</v>
      </c>
      <c r="O38" s="12"/>
      <c r="P38" s="8"/>
      <c r="Q38" s="3"/>
      <c r="R38" s="7">
        <f t="shared" si="4"/>
        <v>0</v>
      </c>
      <c r="S38" s="3"/>
      <c r="T38" s="8">
        <v>280.10000000000002</v>
      </c>
      <c r="U38" s="3"/>
      <c r="V38" s="7">
        <f t="shared" si="5"/>
        <v>0</v>
      </c>
      <c r="W38" s="3"/>
      <c r="X38" s="8">
        <f t="shared" si="6"/>
        <v>-280.10000000000002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5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SUM(OSRRefD22_4x_0)</f>
        <v>0</v>
      </c>
      <c r="E39" s="2"/>
      <c r="F39" s="6">
        <f t="shared" si="0"/>
        <v>0</v>
      </c>
      <c r="G39" s="2"/>
      <c r="H39" s="2">
        <f>SUM(OSRRefH22_4x_0)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SUM(OSRRefP22_4x_0)</f>
        <v>0</v>
      </c>
      <c r="Q39" s="2"/>
      <c r="R39" s="6">
        <f t="shared" si="4"/>
        <v>0</v>
      </c>
      <c r="S39" s="2"/>
      <c r="T39" s="2">
        <f>SUM(OSRRefT22_4x_0)</f>
        <v>160</v>
      </c>
      <c r="U39" s="2"/>
      <c r="V39" s="6">
        <f t="shared" si="5"/>
        <v>0</v>
      </c>
      <c r="W39" s="2"/>
      <c r="X39" s="2">
        <f t="shared" si="6"/>
        <v>-160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","6279"," - ","GENERAL EXPENSE")</f>
        <v xml:space="preserve">          6279 - GENERAL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160</v>
      </c>
      <c r="U40" s="3"/>
      <c r="V40" s="7">
        <f t="shared" si="5"/>
        <v>0</v>
      </c>
      <c r="W40" s="3"/>
      <c r="X40" s="8">
        <f t="shared" si="6"/>
        <v>-160</v>
      </c>
      <c r="Y40" s="3"/>
      <c r="Z40" s="7">
        <f t="shared" si="7"/>
        <v>-1</v>
      </c>
    </row>
    <row r="41" spans="1:26" s="68" customFormat="1" ht="15" customHeight="1" outlineLevel="1" collapsed="1" x14ac:dyDescent="0.3">
      <c r="A41" s="25"/>
      <c r="B41" s="14" t="str">
        <f>CONCATENATE("     ","Repair and Maintenance                            ")</f>
        <v xml:space="preserve">     Repair and Maintenance 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0</v>
      </c>
      <c r="Q41" s="2"/>
      <c r="R41" s="6">
        <f t="shared" si="4"/>
        <v>0</v>
      </c>
      <c r="S41" s="2"/>
      <c r="T41" s="2">
        <f>SUM(OSRRefT22_5x_0)</f>
        <v>72.36</v>
      </c>
      <c r="U41" s="2"/>
      <c r="V41" s="6">
        <f t="shared" si="5"/>
        <v>0</v>
      </c>
      <c r="W41" s="2"/>
      <c r="X41" s="2">
        <f t="shared" si="6"/>
        <v>-72.36</v>
      </c>
      <c r="Y41" s="2"/>
      <c r="Z41" s="6">
        <f t="shared" si="7"/>
        <v>-1</v>
      </c>
    </row>
    <row r="42" spans="1:26" s="69" customFormat="1" ht="15" hidden="1" customHeight="1" outlineLevel="2" x14ac:dyDescent="0.3">
      <c r="A42" s="26"/>
      <c r="B42" s="12" t="str">
        <f>CONCATENATE("          ","6373"," - ","MAINTENANCE CONTRACTS")</f>
        <v xml:space="preserve">          6373 - MAINTENANCE CONTRACTS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</v>
      </c>
      <c r="Q42" s="3"/>
      <c r="R42" s="7">
        <f t="shared" si="4"/>
        <v>0</v>
      </c>
      <c r="S42" s="3"/>
      <c r="T42" s="8">
        <v>72.36</v>
      </c>
      <c r="U42" s="3"/>
      <c r="V42" s="7">
        <f t="shared" si="5"/>
        <v>0</v>
      </c>
      <c r="W42" s="3"/>
      <c r="X42" s="8">
        <f t="shared" si="6"/>
        <v>-72.36</v>
      </c>
      <c r="Y42" s="3"/>
      <c r="Z42" s="7">
        <f t="shared" si="7"/>
        <v>-1</v>
      </c>
    </row>
    <row r="43" spans="1:26" s="68" customFormat="1" ht="15" customHeight="1" outlineLevel="1" collapsed="1" x14ac:dyDescent="0.3">
      <c r="A43" s="25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SUM(OSRRefD22_6x_0)</f>
        <v>0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0</v>
      </c>
      <c r="Q43" s="2"/>
      <c r="R43" s="6">
        <f t="shared" si="4"/>
        <v>0</v>
      </c>
      <c r="S43" s="2"/>
      <c r="T43" s="2">
        <f>SUM(OSRRefT22_6x_0)</f>
        <v>0</v>
      </c>
      <c r="U43" s="2"/>
      <c r="V43" s="6">
        <f t="shared" si="5"/>
        <v>0</v>
      </c>
      <c r="W43" s="2"/>
      <c r="X43" s="2">
        <f t="shared" si="6"/>
        <v>0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","6247"," - ","STORE SUPPLIES")</f>
        <v xml:space="preserve">          6247 - STORE SUPPLIES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0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5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72</v>
      </c>
      <c r="I45" s="2"/>
      <c r="J45" s="6">
        <f t="shared" si="1"/>
        <v>0</v>
      </c>
      <c r="K45" s="2"/>
      <c r="L45" s="2">
        <f t="shared" si="2"/>
        <v>-72</v>
      </c>
      <c r="M45" s="2"/>
      <c r="N45" s="6">
        <f t="shared" si="3"/>
        <v>-1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1074.5</v>
      </c>
      <c r="U45" s="2"/>
      <c r="V45" s="6">
        <f t="shared" si="5"/>
        <v>0</v>
      </c>
      <c r="W45" s="2"/>
      <c r="X45" s="2">
        <f t="shared" si="6"/>
        <v>-1074.5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6"/>
      <c r="B46" s="12" t="str">
        <f>CONCATENATE("          ","6309"," - ","TELEPHONE")</f>
        <v xml:space="preserve">          6309 - TELEPHONE</v>
      </c>
      <c r="C46" s="12"/>
      <c r="D46" s="8"/>
      <c r="E46" s="3"/>
      <c r="F46" s="7">
        <f t="shared" si="0"/>
        <v>0</v>
      </c>
      <c r="G46" s="3"/>
      <c r="H46" s="8">
        <v>72</v>
      </c>
      <c r="I46" s="3"/>
      <c r="J46" s="7">
        <f t="shared" si="1"/>
        <v>0</v>
      </c>
      <c r="K46" s="3"/>
      <c r="L46" s="8">
        <f t="shared" si="2"/>
        <v>-72</v>
      </c>
      <c r="M46" s="3"/>
      <c r="N46" s="7">
        <f t="shared" si="3"/>
        <v>-1</v>
      </c>
      <c r="O46" s="12"/>
      <c r="P46" s="8">
        <v>0</v>
      </c>
      <c r="Q46" s="3"/>
      <c r="R46" s="7">
        <f t="shared" si="4"/>
        <v>0</v>
      </c>
      <c r="S46" s="3"/>
      <c r="T46" s="8">
        <v>1074.5</v>
      </c>
      <c r="U46" s="3"/>
      <c r="V46" s="7">
        <f t="shared" si="5"/>
        <v>0</v>
      </c>
      <c r="W46" s="3"/>
      <c r="X46" s="8">
        <f t="shared" si="6"/>
        <v>-1074.5</v>
      </c>
      <c r="Y46" s="3"/>
      <c r="Z46" s="7">
        <f t="shared" si="7"/>
        <v>-1</v>
      </c>
    </row>
    <row r="47" spans="1:26" s="64" customFormat="1" ht="15" customHeight="1" x14ac:dyDescent="0.3">
      <c r="A47" s="36"/>
      <c r="B47" s="36"/>
      <c r="C47" s="36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2" customFormat="1" ht="15" customHeight="1" x14ac:dyDescent="0.3">
      <c r="A48" s="11"/>
      <c r="B48" s="27" t="s">
        <v>290</v>
      </c>
      <c r="C48" s="11"/>
      <c r="D48" s="5">
        <f>SUM(0)</f>
        <v>0</v>
      </c>
      <c r="E48" s="5"/>
      <c r="F48" s="13">
        <f>IF(D$12=0,0,D48/D$12)</f>
        <v>0</v>
      </c>
      <c r="G48" s="5"/>
      <c r="H48" s="5">
        <f>SUM(0)</f>
        <v>0</v>
      </c>
      <c r="I48" s="5"/>
      <c r="J48" s="13">
        <f>IF(H$12=0,0,H48/H$12)</f>
        <v>0</v>
      </c>
      <c r="K48" s="5"/>
      <c r="L48" s="5">
        <f>+D48-H48</f>
        <v>0</v>
      </c>
      <c r="M48" s="5"/>
      <c r="N48" s="13">
        <f>IF(H48=0,0,L48/H48)</f>
        <v>0</v>
      </c>
      <c r="O48" s="11"/>
      <c r="P48" s="5">
        <f>SUM(0)</f>
        <v>0</v>
      </c>
      <c r="Q48" s="5"/>
      <c r="R48" s="13">
        <f>IF(P$12=0,0,P48/P$12)</f>
        <v>0</v>
      </c>
      <c r="S48" s="5"/>
      <c r="T48" s="5">
        <f>SUM(0)</f>
        <v>0</v>
      </c>
      <c r="U48" s="5"/>
      <c r="V48" s="13">
        <f>IF(T$12=0,0,T48/T$12)</f>
        <v>0</v>
      </c>
      <c r="W48" s="5"/>
      <c r="X48" s="5">
        <f>+P48-T48</f>
        <v>0</v>
      </c>
      <c r="Y48" s="5"/>
      <c r="Z48" s="13">
        <f>IF(T48=0,0,X48/T48)</f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11"/>
      <c r="B50" s="28" t="s">
        <v>291</v>
      </c>
      <c r="C50" s="28"/>
      <c r="D50" s="21">
        <f>+D21-D23+D48</f>
        <v>0</v>
      </c>
      <c r="E50" s="15"/>
      <c r="F50" s="23">
        <f>IF(D$12=0,0,D50/D$12)</f>
        <v>0</v>
      </c>
      <c r="G50" s="15"/>
      <c r="H50" s="21">
        <f>+H21-H23+H48</f>
        <v>-102.28</v>
      </c>
      <c r="I50" s="15"/>
      <c r="J50" s="23">
        <f>IF(H$12=0,0,H50/H$12)</f>
        <v>0</v>
      </c>
      <c r="K50" s="16"/>
      <c r="L50" s="21">
        <f>+D50-H50</f>
        <v>102.28</v>
      </c>
      <c r="M50" s="16"/>
      <c r="N50" s="23">
        <f>IF(H50=0,0,L50/H50)</f>
        <v>-1</v>
      </c>
      <c r="O50" s="27"/>
      <c r="P50" s="21">
        <f>+P21-P23+P48</f>
        <v>0</v>
      </c>
      <c r="Q50" s="15"/>
      <c r="R50" s="23">
        <f>IF(P$12=0,0,P50/P$12)</f>
        <v>0</v>
      </c>
      <c r="S50" s="15"/>
      <c r="T50" s="21">
        <f>+T21-T23+T48</f>
        <v>-46137.37</v>
      </c>
      <c r="U50" s="15"/>
      <c r="V50" s="23">
        <f>IF(T$12=0,0,T50/T$12)</f>
        <v>0</v>
      </c>
      <c r="W50" s="16"/>
      <c r="X50" s="21">
        <f>+P50-T50</f>
        <v>46137.37</v>
      </c>
      <c r="Y50" s="16"/>
      <c r="Z50" s="23">
        <f>IF(T50=0,0,X50/T50)</f>
        <v>-1</v>
      </c>
    </row>
    <row r="51" spans="1:26" ht="15" customHeight="1" x14ac:dyDescent="0.3">
      <c r="A51" s="10"/>
      <c r="B51" s="11"/>
      <c r="C51" s="10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48"/>
      <c r="B52" s="11" t="s">
        <v>292</v>
      </c>
      <c r="C52" s="11"/>
      <c r="D52" s="5"/>
      <c r="E52" s="5"/>
      <c r="F52" s="13">
        <f>IF(D$12=0,0,D52/D$12)</f>
        <v>0</v>
      </c>
      <c r="G52" s="5"/>
      <c r="H52" s="5"/>
      <c r="I52" s="5"/>
      <c r="J52" s="13">
        <f>IF(H$12=0,0,H52/H$12)</f>
        <v>0</v>
      </c>
      <c r="K52" s="5"/>
      <c r="L52" s="5">
        <f>+D52-H52</f>
        <v>0</v>
      </c>
      <c r="M52" s="5"/>
      <c r="N52" s="13">
        <f>IF(H52=0,0,L52/H52)</f>
        <v>0</v>
      </c>
      <c r="O52" s="11"/>
      <c r="P52" s="5"/>
      <c r="Q52" s="5"/>
      <c r="R52" s="13">
        <f>IF(P$12=0,0,P52/P$12)</f>
        <v>0</v>
      </c>
      <c r="S52" s="5"/>
      <c r="T52" s="5"/>
      <c r="U52" s="5"/>
      <c r="V52" s="13">
        <f>IF(T$12=0,0,T52/T$12)</f>
        <v>0</v>
      </c>
      <c r="W52" s="5"/>
      <c r="X52" s="5">
        <f>+P52-T52</f>
        <v>0</v>
      </c>
      <c r="Y52" s="5"/>
      <c r="Z52" s="13">
        <f>IF(T52=0,0,X52/T52)</f>
        <v>0</v>
      </c>
    </row>
    <row r="53" spans="1:26" ht="15" customHeight="1" x14ac:dyDescent="0.3">
      <c r="A53" s="10"/>
      <c r="B53" s="11"/>
      <c r="C53" s="11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O53" s="11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8" t="s">
        <v>293</v>
      </c>
      <c r="C54" s="28"/>
      <c r="D54" s="34">
        <f>+D50-D52</f>
        <v>0</v>
      </c>
      <c r="E54" s="15"/>
      <c r="F54" s="30">
        <f>IF(D$12=0,0,D54/D$12)</f>
        <v>0</v>
      </c>
      <c r="G54" s="15"/>
      <c r="H54" s="34">
        <f>+H50-H52</f>
        <v>-102.28</v>
      </c>
      <c r="I54" s="15"/>
      <c r="J54" s="30">
        <f>IF(H$12=0,0,H54/H$12)</f>
        <v>0</v>
      </c>
      <c r="K54" s="16"/>
      <c r="L54" s="34">
        <f>D54-H54</f>
        <v>102.28</v>
      </c>
      <c r="M54" s="16"/>
      <c r="N54" s="30">
        <f>IF(H54=0,0,L54/H54)</f>
        <v>-1</v>
      </c>
      <c r="O54" s="27"/>
      <c r="P54" s="34">
        <f>+P50-P52</f>
        <v>0</v>
      </c>
      <c r="Q54" s="15"/>
      <c r="R54" s="30">
        <f>IF(P$12=0,0,P54/P$12)</f>
        <v>0</v>
      </c>
      <c r="S54" s="15"/>
      <c r="T54" s="34">
        <f>+T50-T52</f>
        <v>-46137.37</v>
      </c>
      <c r="U54" s="15"/>
      <c r="V54" s="30">
        <f>IF(T$12=0,0,T54/T$12)</f>
        <v>0</v>
      </c>
      <c r="W54" s="16"/>
      <c r="X54" s="34">
        <f>P54-T54</f>
        <v>46137.37</v>
      </c>
      <c r="Y54" s="16"/>
      <c r="Z54" s="30">
        <f>IF(T54=0,0,X54/T54)</f>
        <v>-1</v>
      </c>
    </row>
    <row r="55" spans="1:26" ht="15" customHeight="1" x14ac:dyDescent="0.3">
      <c r="A55" s="10"/>
      <c r="B55" s="10"/>
      <c r="C55" s="10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ht="15" customHeight="1" x14ac:dyDescent="0.3">
      <c r="A56" s="10"/>
      <c r="B56" s="10"/>
      <c r="C56" s="10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2" customFormat="1" ht="15" customHeight="1" x14ac:dyDescent="0.3">
      <c r="A57" s="11"/>
      <c r="B57" s="28" t="s">
        <v>296</v>
      </c>
      <c r="C57" s="28"/>
      <c r="D57" s="29">
        <f>SUM(D54:D56)</f>
        <v>0</v>
      </c>
      <c r="E57" s="15"/>
      <c r="F57" s="35">
        <f>IF(D$12=0,0,D57/D$12)</f>
        <v>0</v>
      </c>
      <c r="G57" s="15"/>
      <c r="H57" s="29">
        <f>SUM(H54:H56)</f>
        <v>-102.28</v>
      </c>
      <c r="I57" s="15"/>
      <c r="J57" s="35">
        <f>IF(H$12=0,0,H57/H$12)</f>
        <v>0</v>
      </c>
      <c r="K57" s="16"/>
      <c r="L57" s="29">
        <f>+D57-H57</f>
        <v>102.28</v>
      </c>
      <c r="M57" s="16"/>
      <c r="N57" s="35">
        <f>IF(H57=0,0,L57/H57)</f>
        <v>-1</v>
      </c>
      <c r="O57" s="27"/>
      <c r="P57" s="29">
        <f>SUM(P54:P56)</f>
        <v>0</v>
      </c>
      <c r="Q57" s="15"/>
      <c r="R57" s="35">
        <f>IF(P$12=0,0,P57/P$12)</f>
        <v>0</v>
      </c>
      <c r="S57" s="15"/>
      <c r="T57" s="29">
        <f>SUM(T54:T56)</f>
        <v>-46137.37</v>
      </c>
      <c r="U57" s="15"/>
      <c r="V57" s="35">
        <f>IF(T$12=0,0,T57/T$12)</f>
        <v>0</v>
      </c>
      <c r="W57" s="16"/>
      <c r="X57" s="29">
        <f>+P57-T57</f>
        <v>46137.37</v>
      </c>
      <c r="Y57" s="16"/>
      <c r="Z57" s="35">
        <f>IF(T57=0,0,X57/T57)</f>
        <v>-1</v>
      </c>
    </row>
    <row r="58" spans="1:26" ht="15" customHeight="1" x14ac:dyDescent="0.3">
      <c r="A58" s="10"/>
      <c r="C58" s="10"/>
      <c r="D58" s="18"/>
      <c r="E58" s="18"/>
      <c r="G58" s="18"/>
      <c r="H58" s="18"/>
      <c r="I58" s="18"/>
      <c r="J58" s="40"/>
      <c r="K58" s="18"/>
      <c r="L58" s="18"/>
      <c r="M58" s="18"/>
      <c r="P58" s="18"/>
      <c r="Q58" s="18"/>
      <c r="R58" s="40"/>
      <c r="S58" s="18"/>
      <c r="T58" s="18"/>
      <c r="U58" s="18"/>
      <c r="V58" s="40"/>
      <c r="W58" s="18"/>
      <c r="X58" s="18"/>
    </row>
    <row r="59" spans="1:26" ht="15" customHeight="1" x14ac:dyDescent="0.3">
      <c r="A59" s="10"/>
      <c r="B59" s="56">
        <v>44694.890829479169</v>
      </c>
      <c r="D59" s="18"/>
      <c r="E59" s="18"/>
      <c r="G59" s="18"/>
      <c r="H59" s="18"/>
      <c r="I59" s="18"/>
      <c r="J59" s="40"/>
      <c r="K59" s="18"/>
      <c r="L59" s="18"/>
      <c r="M59" s="18"/>
      <c r="P59" s="18"/>
      <c r="Q59" s="18"/>
      <c r="R59" s="40"/>
      <c r="S59" s="18"/>
      <c r="T59" s="18"/>
      <c r="U59" s="18"/>
      <c r="V59" s="40"/>
      <c r="W59" s="18"/>
      <c r="X59" s="18"/>
    </row>
    <row r="60" spans="1:26" ht="15" customHeight="1" x14ac:dyDescent="0.3">
      <c r="A60" s="10"/>
      <c r="B60" s="52" t="s">
        <v>297</v>
      </c>
      <c r="D60" s="18"/>
      <c r="E60" s="18"/>
      <c r="G60" s="18"/>
      <c r="H60" s="18"/>
      <c r="I60" s="18"/>
      <c r="J60" s="40"/>
      <c r="K60" s="18"/>
      <c r="L60" s="18"/>
      <c r="M60" s="18"/>
      <c r="P60" s="18"/>
      <c r="Q60" s="18"/>
      <c r="R60" s="40"/>
      <c r="S60" s="18"/>
      <c r="T60" s="18"/>
      <c r="U60" s="18"/>
      <c r="V60" s="40"/>
      <c r="W60" s="18"/>
      <c r="X60" s="18"/>
    </row>
    <row r="61" spans="1:26" ht="15" customHeight="1" x14ac:dyDescent="0.3">
      <c r="A61" s="10"/>
      <c r="B61" s="58"/>
      <c r="D61" s="18"/>
      <c r="E61" s="18"/>
      <c r="G61" s="18"/>
      <c r="H61" s="18"/>
      <c r="I61" s="18"/>
      <c r="J61" s="40"/>
      <c r="K61" s="18"/>
      <c r="L61" s="18"/>
      <c r="M61" s="18"/>
      <c r="P61" s="18"/>
      <c r="Q61" s="18"/>
      <c r="R61" s="40"/>
      <c r="S61" s="18"/>
      <c r="T61" s="18"/>
      <c r="U61" s="18"/>
      <c r="V61" s="40"/>
      <c r="W61" s="18"/>
      <c r="X61" s="18"/>
    </row>
    <row r="62" spans="1:26" ht="15" customHeight="1" x14ac:dyDescent="0.3">
      <c r="D62" s="18"/>
      <c r="E62" s="18"/>
      <c r="G62" s="18"/>
      <c r="H62" s="18"/>
      <c r="I62" s="18"/>
      <c r="J62" s="40"/>
      <c r="K62" s="18"/>
      <c r="L62" s="18"/>
      <c r="M62" s="18"/>
      <c r="P62" s="18"/>
      <c r="Q62" s="18"/>
      <c r="R62" s="40"/>
      <c r="S62" s="18"/>
      <c r="T62" s="18"/>
      <c r="U62" s="18"/>
      <c r="V62" s="40"/>
      <c r="W62" s="18"/>
      <c r="X6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236E4-B8A7-511B-A002-DA19B7322D7F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","321"," - ","Corner Market")</f>
        <v>Department 321 - Corner Market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37647.72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37647.72</v>
      </c>
      <c r="M12" s="5"/>
      <c r="N12" s="13">
        <f>IF(H12=0,0,L12/H12)</f>
        <v>0</v>
      </c>
      <c r="O12" s="11"/>
      <c r="P12" s="5">
        <f>SUM(OSRRefP13x_0)</f>
        <v>100040.74</v>
      </c>
      <c r="Q12" s="5"/>
      <c r="R12" s="13"/>
      <c r="S12" s="5"/>
      <c r="T12" s="5">
        <f>SUM(OSRRefT13x_0)</f>
        <v>2476.4700000000003</v>
      </c>
      <c r="U12" s="5"/>
      <c r="V12" s="13"/>
      <c r="W12" s="5"/>
      <c r="X12" s="5">
        <f>+P12-T12</f>
        <v>97564.27</v>
      </c>
      <c r="Y12" s="5"/>
      <c r="Z12" s="13">
        <f>IF(T12=0,0,X12/T12)</f>
        <v>39.396507932662217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--5619.42</f>
        <v>5619.42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5619.42</v>
      </c>
      <c r="M13" s="3"/>
      <c r="N13" s="20">
        <f>IF(H13=0,0,L13/H13)</f>
        <v>0</v>
      </c>
      <c r="O13" s="12"/>
      <c r="P13" s="3">
        <f>--15804.5</f>
        <v>15804.5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15804.5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>+P14-T14</f>
        <v>-444.59</v>
      </c>
      <c r="Y14" s="3"/>
      <c r="Z14" s="20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--32028.3</f>
        <v>32028.3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32028.3</v>
      </c>
      <c r="M15" s="3"/>
      <c r="N15" s="20">
        <f>IF(H15=0,0,L15/H15)</f>
        <v>0</v>
      </c>
      <c r="O15" s="12"/>
      <c r="P15" s="3">
        <f>--84236.24</f>
        <v>84236.24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84236.24</v>
      </c>
      <c r="Y15" s="3"/>
      <c r="Z15" s="20">
        <f>IF(T15=0,0,X15/T15)</f>
        <v>0</v>
      </c>
    </row>
    <row r="16" spans="1:26" s="69" customFormat="1" ht="15" hidden="1" customHeight="1" outlineLevel="1" x14ac:dyDescent="0.3">
      <c r="A16" s="42"/>
      <c r="B16" s="12" t="str">
        <f>CONCATENATE("          ","4132"," - ","NON-TAXABLE SALES-JUICE")</f>
        <v xml:space="preserve">          4132 - NON-TAXABLE SALES-JUICE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0</f>
        <v>0</v>
      </c>
      <c r="Q16" s="3"/>
      <c r="R16" s="20"/>
      <c r="S16" s="3"/>
      <c r="T16" s="3">
        <f>--2031.88</f>
        <v>2031.88</v>
      </c>
      <c r="U16" s="3"/>
      <c r="V16" s="20"/>
      <c r="W16" s="3"/>
      <c r="X16" s="3">
        <f>+P16-T16</f>
        <v>-2031.88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collapsed="1" x14ac:dyDescent="0.3">
      <c r="A18" s="11"/>
      <c r="B18" s="27" t="s">
        <v>287</v>
      </c>
      <c r="C18" s="11"/>
      <c r="D18" s="5">
        <f>SUM(OSRRefD16x_0)</f>
        <v>18447.939999999999</v>
      </c>
      <c r="E18" s="5"/>
      <c r="F18" s="13">
        <f>IF(D$12=0,0,D18/D$12)</f>
        <v>0.49001480036506856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18447.939999999999</v>
      </c>
      <c r="M18" s="5"/>
      <c r="N18" s="13">
        <f>IF(H18=0,0,L18/H18)</f>
        <v>0</v>
      </c>
      <c r="O18" s="11"/>
      <c r="P18" s="5">
        <f>SUM(OSRRefP16x_0)</f>
        <v>57549.710000000006</v>
      </c>
      <c r="Q18" s="5"/>
      <c r="R18" s="13">
        <f>IF(P$12=0,0,P18/P$12)</f>
        <v>0.57526273796055494</v>
      </c>
      <c r="S18" s="5"/>
      <c r="T18" s="5">
        <f>SUM(OSRRefT16x_0)</f>
        <v>19579.73</v>
      </c>
      <c r="U18" s="5"/>
      <c r="V18" s="13">
        <f>IF(T$12=0,0,T18/T$12)</f>
        <v>7.9063061535169004</v>
      </c>
      <c r="W18" s="5"/>
      <c r="X18" s="5">
        <f>+P18-T18</f>
        <v>37969.98000000001</v>
      </c>
      <c r="Y18" s="5"/>
      <c r="Z18" s="13">
        <f>IF(T18=0,0,X18/T18)</f>
        <v>1.9392494176375268</v>
      </c>
    </row>
    <row r="19" spans="1:26" s="69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-2496</v>
      </c>
      <c r="E19" s="3"/>
      <c r="F19" s="20">
        <f>IF(D$12=0,0,D19/D$12)</f>
        <v>-6.6298835626699304E-2</v>
      </c>
      <c r="G19" s="3"/>
      <c r="H19" s="3"/>
      <c r="I19" s="3"/>
      <c r="J19" s="20">
        <f>IF(H$12=0,0,H19/H$12)</f>
        <v>0</v>
      </c>
      <c r="K19" s="3"/>
      <c r="L19" s="3">
        <f>+D19-H19</f>
        <v>-2496</v>
      </c>
      <c r="M19" s="3"/>
      <c r="N19" s="20">
        <f>IF(H19=0,0,L19/H19)</f>
        <v>0</v>
      </c>
      <c r="O19" s="12"/>
      <c r="P19" s="3">
        <v>-8062</v>
      </c>
      <c r="Q19" s="3"/>
      <c r="R19" s="20">
        <f>IF(P$12=0,0,P19/P$12)</f>
        <v>-8.0587168787435992E-2</v>
      </c>
      <c r="S19" s="3"/>
      <c r="T19" s="3"/>
      <c r="U19" s="3"/>
      <c r="V19" s="20">
        <f>IF(T$12=0,0,T19/T$12)</f>
        <v>0</v>
      </c>
      <c r="W19" s="3"/>
      <c r="X19" s="3">
        <f>+P19-T19</f>
        <v>-8062</v>
      </c>
      <c r="Y19" s="3"/>
      <c r="Z19" s="20">
        <f>IF(T19=0,0,X19/T19)</f>
        <v>0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0.73</v>
      </c>
      <c r="U20" s="3"/>
      <c r="V20" s="20">
        <f>IF(T$12=0,0,T20/T$12)</f>
        <v>2.9477441681102534E-4</v>
      </c>
      <c r="W20" s="3"/>
      <c r="X20" s="3">
        <f>+P20-T20</f>
        <v>-0.73</v>
      </c>
      <c r="Y20" s="3"/>
      <c r="Z20" s="20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20943.939999999999</v>
      </c>
      <c r="E21" s="3"/>
      <c r="F21" s="20">
        <f>IF(D$12=0,0,D21/D$12)</f>
        <v>0.55631363599176786</v>
      </c>
      <c r="G21" s="3"/>
      <c r="H21" s="3"/>
      <c r="I21" s="3"/>
      <c r="J21" s="20">
        <f>IF(H$12=0,0,H21/H$12)</f>
        <v>0</v>
      </c>
      <c r="K21" s="3"/>
      <c r="L21" s="3">
        <f>+D21-H21</f>
        <v>20943.939999999999</v>
      </c>
      <c r="M21" s="3"/>
      <c r="N21" s="20">
        <f>IF(H21=0,0,L21/H21)</f>
        <v>0</v>
      </c>
      <c r="O21" s="12"/>
      <c r="P21" s="3">
        <v>65611.710000000006</v>
      </c>
      <c r="Q21" s="3"/>
      <c r="R21" s="20">
        <f>IF(P$12=0,0,P21/P$12)</f>
        <v>0.65584990674799093</v>
      </c>
      <c r="S21" s="3"/>
      <c r="T21" s="3">
        <v>19579</v>
      </c>
      <c r="U21" s="3"/>
      <c r="V21" s="20">
        <f>IF(T$12=0,0,T21/T$12)</f>
        <v>7.9060113791000894</v>
      </c>
      <c r="W21" s="3"/>
      <c r="X21" s="3">
        <f>+P21-T21</f>
        <v>46032.710000000006</v>
      </c>
      <c r="Y21" s="3"/>
      <c r="Z21" s="20">
        <f>IF(T21=0,0,X21/T21)</f>
        <v>2.3511267174012977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1">
        <f>D12-D18</f>
        <v>19199.780000000002</v>
      </c>
      <c r="E23" s="15"/>
      <c r="F23" s="23">
        <f>IF(D$12=0,0,D23/D$12)</f>
        <v>0.5099851996349315</v>
      </c>
      <c r="G23" s="15"/>
      <c r="H23" s="21">
        <f>H12-H18</f>
        <v>0</v>
      </c>
      <c r="I23" s="15"/>
      <c r="J23" s="23">
        <f>IF(H$12=0,0,H23/H$12)</f>
        <v>0</v>
      </c>
      <c r="K23" s="16"/>
      <c r="L23" s="21">
        <f>+D23-H23</f>
        <v>19199.780000000002</v>
      </c>
      <c r="M23" s="16"/>
      <c r="N23" s="23">
        <f>IF(H23=0,0,L23/H23)</f>
        <v>0</v>
      </c>
      <c r="O23" s="27"/>
      <c r="P23" s="21">
        <f>P12-P18</f>
        <v>42491.03</v>
      </c>
      <c r="Q23" s="15"/>
      <c r="R23" s="23">
        <f>IF(P$12=0,0,P23/P$12)</f>
        <v>0.42473726203944512</v>
      </c>
      <c r="S23" s="15"/>
      <c r="T23" s="21">
        <f>T12-T18</f>
        <v>-17103.259999999998</v>
      </c>
      <c r="U23" s="15"/>
      <c r="V23" s="23">
        <f>IF(T$12=0,0,T23/T$12)</f>
        <v>-6.9063061535168995</v>
      </c>
      <c r="W23" s="16"/>
      <c r="X23" s="21">
        <f>+P23-T23</f>
        <v>59594.289999999994</v>
      </c>
      <c r="Y23" s="16"/>
      <c r="Z23" s="23">
        <f>IF(T23=0,0,X23/T23)</f>
        <v>-3.4843819248494148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2" cm="1">
        <f t="array" ref="D25">SUM(OSRRefD22x_0)</f>
        <v>19694.060000000001</v>
      </c>
      <c r="E25" s="22"/>
      <c r="F25" s="32">
        <f t="shared" ref="F25:F56" si="0">IF(D$12=0,0,D25/D$12)</f>
        <v>0.52311428155543016</v>
      </c>
      <c r="G25" s="22"/>
      <c r="H25" s="22" cm="1">
        <f t="array" ref="H25">SUM(OSRRefH22x_0)</f>
        <v>1401.82</v>
      </c>
      <c r="I25" s="22"/>
      <c r="J25" s="32">
        <f t="shared" ref="J25:J56" si="1">IF(H$12=0,0,H25/H$12)</f>
        <v>0</v>
      </c>
      <c r="K25" s="5"/>
      <c r="L25" s="22">
        <f t="shared" ref="L25:L56" si="2">+D25-H25</f>
        <v>18292.240000000002</v>
      </c>
      <c r="M25" s="5"/>
      <c r="N25" s="32">
        <f t="shared" ref="N25:N56" si="3">IF(H25=0,0,L25/H25)</f>
        <v>13.04892211553552</v>
      </c>
      <c r="O25" s="11"/>
      <c r="P25" s="22" cm="1">
        <f t="array" ref="P25">SUM(OSRRefP22x_0)</f>
        <v>70063.509999999995</v>
      </c>
      <c r="Q25" s="22"/>
      <c r="R25" s="32">
        <f t="shared" ref="R25:R56" si="4">IF(P$12=0,0,P25/P$12)</f>
        <v>0.7003497775006462</v>
      </c>
      <c r="S25" s="22"/>
      <c r="T25" s="22" cm="1">
        <f t="array" ref="T25">SUM(OSRRefT22x_0)</f>
        <v>41057.679999999986</v>
      </c>
      <c r="U25" s="22"/>
      <c r="V25" s="32">
        <f t="shared" ref="V25:V56" si="5">IF(T$12=0,0,T25/T$12)</f>
        <v>16.579114626868076</v>
      </c>
      <c r="W25" s="5"/>
      <c r="X25" s="22">
        <f t="shared" ref="X25:X56" si="6">+P25-T25</f>
        <v>29005.830000000009</v>
      </c>
      <c r="Y25" s="5"/>
      <c r="Z25" s="32">
        <f t="shared" ref="Z25:Z56" si="7">IF(T25=0,0,X25/T25)</f>
        <v>0.7064653921020384</v>
      </c>
    </row>
    <row r="26" spans="1:26" s="68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3110.8800000000006</v>
      </c>
      <c r="E26" s="2"/>
      <c r="F26" s="6">
        <f t="shared" si="0"/>
        <v>8.2631298787815055E-2</v>
      </c>
      <c r="G26" s="2"/>
      <c r="H26" s="2">
        <f>SUM(OSRRefH22_0x_0)</f>
        <v>0</v>
      </c>
      <c r="I26" s="2"/>
      <c r="J26" s="6">
        <f t="shared" si="1"/>
        <v>0</v>
      </c>
      <c r="K26" s="2"/>
      <c r="L26" s="2">
        <f t="shared" si="2"/>
        <v>3110.8800000000006</v>
      </c>
      <c r="M26" s="2"/>
      <c r="N26" s="6">
        <f t="shared" si="3"/>
        <v>0</v>
      </c>
      <c r="O26" s="14"/>
      <c r="P26" s="2">
        <f>SUM(OSRRefP22_0x_0)</f>
        <v>12365.859999999999</v>
      </c>
      <c r="Q26" s="2"/>
      <c r="R26" s="6">
        <f t="shared" si="4"/>
        <v>0.12360824200220828</v>
      </c>
      <c r="S26" s="2"/>
      <c r="T26" s="2">
        <f>SUM(OSRRefT22_0x_0)</f>
        <v>8751.99</v>
      </c>
      <c r="U26" s="2"/>
      <c r="V26" s="6">
        <f t="shared" si="5"/>
        <v>3.5340585591588023</v>
      </c>
      <c r="W26" s="2"/>
      <c r="X26" s="2">
        <f t="shared" si="6"/>
        <v>3613.869999999999</v>
      </c>
      <c r="Y26" s="2"/>
      <c r="Z26" s="6">
        <f t="shared" si="7"/>
        <v>0.41291980452445659</v>
      </c>
    </row>
    <row r="27" spans="1:26" s="69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716.14</v>
      </c>
      <c r="E27" s="3"/>
      <c r="F27" s="7">
        <f t="shared" si="0"/>
        <v>1.9022134673759791E-2</v>
      </c>
      <c r="G27" s="3"/>
      <c r="H27" s="8"/>
      <c r="I27" s="3"/>
      <c r="J27" s="7">
        <f t="shared" si="1"/>
        <v>0</v>
      </c>
      <c r="K27" s="3"/>
      <c r="L27" s="8">
        <f t="shared" si="2"/>
        <v>716.14</v>
      </c>
      <c r="M27" s="3"/>
      <c r="N27" s="7">
        <f t="shared" si="3"/>
        <v>0</v>
      </c>
      <c r="O27" s="12"/>
      <c r="P27" s="8">
        <v>2373.75</v>
      </c>
      <c r="Q27" s="3"/>
      <c r="R27" s="7">
        <f t="shared" si="4"/>
        <v>2.3727833280721432E-2</v>
      </c>
      <c r="S27" s="3"/>
      <c r="T27" s="8">
        <v>1667.09</v>
      </c>
      <c r="U27" s="3"/>
      <c r="V27" s="7">
        <f t="shared" si="5"/>
        <v>0.67317189386505782</v>
      </c>
      <c r="W27" s="3"/>
      <c r="X27" s="8">
        <f t="shared" si="6"/>
        <v>706.66000000000008</v>
      </c>
      <c r="Y27" s="3"/>
      <c r="Z27" s="7">
        <f t="shared" si="7"/>
        <v>0.4238883323635797</v>
      </c>
    </row>
    <row r="28" spans="1:26" s="69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119.92</v>
      </c>
      <c r="E28" s="3"/>
      <c r="F28" s="7">
        <f t="shared" si="0"/>
        <v>3.1853190578340468E-3</v>
      </c>
      <c r="G28" s="3"/>
      <c r="H28" s="8"/>
      <c r="I28" s="3"/>
      <c r="J28" s="7">
        <f t="shared" si="1"/>
        <v>0</v>
      </c>
      <c r="K28" s="3"/>
      <c r="L28" s="8">
        <f t="shared" si="2"/>
        <v>119.92</v>
      </c>
      <c r="M28" s="3"/>
      <c r="N28" s="7">
        <f t="shared" si="3"/>
        <v>0</v>
      </c>
      <c r="O28" s="12"/>
      <c r="P28" s="8">
        <v>494.23</v>
      </c>
      <c r="Q28" s="3"/>
      <c r="R28" s="7">
        <f t="shared" si="4"/>
        <v>4.9402873269430037E-3</v>
      </c>
      <c r="S28" s="3"/>
      <c r="T28" s="8">
        <v>331.61</v>
      </c>
      <c r="U28" s="3"/>
      <c r="V28" s="7">
        <f t="shared" si="5"/>
        <v>0.13390430734069056</v>
      </c>
      <c r="W28" s="3"/>
      <c r="X28" s="8">
        <f t="shared" si="6"/>
        <v>162.62</v>
      </c>
      <c r="Y28" s="3"/>
      <c r="Z28" s="7">
        <f t="shared" si="7"/>
        <v>0.4903953439281083</v>
      </c>
    </row>
    <row r="29" spans="1:26" s="69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1284.4100000000001</v>
      </c>
      <c r="E29" s="3"/>
      <c r="F29" s="7">
        <f t="shared" si="0"/>
        <v>3.411654145324073E-2</v>
      </c>
      <c r="G29" s="3"/>
      <c r="H29" s="8"/>
      <c r="I29" s="3"/>
      <c r="J29" s="7">
        <f t="shared" si="1"/>
        <v>0</v>
      </c>
      <c r="K29" s="3"/>
      <c r="L29" s="8">
        <f t="shared" si="2"/>
        <v>1284.4100000000001</v>
      </c>
      <c r="M29" s="3"/>
      <c r="N29" s="7">
        <f t="shared" si="3"/>
        <v>0</v>
      </c>
      <c r="O29" s="12"/>
      <c r="P29" s="8">
        <v>5171.4799999999996</v>
      </c>
      <c r="Q29" s="3"/>
      <c r="R29" s="7">
        <f t="shared" si="4"/>
        <v>5.1693739970336078E-2</v>
      </c>
      <c r="S29" s="3"/>
      <c r="T29" s="8">
        <v>3385.22</v>
      </c>
      <c r="U29" s="3"/>
      <c r="V29" s="7">
        <f t="shared" si="5"/>
        <v>1.366953768872629</v>
      </c>
      <c r="W29" s="3"/>
      <c r="X29" s="8">
        <f t="shared" si="6"/>
        <v>1786.2599999999998</v>
      </c>
      <c r="Y29" s="3"/>
      <c r="Z29" s="7">
        <f t="shared" si="7"/>
        <v>0.52766437631823038</v>
      </c>
    </row>
    <row r="30" spans="1:26" s="69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21.07</v>
      </c>
      <c r="E30" s="3"/>
      <c r="F30" s="7">
        <f t="shared" si="0"/>
        <v>5.5966204593531821E-4</v>
      </c>
      <c r="G30" s="3"/>
      <c r="H30" s="8"/>
      <c r="I30" s="3"/>
      <c r="J30" s="7">
        <f t="shared" si="1"/>
        <v>0</v>
      </c>
      <c r="K30" s="3"/>
      <c r="L30" s="8">
        <f t="shared" si="2"/>
        <v>21.07</v>
      </c>
      <c r="M30" s="3"/>
      <c r="N30" s="7">
        <f t="shared" si="3"/>
        <v>0</v>
      </c>
      <c r="O30" s="12"/>
      <c r="P30" s="8">
        <v>85.09</v>
      </c>
      <c r="Q30" s="3"/>
      <c r="R30" s="7">
        <f t="shared" si="4"/>
        <v>8.505534845104104E-4</v>
      </c>
      <c r="S30" s="3"/>
      <c r="T30" s="8">
        <v>62.01</v>
      </c>
      <c r="U30" s="3"/>
      <c r="V30" s="7">
        <f t="shared" si="5"/>
        <v>2.5039673406098192E-2</v>
      </c>
      <c r="W30" s="3"/>
      <c r="X30" s="8">
        <f t="shared" si="6"/>
        <v>23.080000000000005</v>
      </c>
      <c r="Y30" s="3"/>
      <c r="Z30" s="7">
        <f t="shared" si="7"/>
        <v>0.37219803257539119</v>
      </c>
    </row>
    <row r="31" spans="1:26" s="69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1254.1099999999999</v>
      </c>
      <c r="U31" s="3"/>
      <c r="V31" s="7">
        <f t="shared" si="5"/>
        <v>0.50641033406421232</v>
      </c>
      <c r="W31" s="3"/>
      <c r="X31" s="8">
        <f t="shared" si="6"/>
        <v>-1254.1099999999999</v>
      </c>
      <c r="Y31" s="3"/>
      <c r="Z31" s="7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","6117"," - ","RETIREMENT STAFF HOURLY")</f>
        <v xml:space="preserve">          6117 - RETIREMENT STAFF HOURLY</v>
      </c>
      <c r="C32" s="12"/>
      <c r="D32" s="8">
        <v>211.63</v>
      </c>
      <c r="E32" s="3"/>
      <c r="F32" s="7">
        <f t="shared" si="0"/>
        <v>5.6213231505121688E-3</v>
      </c>
      <c r="G32" s="3"/>
      <c r="H32" s="8"/>
      <c r="I32" s="3"/>
      <c r="J32" s="7">
        <f t="shared" si="1"/>
        <v>0</v>
      </c>
      <c r="K32" s="3"/>
      <c r="L32" s="8">
        <f t="shared" si="2"/>
        <v>211.63</v>
      </c>
      <c r="M32" s="3"/>
      <c r="N32" s="7">
        <f t="shared" si="3"/>
        <v>0</v>
      </c>
      <c r="O32" s="12"/>
      <c r="P32" s="8">
        <v>968.66</v>
      </c>
      <c r="Q32" s="3"/>
      <c r="R32" s="7">
        <f t="shared" si="4"/>
        <v>9.6826552862363871E-3</v>
      </c>
      <c r="S32" s="3"/>
      <c r="T32" s="8"/>
      <c r="U32" s="3"/>
      <c r="V32" s="7">
        <f t="shared" si="5"/>
        <v>0</v>
      </c>
      <c r="W32" s="3"/>
      <c r="X32" s="8">
        <f t="shared" si="6"/>
        <v>968.66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244.86</v>
      </c>
      <c r="E33" s="3"/>
      <c r="F33" s="7">
        <f t="shared" si="0"/>
        <v>6.5039795238596119E-3</v>
      </c>
      <c r="G33" s="3"/>
      <c r="H33" s="8"/>
      <c r="I33" s="3"/>
      <c r="J33" s="7">
        <f t="shared" si="1"/>
        <v>0</v>
      </c>
      <c r="K33" s="3"/>
      <c r="L33" s="8">
        <f t="shared" si="2"/>
        <v>244.86</v>
      </c>
      <c r="M33" s="3"/>
      <c r="N33" s="7">
        <f t="shared" si="3"/>
        <v>0</v>
      </c>
      <c r="O33" s="12"/>
      <c r="P33" s="8">
        <v>979.44</v>
      </c>
      <c r="Q33" s="3"/>
      <c r="R33" s="7">
        <f t="shared" si="4"/>
        <v>9.7904113864011807E-3</v>
      </c>
      <c r="S33" s="3"/>
      <c r="T33" s="8">
        <v>958.88</v>
      </c>
      <c r="U33" s="3"/>
      <c r="V33" s="7">
        <f t="shared" si="5"/>
        <v>0.38719629149555612</v>
      </c>
      <c r="W33" s="3"/>
      <c r="X33" s="8">
        <f t="shared" si="6"/>
        <v>20.560000000000059</v>
      </c>
      <c r="Y33" s="3"/>
      <c r="Z33" s="7">
        <f t="shared" si="7"/>
        <v>2.1441681962289398E-2</v>
      </c>
    </row>
    <row r="34" spans="1:26" s="69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293.37</v>
      </c>
      <c r="E34" s="3"/>
      <c r="F34" s="7">
        <f t="shared" si="0"/>
        <v>7.7925037691525543E-3</v>
      </c>
      <c r="G34" s="3"/>
      <c r="H34" s="8"/>
      <c r="I34" s="3"/>
      <c r="J34" s="7">
        <f t="shared" si="1"/>
        <v>0</v>
      </c>
      <c r="K34" s="3"/>
      <c r="L34" s="8">
        <f t="shared" si="2"/>
        <v>293.37</v>
      </c>
      <c r="M34" s="3"/>
      <c r="N34" s="7">
        <f t="shared" si="3"/>
        <v>0</v>
      </c>
      <c r="O34" s="12"/>
      <c r="P34" s="8">
        <v>1173.48</v>
      </c>
      <c r="Q34" s="3"/>
      <c r="R34" s="7">
        <f t="shared" si="4"/>
        <v>1.1730021189367451E-2</v>
      </c>
      <c r="S34" s="3"/>
      <c r="T34" s="8">
        <v>767.52</v>
      </c>
      <c r="U34" s="3"/>
      <c r="V34" s="7">
        <f t="shared" si="5"/>
        <v>0.30992501423397006</v>
      </c>
      <c r="W34" s="3"/>
      <c r="X34" s="8">
        <f t="shared" si="6"/>
        <v>405.96000000000004</v>
      </c>
      <c r="Y34" s="3"/>
      <c r="Z34" s="7">
        <f t="shared" si="7"/>
        <v>0.52892432770481557</v>
      </c>
    </row>
    <row r="35" spans="1:26" s="69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219.48</v>
      </c>
      <c r="E35" s="3"/>
      <c r="F35" s="7">
        <f t="shared" si="0"/>
        <v>5.829835113520818E-3</v>
      </c>
      <c r="G35" s="3"/>
      <c r="H35" s="8"/>
      <c r="I35" s="3"/>
      <c r="J35" s="7">
        <f t="shared" si="1"/>
        <v>0</v>
      </c>
      <c r="K35" s="3"/>
      <c r="L35" s="8">
        <f t="shared" si="2"/>
        <v>219.48</v>
      </c>
      <c r="M35" s="3"/>
      <c r="N35" s="7">
        <f t="shared" si="3"/>
        <v>0</v>
      </c>
      <c r="O35" s="12"/>
      <c r="P35" s="8">
        <v>1119.73</v>
      </c>
      <c r="Q35" s="3"/>
      <c r="R35" s="7">
        <f t="shared" si="4"/>
        <v>1.1192740077692347E-2</v>
      </c>
      <c r="S35" s="3"/>
      <c r="T35" s="8">
        <v>325.55</v>
      </c>
      <c r="U35" s="3"/>
      <c r="V35" s="7">
        <f t="shared" si="5"/>
        <v>0.13145727588058809</v>
      </c>
      <c r="W35" s="3"/>
      <c r="X35" s="8">
        <f t="shared" si="6"/>
        <v>794.18000000000006</v>
      </c>
      <c r="Y35" s="3"/>
      <c r="Z35" s="7">
        <f t="shared" si="7"/>
        <v>2.4395023805866995</v>
      </c>
    </row>
    <row r="36" spans="1:26" s="68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10161.66</v>
      </c>
      <c r="E36" s="2"/>
      <c r="F36" s="6">
        <f t="shared" si="0"/>
        <v>0.26991435337916875</v>
      </c>
      <c r="G36" s="2"/>
      <c r="H36" s="2">
        <f>SUM(OSRRefH22_1x_0)</f>
        <v>0</v>
      </c>
      <c r="I36" s="2"/>
      <c r="J36" s="6">
        <f t="shared" si="1"/>
        <v>0</v>
      </c>
      <c r="K36" s="2"/>
      <c r="L36" s="2">
        <f t="shared" si="2"/>
        <v>10161.66</v>
      </c>
      <c r="M36" s="2"/>
      <c r="N36" s="6">
        <f t="shared" si="3"/>
        <v>0</v>
      </c>
      <c r="O36" s="14"/>
      <c r="P36" s="2">
        <f>SUM(OSRRefP22_1x_0)</f>
        <v>37822.79</v>
      </c>
      <c r="Q36" s="2"/>
      <c r="R36" s="6">
        <f t="shared" si="4"/>
        <v>0.37807387270426029</v>
      </c>
      <c r="S36" s="2"/>
      <c r="T36" s="2">
        <f>SUM(OSRRefT22_1x_0)</f>
        <v>15859.96</v>
      </c>
      <c r="U36" s="2"/>
      <c r="V36" s="6">
        <f t="shared" si="5"/>
        <v>6.404260903624917</v>
      </c>
      <c r="W36" s="2"/>
      <c r="X36" s="2">
        <f t="shared" si="6"/>
        <v>21962.83</v>
      </c>
      <c r="Y36" s="2"/>
      <c r="Z36" s="6">
        <f t="shared" si="7"/>
        <v>1.384797313486289</v>
      </c>
    </row>
    <row r="37" spans="1:26" s="69" customFormat="1" ht="15" hidden="1" customHeight="1" outlineLevel="2" x14ac:dyDescent="0.3">
      <c r="A37" s="26"/>
      <c r="B37" s="12" t="str">
        <f>CONCATENATE("          ","6002"," - ","STAFF SALARIES")</f>
        <v xml:space="preserve">          6002 - STAFF SALARIES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13728</v>
      </c>
      <c r="U37" s="3"/>
      <c r="V37" s="7">
        <f t="shared" si="5"/>
        <v>5.5433742383311726</v>
      </c>
      <c r="W37" s="3"/>
      <c r="X37" s="8">
        <f t="shared" si="6"/>
        <v>-13728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8">
        <v>6240.77</v>
      </c>
      <c r="E38" s="3"/>
      <c r="F38" s="7">
        <f t="shared" si="0"/>
        <v>0.16576754183254658</v>
      </c>
      <c r="G38" s="3"/>
      <c r="H38" s="8"/>
      <c r="I38" s="3"/>
      <c r="J38" s="7">
        <f t="shared" si="1"/>
        <v>0</v>
      </c>
      <c r="K38" s="3"/>
      <c r="L38" s="8">
        <f t="shared" si="2"/>
        <v>6240.77</v>
      </c>
      <c r="M38" s="3"/>
      <c r="N38" s="7">
        <f t="shared" si="3"/>
        <v>0</v>
      </c>
      <c r="O38" s="12"/>
      <c r="P38" s="8">
        <v>24632.99</v>
      </c>
      <c r="Q38" s="3"/>
      <c r="R38" s="7">
        <f t="shared" si="4"/>
        <v>0.24622958606663645</v>
      </c>
      <c r="S38" s="3"/>
      <c r="T38" s="8"/>
      <c r="U38" s="3"/>
      <c r="V38" s="7">
        <f t="shared" si="5"/>
        <v>0</v>
      </c>
      <c r="W38" s="3"/>
      <c r="X38" s="8">
        <f t="shared" si="6"/>
        <v>24632.99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8"/>
      <c r="E39" s="3"/>
      <c r="F39" s="7">
        <f t="shared" si="0"/>
        <v>0</v>
      </c>
      <c r="G39" s="3"/>
      <c r="H39" s="8"/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>
        <v>638.94000000000005</v>
      </c>
      <c r="Q39" s="3"/>
      <c r="R39" s="7">
        <f t="shared" si="4"/>
        <v>6.3867980184872681E-3</v>
      </c>
      <c r="S39" s="3"/>
      <c r="T39" s="8">
        <v>2131.96</v>
      </c>
      <c r="U39" s="3"/>
      <c r="V39" s="7">
        <f t="shared" si="5"/>
        <v>0.86088666529374469</v>
      </c>
      <c r="W39" s="3"/>
      <c r="X39" s="8">
        <f t="shared" si="6"/>
        <v>-1493.02</v>
      </c>
      <c r="Y39" s="3"/>
      <c r="Z39" s="7">
        <f t="shared" si="7"/>
        <v>-0.70030394566502185</v>
      </c>
    </row>
    <row r="40" spans="1:26" s="69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8">
        <v>2858.76</v>
      </c>
      <c r="E40" s="3"/>
      <c r="F40" s="7">
        <f t="shared" si="0"/>
        <v>7.5934478900714308E-2</v>
      </c>
      <c r="G40" s="3"/>
      <c r="H40" s="8"/>
      <c r="I40" s="3"/>
      <c r="J40" s="7">
        <f t="shared" si="1"/>
        <v>0</v>
      </c>
      <c r="K40" s="3"/>
      <c r="L40" s="8">
        <f t="shared" si="2"/>
        <v>2858.76</v>
      </c>
      <c r="M40" s="3"/>
      <c r="N40" s="7">
        <f t="shared" si="3"/>
        <v>0</v>
      </c>
      <c r="O40" s="12"/>
      <c r="P40" s="8">
        <v>5202</v>
      </c>
      <c r="Q40" s="3"/>
      <c r="R40" s="7">
        <f t="shared" si="4"/>
        <v>5.1998815682490949E-2</v>
      </c>
      <c r="S40" s="3"/>
      <c r="T40" s="8"/>
      <c r="U40" s="3"/>
      <c r="V40" s="7">
        <f t="shared" si="5"/>
        <v>0</v>
      </c>
      <c r="W40" s="3"/>
      <c r="X40" s="8">
        <f t="shared" si="6"/>
        <v>5202</v>
      </c>
      <c r="Y40" s="3"/>
      <c r="Z40" s="7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8">
        <v>288.88</v>
      </c>
      <c r="E41" s="3"/>
      <c r="F41" s="7">
        <f t="shared" si="0"/>
        <v>7.6732402387183068E-3</v>
      </c>
      <c r="G41" s="3"/>
      <c r="H41" s="8"/>
      <c r="I41" s="3"/>
      <c r="J41" s="7">
        <f t="shared" si="1"/>
        <v>0</v>
      </c>
      <c r="K41" s="3"/>
      <c r="L41" s="8">
        <f t="shared" si="2"/>
        <v>288.88</v>
      </c>
      <c r="M41" s="3"/>
      <c r="N41" s="7">
        <f t="shared" si="3"/>
        <v>0</v>
      </c>
      <c r="O41" s="12"/>
      <c r="P41" s="8">
        <v>5623.26</v>
      </c>
      <c r="Q41" s="3"/>
      <c r="R41" s="7">
        <f t="shared" si="4"/>
        <v>5.6209700168151494E-2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5623.26</v>
      </c>
      <c r="Y41" s="3"/>
      <c r="Z41" s="7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8">
        <v>773.25</v>
      </c>
      <c r="E42" s="3"/>
      <c r="F42" s="7">
        <f t="shared" si="0"/>
        <v>2.0539092407189596E-2</v>
      </c>
      <c r="G42" s="3"/>
      <c r="H42" s="8"/>
      <c r="I42" s="3"/>
      <c r="J42" s="7">
        <f t="shared" si="1"/>
        <v>0</v>
      </c>
      <c r="K42" s="3"/>
      <c r="L42" s="8">
        <f t="shared" si="2"/>
        <v>773.25</v>
      </c>
      <c r="M42" s="3"/>
      <c r="N42" s="7">
        <f t="shared" si="3"/>
        <v>0</v>
      </c>
      <c r="O42" s="12"/>
      <c r="P42" s="8">
        <v>1725.6</v>
      </c>
      <c r="Q42" s="3"/>
      <c r="R42" s="7">
        <f t="shared" si="4"/>
        <v>1.7248972768494113E-2</v>
      </c>
      <c r="S42" s="3"/>
      <c r="T42" s="8"/>
      <c r="U42" s="3"/>
      <c r="V42" s="7">
        <f t="shared" si="5"/>
        <v>0</v>
      </c>
      <c r="W42" s="3"/>
      <c r="X42" s="8">
        <f t="shared" si="6"/>
        <v>1725.6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","Advertising/Promo                                 ")</f>
        <v xml:space="preserve">     Advertising/Promo                                 </v>
      </c>
      <c r="C43" s="14"/>
      <c r="D43" s="2">
        <f>SUM(OSRRefD22_2x_0)</f>
        <v>0</v>
      </c>
      <c r="E43" s="2"/>
      <c r="F43" s="6">
        <f t="shared" si="0"/>
        <v>0</v>
      </c>
      <c r="G43" s="2"/>
      <c r="H43" s="2">
        <f>SUM(OSRRefH22_2x_0)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SUM(OSRRefP22_2x_0)</f>
        <v>487.64</v>
      </c>
      <c r="Q43" s="2"/>
      <c r="R43" s="6">
        <f t="shared" si="4"/>
        <v>4.8744141636697207E-3</v>
      </c>
      <c r="S43" s="2"/>
      <c r="T43" s="2">
        <f>SUM(OSRRefT22_2x_0)</f>
        <v>0</v>
      </c>
      <c r="U43" s="2"/>
      <c r="V43" s="6">
        <f t="shared" si="5"/>
        <v>0</v>
      </c>
      <c r="W43" s="2"/>
      <c r="X43" s="2">
        <f t="shared" si="6"/>
        <v>487.64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","6362"," - ","ADVERTISING EXPENSE")</f>
        <v xml:space="preserve">          6362 - ADVERTISING EXPENSE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487.64</v>
      </c>
      <c r="Q44" s="3"/>
      <c r="R44" s="7">
        <f t="shared" si="4"/>
        <v>4.8744141636697207E-3</v>
      </c>
      <c r="S44" s="3"/>
      <c r="T44" s="8"/>
      <c r="U44" s="3"/>
      <c r="V44" s="7">
        <f t="shared" si="5"/>
        <v>0</v>
      </c>
      <c r="W44" s="3"/>
      <c r="X44" s="8">
        <f t="shared" si="6"/>
        <v>487.64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5"/>
      <c r="B45" s="14" t="str">
        <f>CONCATENATE("     ","Bad Debts/Over/Short                              ")</f>
        <v xml:space="preserve">     Bad Debts/Over/Short                              </v>
      </c>
      <c r="C45" s="14"/>
      <c r="D45" s="2">
        <f>SUM(OSRRefD22_3x_0)</f>
        <v>0.27</v>
      </c>
      <c r="E45" s="2"/>
      <c r="F45" s="6">
        <f t="shared" si="0"/>
        <v>7.1717490461573767E-6</v>
      </c>
      <c r="G45" s="2"/>
      <c r="H45" s="2">
        <f>SUM(OSRRefH22_3x_0)</f>
        <v>0</v>
      </c>
      <c r="I45" s="2"/>
      <c r="J45" s="6">
        <f t="shared" si="1"/>
        <v>0</v>
      </c>
      <c r="K45" s="2"/>
      <c r="L45" s="2">
        <f t="shared" si="2"/>
        <v>0.27</v>
      </c>
      <c r="M45" s="2"/>
      <c r="N45" s="6">
        <f t="shared" si="3"/>
        <v>0</v>
      </c>
      <c r="O45" s="14"/>
      <c r="P45" s="2">
        <f>SUM(OSRRefP22_3x_0)</f>
        <v>-6.38</v>
      </c>
      <c r="Q45" s="2"/>
      <c r="R45" s="6">
        <f t="shared" si="4"/>
        <v>-6.3774018464877403E-5</v>
      </c>
      <c r="S45" s="2"/>
      <c r="T45" s="2">
        <f>SUM(OSRRefT22_3x_0)</f>
        <v>3.31</v>
      </c>
      <c r="U45" s="2"/>
      <c r="V45" s="6">
        <f t="shared" si="5"/>
        <v>1.3365798899239642E-3</v>
      </c>
      <c r="W45" s="2"/>
      <c r="X45" s="2">
        <f t="shared" si="6"/>
        <v>-9.69</v>
      </c>
      <c r="Y45" s="2"/>
      <c r="Z45" s="6">
        <f t="shared" si="7"/>
        <v>-2.9274924471299091</v>
      </c>
    </row>
    <row r="46" spans="1:26" s="69" customFormat="1" ht="15" hidden="1" customHeight="1" outlineLevel="2" x14ac:dyDescent="0.3">
      <c r="A46" s="26"/>
      <c r="B46" s="12" t="str">
        <f>CONCATENATE("          ","6272"," - ","CASH (OVER/SHORT)")</f>
        <v xml:space="preserve">          6272 - CASH (OVER/SHORT)</v>
      </c>
      <c r="C46" s="12"/>
      <c r="D46" s="8">
        <v>0.27</v>
      </c>
      <c r="E46" s="3"/>
      <c r="F46" s="7">
        <f t="shared" si="0"/>
        <v>7.1717490461573767E-6</v>
      </c>
      <c r="G46" s="3"/>
      <c r="H46" s="8"/>
      <c r="I46" s="3"/>
      <c r="J46" s="7">
        <f t="shared" si="1"/>
        <v>0</v>
      </c>
      <c r="K46" s="3"/>
      <c r="L46" s="8">
        <f t="shared" si="2"/>
        <v>0.27</v>
      </c>
      <c r="M46" s="3"/>
      <c r="N46" s="7">
        <f t="shared" si="3"/>
        <v>0</v>
      </c>
      <c r="O46" s="12"/>
      <c r="P46" s="8">
        <v>-6.38</v>
      </c>
      <c r="Q46" s="3"/>
      <c r="R46" s="7">
        <f t="shared" si="4"/>
        <v>-6.3774018464877403E-5</v>
      </c>
      <c r="S46" s="3"/>
      <c r="T46" s="8">
        <v>3.31</v>
      </c>
      <c r="U46" s="3"/>
      <c r="V46" s="7">
        <f t="shared" si="5"/>
        <v>1.3365798899239642E-3</v>
      </c>
      <c r="W46" s="3"/>
      <c r="X46" s="8">
        <f t="shared" si="6"/>
        <v>-9.69</v>
      </c>
      <c r="Y46" s="3"/>
      <c r="Z46" s="7">
        <f t="shared" si="7"/>
        <v>-2.9274924471299091</v>
      </c>
    </row>
    <row r="47" spans="1:26" s="68" customFormat="1" ht="15" customHeight="1" outlineLevel="1" collapsed="1" x14ac:dyDescent="0.3">
      <c r="A47" s="25"/>
      <c r="B47" s="14" t="str">
        <f>CONCATENATE("     ","Bank/card Fees                                    ")</f>
        <v xml:space="preserve">     Bank/card Fees                                    </v>
      </c>
      <c r="C47" s="14"/>
      <c r="D47" s="2">
        <f>SUM(OSRRefD22_4x_0)</f>
        <v>1444.34</v>
      </c>
      <c r="E47" s="2"/>
      <c r="F47" s="6">
        <f t="shared" si="0"/>
        <v>3.8364607471581276E-2</v>
      </c>
      <c r="G47" s="2"/>
      <c r="H47" s="2">
        <f>SUM(OSRRefH22_4x_0)</f>
        <v>224.95</v>
      </c>
      <c r="I47" s="2"/>
      <c r="J47" s="6">
        <f t="shared" si="1"/>
        <v>0</v>
      </c>
      <c r="K47" s="2"/>
      <c r="L47" s="2">
        <f t="shared" si="2"/>
        <v>1219.3899999999999</v>
      </c>
      <c r="M47" s="2"/>
      <c r="N47" s="6">
        <f t="shared" si="3"/>
        <v>5.4207157146032445</v>
      </c>
      <c r="O47" s="14"/>
      <c r="P47" s="2">
        <f>SUM(OSRRefP22_4x_0)</f>
        <v>4352.2700000000004</v>
      </c>
      <c r="Q47" s="2"/>
      <c r="R47" s="6">
        <f t="shared" si="4"/>
        <v>4.3504976072747961E-2</v>
      </c>
      <c r="S47" s="2"/>
      <c r="T47" s="2">
        <f>SUM(OSRRefT22_4x_0)</f>
        <v>1573.13</v>
      </c>
      <c r="U47" s="2"/>
      <c r="V47" s="6">
        <f t="shared" si="5"/>
        <v>0.63523079221634016</v>
      </c>
      <c r="W47" s="2"/>
      <c r="X47" s="2">
        <f t="shared" si="6"/>
        <v>2779.1400000000003</v>
      </c>
      <c r="Y47" s="2"/>
      <c r="Z47" s="6">
        <f t="shared" si="7"/>
        <v>1.7666308569539708</v>
      </c>
    </row>
    <row r="48" spans="1:26" s="69" customFormat="1" ht="15" hidden="1" customHeight="1" outlineLevel="2" x14ac:dyDescent="0.3">
      <c r="A48" s="26"/>
      <c r="B48" s="12" t="str">
        <f>CONCATENATE("          ","6381"," - ","BANK/CREDIT CARD FEES")</f>
        <v xml:space="preserve">          6381 - BANK/CREDIT CARD FEES</v>
      </c>
      <c r="C48" s="12"/>
      <c r="D48" s="8">
        <v>1444.34</v>
      </c>
      <c r="E48" s="3"/>
      <c r="F48" s="7">
        <f t="shared" si="0"/>
        <v>3.8364607471581276E-2</v>
      </c>
      <c r="G48" s="3"/>
      <c r="H48" s="8">
        <v>224.95</v>
      </c>
      <c r="I48" s="3"/>
      <c r="J48" s="7">
        <f t="shared" si="1"/>
        <v>0</v>
      </c>
      <c r="K48" s="3"/>
      <c r="L48" s="8">
        <f t="shared" si="2"/>
        <v>1219.3899999999999</v>
      </c>
      <c r="M48" s="3"/>
      <c r="N48" s="7">
        <f t="shared" si="3"/>
        <v>5.4207157146032445</v>
      </c>
      <c r="O48" s="12"/>
      <c r="P48" s="8">
        <v>4352.2700000000004</v>
      </c>
      <c r="Q48" s="3"/>
      <c r="R48" s="7">
        <f t="shared" si="4"/>
        <v>4.3504976072747961E-2</v>
      </c>
      <c r="S48" s="3"/>
      <c r="T48" s="8">
        <v>1573.13</v>
      </c>
      <c r="U48" s="3"/>
      <c r="V48" s="7">
        <f t="shared" si="5"/>
        <v>0.63523079221634016</v>
      </c>
      <c r="W48" s="3"/>
      <c r="X48" s="8">
        <f t="shared" si="6"/>
        <v>2779.1400000000003</v>
      </c>
      <c r="Y48" s="3"/>
      <c r="Z48" s="7">
        <f t="shared" si="7"/>
        <v>1.7666308569539708</v>
      </c>
    </row>
    <row r="49" spans="1:26" s="68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SUM(OSRRefD22_5x_0)</f>
        <v>264.60000000000002</v>
      </c>
      <c r="E49" s="2"/>
      <c r="F49" s="6">
        <f t="shared" si="0"/>
        <v>7.0283140652342294E-3</v>
      </c>
      <c r="G49" s="2"/>
      <c r="H49" s="2">
        <f>SUM(OSRRefH22_5x_0)</f>
        <v>1075.3699999999999</v>
      </c>
      <c r="I49" s="2"/>
      <c r="J49" s="6">
        <f t="shared" si="1"/>
        <v>0</v>
      </c>
      <c r="K49" s="2"/>
      <c r="L49" s="2">
        <f t="shared" si="2"/>
        <v>-810.76999999999987</v>
      </c>
      <c r="M49" s="2"/>
      <c r="N49" s="6">
        <f t="shared" si="3"/>
        <v>-0.753945153761031</v>
      </c>
      <c r="O49" s="14"/>
      <c r="P49" s="2">
        <f>SUM(OSRRefP22_5x_0)</f>
        <v>5078.3599999999997</v>
      </c>
      <c r="Q49" s="2"/>
      <c r="R49" s="6">
        <f t="shared" si="4"/>
        <v>5.0762919186723321E-2</v>
      </c>
      <c r="S49" s="2"/>
      <c r="T49" s="2">
        <f>SUM(OSRRefT22_5x_0)</f>
        <v>10753.7</v>
      </c>
      <c r="U49" s="2"/>
      <c r="V49" s="6">
        <f t="shared" si="5"/>
        <v>4.3423502000831826</v>
      </c>
      <c r="W49" s="2"/>
      <c r="X49" s="2">
        <f t="shared" si="6"/>
        <v>-5675.3400000000011</v>
      </c>
      <c r="Y49" s="2"/>
      <c r="Z49" s="6">
        <f t="shared" si="7"/>
        <v>-0.5277569580702457</v>
      </c>
    </row>
    <row r="50" spans="1:26" s="69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264.60000000000002</v>
      </c>
      <c r="E50" s="3"/>
      <c r="F50" s="7">
        <f t="shared" si="0"/>
        <v>7.0283140652342294E-3</v>
      </c>
      <c r="G50" s="3"/>
      <c r="H50" s="8">
        <v>1075.3699999999999</v>
      </c>
      <c r="I50" s="3"/>
      <c r="J50" s="7">
        <f t="shared" si="1"/>
        <v>0</v>
      </c>
      <c r="K50" s="3"/>
      <c r="L50" s="8">
        <f t="shared" si="2"/>
        <v>-810.76999999999987</v>
      </c>
      <c r="M50" s="3"/>
      <c r="N50" s="7">
        <f t="shared" si="3"/>
        <v>-0.753945153761031</v>
      </c>
      <c r="O50" s="12"/>
      <c r="P50" s="8">
        <v>5078.3599999999997</v>
      </c>
      <c r="Q50" s="3"/>
      <c r="R50" s="7">
        <f t="shared" si="4"/>
        <v>5.0762919186723321E-2</v>
      </c>
      <c r="S50" s="3"/>
      <c r="T50" s="8">
        <v>10753.7</v>
      </c>
      <c r="U50" s="3"/>
      <c r="V50" s="7">
        <f t="shared" si="5"/>
        <v>4.3423502000831826</v>
      </c>
      <c r="W50" s="3"/>
      <c r="X50" s="8">
        <f t="shared" si="6"/>
        <v>-5675.3400000000011</v>
      </c>
      <c r="Y50" s="3"/>
      <c r="Z50" s="7">
        <f t="shared" si="7"/>
        <v>-0.5277569580702457</v>
      </c>
    </row>
    <row r="51" spans="1:26" s="68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si="0"/>
        <v>0</v>
      </c>
      <c r="G51" s="2"/>
      <c r="H51" s="2">
        <f>SUM(OSRRefH22_6x_0)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SUM(OSRRefP22_6x_0)</f>
        <v>1153.93</v>
      </c>
      <c r="Q51" s="2"/>
      <c r="R51" s="6">
        <f t="shared" si="4"/>
        <v>1.15346008036326E-2</v>
      </c>
      <c r="S51" s="2"/>
      <c r="T51" s="2">
        <f>SUM(OSRRefT22_6x_0)</f>
        <v>1785.31</v>
      </c>
      <c r="U51" s="2"/>
      <c r="V51" s="6">
        <f t="shared" si="5"/>
        <v>0.72090919736560499</v>
      </c>
      <c r="W51" s="2"/>
      <c r="X51" s="2">
        <f t="shared" si="6"/>
        <v>-631.37999999999988</v>
      </c>
      <c r="Y51" s="2"/>
      <c r="Z51" s="6">
        <f t="shared" si="7"/>
        <v>-0.35365286700909082</v>
      </c>
    </row>
    <row r="52" spans="1:26" s="69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1153.93</v>
      </c>
      <c r="Q52" s="3"/>
      <c r="R52" s="7">
        <f t="shared" si="4"/>
        <v>1.15346008036326E-2</v>
      </c>
      <c r="S52" s="3"/>
      <c r="T52" s="8">
        <v>1785.31</v>
      </c>
      <c r="U52" s="3"/>
      <c r="V52" s="7">
        <f t="shared" si="5"/>
        <v>0.72090919736560499</v>
      </c>
      <c r="W52" s="3"/>
      <c r="X52" s="8">
        <f t="shared" si="6"/>
        <v>-631.37999999999988</v>
      </c>
      <c r="Y52" s="3"/>
      <c r="Z52" s="7">
        <f t="shared" si="7"/>
        <v>-0.35365286700909082</v>
      </c>
    </row>
    <row r="53" spans="1:26" s="68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SUM(OSRRefD22_7x_0)</f>
        <v>7.87</v>
      </c>
      <c r="E53" s="2"/>
      <c r="F53" s="6">
        <f t="shared" si="0"/>
        <v>2.090432036787354E-4</v>
      </c>
      <c r="G53" s="2"/>
      <c r="H53" s="2">
        <f>SUM(OSRRefH22_7x_0)</f>
        <v>0</v>
      </c>
      <c r="I53" s="2"/>
      <c r="J53" s="6">
        <f t="shared" si="1"/>
        <v>0</v>
      </c>
      <c r="K53" s="2"/>
      <c r="L53" s="2">
        <f t="shared" si="2"/>
        <v>7.87</v>
      </c>
      <c r="M53" s="2"/>
      <c r="N53" s="6">
        <f t="shared" si="3"/>
        <v>0</v>
      </c>
      <c r="O53" s="14"/>
      <c r="P53" s="2">
        <f>SUM(OSRRefP22_7x_0)</f>
        <v>1743.29</v>
      </c>
      <c r="Q53" s="2"/>
      <c r="R53" s="6">
        <f t="shared" si="4"/>
        <v>1.7425800728783091E-2</v>
      </c>
      <c r="S53" s="2"/>
      <c r="T53" s="2">
        <f>SUM(OSRRefT22_7x_0)</f>
        <v>540.85</v>
      </c>
      <c r="U53" s="2"/>
      <c r="V53" s="6">
        <f t="shared" si="5"/>
        <v>0.21839553881129187</v>
      </c>
      <c r="W53" s="2"/>
      <c r="X53" s="2">
        <f t="shared" si="6"/>
        <v>1202.44</v>
      </c>
      <c r="Y53" s="2"/>
      <c r="Z53" s="6">
        <f t="shared" si="7"/>
        <v>2.2232411944161967</v>
      </c>
    </row>
    <row r="54" spans="1:26" s="69" customFormat="1" ht="15" hidden="1" customHeight="1" outlineLevel="2" x14ac:dyDescent="0.3">
      <c r="A54" s="26"/>
      <c r="B54" s="12" t="str">
        <f>CONCATENATE("          ","6373"," - ","MAINTENANCE CONTRACTS")</f>
        <v xml:space="preserve">          6373 - MAINTENANCE CONTRACTS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>
        <v>147.76</v>
      </c>
      <c r="Q54" s="3"/>
      <c r="R54" s="7">
        <f t="shared" si="4"/>
        <v>1.4769982709044334E-3</v>
      </c>
      <c r="S54" s="3"/>
      <c r="T54" s="8">
        <v>223.29</v>
      </c>
      <c r="U54" s="3"/>
      <c r="V54" s="7">
        <f t="shared" si="5"/>
        <v>9.0164629492786086E-2</v>
      </c>
      <c r="W54" s="3"/>
      <c r="X54" s="8">
        <f t="shared" si="6"/>
        <v>-75.53</v>
      </c>
      <c r="Y54" s="3"/>
      <c r="Z54" s="7">
        <f t="shared" si="7"/>
        <v>-0.33825966232254023</v>
      </c>
    </row>
    <row r="55" spans="1:26" s="69" customFormat="1" ht="15" hidden="1" customHeight="1" outlineLevel="2" x14ac:dyDescent="0.3">
      <c r="A55" s="26"/>
      <c r="B55" s="12" t="str">
        <f>CONCATENATE("          ","6375"," - ","OUTSIDE REPAIRS &amp; MAINTENANCE")</f>
        <v xml:space="preserve">          6375 - OUTSIDE REPAIRS &amp; MAINTENANCE</v>
      </c>
      <c r="C55" s="12"/>
      <c r="D55" s="8">
        <v>7.87</v>
      </c>
      <c r="E55" s="3"/>
      <c r="F55" s="7">
        <f t="shared" si="0"/>
        <v>2.090432036787354E-4</v>
      </c>
      <c r="G55" s="3"/>
      <c r="H55" s="8"/>
      <c r="I55" s="3"/>
      <c r="J55" s="7">
        <f t="shared" si="1"/>
        <v>0</v>
      </c>
      <c r="K55" s="3"/>
      <c r="L55" s="8">
        <f t="shared" si="2"/>
        <v>7.87</v>
      </c>
      <c r="M55" s="3"/>
      <c r="N55" s="7">
        <f t="shared" si="3"/>
        <v>0</v>
      </c>
      <c r="O55" s="12"/>
      <c r="P55" s="8">
        <v>1595.53</v>
      </c>
      <c r="Q55" s="3"/>
      <c r="R55" s="7">
        <f t="shared" si="4"/>
        <v>1.594880245787866E-2</v>
      </c>
      <c r="S55" s="3"/>
      <c r="T55" s="8">
        <v>317.56</v>
      </c>
      <c r="U55" s="3"/>
      <c r="V55" s="7">
        <f t="shared" si="5"/>
        <v>0.12823090931850575</v>
      </c>
      <c r="W55" s="3"/>
      <c r="X55" s="8">
        <f t="shared" si="6"/>
        <v>1277.97</v>
      </c>
      <c r="Y55" s="3"/>
      <c r="Z55" s="7">
        <f t="shared" si="7"/>
        <v>4.0243418566570099</v>
      </c>
    </row>
    <row r="56" spans="1:26" s="68" customFormat="1" ht="15" customHeight="1" outlineLevel="1" collapsed="1" x14ac:dyDescent="0.3">
      <c r="A56" s="25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2">
        <f>SUM(OSRRefD22_8x_0)</f>
        <v>4367.51</v>
      </c>
      <c r="E56" s="2"/>
      <c r="F56" s="6">
        <f t="shared" si="0"/>
        <v>0.11600994695030668</v>
      </c>
      <c r="G56" s="2"/>
      <c r="H56" s="2">
        <f>SUM(OSRRefH22_8x_0)</f>
        <v>0</v>
      </c>
      <c r="I56" s="2"/>
      <c r="J56" s="6">
        <f t="shared" si="1"/>
        <v>0</v>
      </c>
      <c r="K56" s="2"/>
      <c r="L56" s="2">
        <f t="shared" si="2"/>
        <v>4367.51</v>
      </c>
      <c r="M56" s="2"/>
      <c r="N56" s="6">
        <f t="shared" si="3"/>
        <v>0</v>
      </c>
      <c r="O56" s="14"/>
      <c r="P56" s="2">
        <f>SUM(OSRRefP22_8x_0)</f>
        <v>4367.51</v>
      </c>
      <c r="Q56" s="2"/>
      <c r="R56" s="6">
        <f t="shared" si="4"/>
        <v>4.3657314010272216E-2</v>
      </c>
      <c r="S56" s="2"/>
      <c r="T56" s="2">
        <f>SUM(OSRRefT22_8x_0)</f>
        <v>185.7</v>
      </c>
      <c r="U56" s="2"/>
      <c r="V56" s="6">
        <f t="shared" si="5"/>
        <v>7.4985766029873155E-2</v>
      </c>
      <c r="W56" s="2"/>
      <c r="X56" s="2">
        <f t="shared" si="6"/>
        <v>4181.8100000000004</v>
      </c>
      <c r="Y56" s="2"/>
      <c r="Z56" s="6">
        <f t="shared" si="7"/>
        <v>22.519170705438885</v>
      </c>
    </row>
    <row r="57" spans="1:26" s="69" customFormat="1" ht="15" hidden="1" customHeight="1" outlineLevel="2" x14ac:dyDescent="0.3">
      <c r="A57" s="26"/>
      <c r="B57" s="12" t="str">
        <f>CONCATENATE("          ","6254"," - ","ROYALTY &amp; COMMISSIONS")</f>
        <v xml:space="preserve">          6254 - ROYALTY &amp; COMMISSIONS</v>
      </c>
      <c r="C57" s="12"/>
      <c r="D57" s="8">
        <v>4367.51</v>
      </c>
      <c r="E57" s="3"/>
      <c r="F57" s="7">
        <f t="shared" ref="F57:F73" si="8">IF(D$12=0,0,D57/D$12)</f>
        <v>0.11600994695030668</v>
      </c>
      <c r="G57" s="3"/>
      <c r="H57" s="8"/>
      <c r="I57" s="3"/>
      <c r="J57" s="7">
        <f t="shared" ref="J57:J73" si="9">IF(H$12=0,0,H57/H$12)</f>
        <v>0</v>
      </c>
      <c r="K57" s="3"/>
      <c r="L57" s="8">
        <f t="shared" ref="L57:L73" si="10">+D57-H57</f>
        <v>4367.51</v>
      </c>
      <c r="M57" s="3"/>
      <c r="N57" s="7">
        <f t="shared" ref="N57:N73" si="11">IF(H57=0,0,L57/H57)</f>
        <v>0</v>
      </c>
      <c r="O57" s="12"/>
      <c r="P57" s="8">
        <v>4367.51</v>
      </c>
      <c r="Q57" s="3"/>
      <c r="R57" s="7">
        <f t="shared" ref="R57:R73" si="12">IF(P$12=0,0,P57/P$12)</f>
        <v>4.3657314010272216E-2</v>
      </c>
      <c r="S57" s="3"/>
      <c r="T57" s="8">
        <v>185.7</v>
      </c>
      <c r="U57" s="3"/>
      <c r="V57" s="7">
        <f t="shared" ref="V57:V73" si="13">IF(T$12=0,0,T57/T$12)</f>
        <v>7.4985766029873155E-2</v>
      </c>
      <c r="W57" s="3"/>
      <c r="X57" s="8">
        <f t="shared" ref="X57:X73" si="14">+P57-T57</f>
        <v>4181.8100000000004</v>
      </c>
      <c r="Y57" s="3"/>
      <c r="Z57" s="7">
        <f t="shared" ref="Z57:Z73" si="15">IF(T57=0,0,X57/T57)</f>
        <v>22.519170705438885</v>
      </c>
    </row>
    <row r="58" spans="1:26" s="68" customFormat="1" ht="15" customHeight="1" outlineLevel="1" collapsed="1" x14ac:dyDescent="0.3">
      <c r="A58" s="25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158.76</v>
      </c>
      <c r="E58" s="2"/>
      <c r="F58" s="6">
        <f t="shared" si="8"/>
        <v>4.2169884391405369E-3</v>
      </c>
      <c r="G58" s="2"/>
      <c r="H58" s="2">
        <f>SUM(OSRRefH22_9x_0)</f>
        <v>0</v>
      </c>
      <c r="I58" s="2"/>
      <c r="J58" s="6">
        <f t="shared" si="9"/>
        <v>0</v>
      </c>
      <c r="K58" s="2"/>
      <c r="L58" s="2">
        <f t="shared" si="10"/>
        <v>158.76</v>
      </c>
      <c r="M58" s="2"/>
      <c r="N58" s="6">
        <f t="shared" si="11"/>
        <v>0</v>
      </c>
      <c r="O58" s="14"/>
      <c r="P58" s="2">
        <f>SUM(OSRRefP22_9x_0)</f>
        <v>422.24</v>
      </c>
      <c r="Q58" s="2"/>
      <c r="R58" s="6">
        <f t="shared" si="12"/>
        <v>4.2206804947664319E-3</v>
      </c>
      <c r="S58" s="2"/>
      <c r="T58" s="2">
        <f>SUM(OSRRefT22_9x_0)</f>
        <v>-63.319999999999993</v>
      </c>
      <c r="U58" s="2"/>
      <c r="V58" s="6">
        <f t="shared" si="13"/>
        <v>-2.556865215407414E-2</v>
      </c>
      <c r="W58" s="2"/>
      <c r="X58" s="2">
        <f t="shared" si="14"/>
        <v>485.56</v>
      </c>
      <c r="Y58" s="2"/>
      <c r="Z58" s="6">
        <f t="shared" si="15"/>
        <v>-7.6683512318382823</v>
      </c>
    </row>
    <row r="59" spans="1:26" s="69" customFormat="1" ht="15" hidden="1" customHeight="1" outlineLevel="2" x14ac:dyDescent="0.3">
      <c r="A59" s="26"/>
      <c r="B59" s="12" t="str">
        <f>CONCATENATE("          ","6282"," - ","JANITORIAL/EXTERMINATOR EXPENS")</f>
        <v xml:space="preserve">          6282 - JANITORIAL/EXTERMINATOR EXPENS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/>
      <c r="Q59" s="3"/>
      <c r="R59" s="7">
        <f t="shared" si="12"/>
        <v>0</v>
      </c>
      <c r="S59" s="3"/>
      <c r="T59" s="8">
        <v>82</v>
      </c>
      <c r="U59" s="3"/>
      <c r="V59" s="7">
        <f t="shared" si="13"/>
        <v>3.3111646819868598E-2</v>
      </c>
      <c r="W59" s="3"/>
      <c r="X59" s="8">
        <f t="shared" si="14"/>
        <v>-82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6"/>
      <c r="B60" s="12" t="str">
        <f>CONCATENATE("          ","6285"," - ","JANITORIAL SERVICES")</f>
        <v xml:space="preserve">          6285 - JANITORIAL SERVICES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206.4</v>
      </c>
      <c r="Q60" s="3"/>
      <c r="R60" s="7">
        <f t="shared" si="12"/>
        <v>2.0631594688323976E-3</v>
      </c>
      <c r="S60" s="3"/>
      <c r="T60" s="8">
        <v>-145.32</v>
      </c>
      <c r="U60" s="3"/>
      <c r="V60" s="7">
        <f t="shared" si="13"/>
        <v>-5.8680298973942738E-2</v>
      </c>
      <c r="W60" s="3"/>
      <c r="X60" s="8">
        <f t="shared" si="14"/>
        <v>351.72</v>
      </c>
      <c r="Y60" s="3"/>
      <c r="Z60" s="7">
        <f t="shared" si="15"/>
        <v>-2.420313790255987</v>
      </c>
    </row>
    <row r="61" spans="1:26" s="69" customFormat="1" ht="15" hidden="1" customHeight="1" outlineLevel="2" x14ac:dyDescent="0.3">
      <c r="A61" s="26"/>
      <c r="B61" s="12" t="str">
        <f>CONCATENATE("          ","6286"," - ","LAUNDRY EXPENSE")</f>
        <v xml:space="preserve">          6286 - LAUNDRY EXPENSE</v>
      </c>
      <c r="C61" s="12"/>
      <c r="D61" s="8">
        <v>158.76</v>
      </c>
      <c r="E61" s="3"/>
      <c r="F61" s="7">
        <f t="shared" si="8"/>
        <v>4.2169884391405369E-3</v>
      </c>
      <c r="G61" s="3"/>
      <c r="H61" s="8"/>
      <c r="I61" s="3"/>
      <c r="J61" s="7">
        <f t="shared" si="9"/>
        <v>0</v>
      </c>
      <c r="K61" s="3"/>
      <c r="L61" s="8">
        <f t="shared" si="10"/>
        <v>158.76</v>
      </c>
      <c r="M61" s="3"/>
      <c r="N61" s="7">
        <f t="shared" si="11"/>
        <v>0</v>
      </c>
      <c r="O61" s="12"/>
      <c r="P61" s="8">
        <v>215.84</v>
      </c>
      <c r="Q61" s="3"/>
      <c r="R61" s="7">
        <f t="shared" si="12"/>
        <v>2.1575210259340344E-3</v>
      </c>
      <c r="S61" s="3"/>
      <c r="T61" s="8"/>
      <c r="U61" s="3"/>
      <c r="V61" s="7">
        <f t="shared" si="13"/>
        <v>0</v>
      </c>
      <c r="W61" s="3"/>
      <c r="X61" s="8">
        <f t="shared" si="14"/>
        <v>215.84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5"/>
      <c r="B62" s="14" t="str">
        <f>CONCATENATE("     ","Supplies                                          ")</f>
        <v xml:space="preserve">     Supplies                                          </v>
      </c>
      <c r="C62" s="14"/>
      <c r="D62" s="2">
        <f>SUM(OSRRefD22_10x_0)</f>
        <v>-23.33</v>
      </c>
      <c r="E62" s="2"/>
      <c r="F62" s="6">
        <f t="shared" si="8"/>
        <v>-6.1969224165500582E-4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-23.33</v>
      </c>
      <c r="M62" s="2"/>
      <c r="N62" s="6">
        <f t="shared" si="11"/>
        <v>0</v>
      </c>
      <c r="O62" s="14"/>
      <c r="P62" s="2">
        <f>SUM(OSRRefP22_10x_0)</f>
        <v>1529.5</v>
      </c>
      <c r="Q62" s="2"/>
      <c r="R62" s="6">
        <f t="shared" si="12"/>
        <v>1.5288771354550156E-2</v>
      </c>
      <c r="S62" s="2"/>
      <c r="T62" s="2">
        <f>SUM(OSRRefT22_10x_0)</f>
        <v>328.55</v>
      </c>
      <c r="U62" s="2"/>
      <c r="V62" s="6">
        <f t="shared" si="13"/>
        <v>0.13266867759351011</v>
      </c>
      <c r="W62" s="2"/>
      <c r="X62" s="2">
        <f t="shared" si="14"/>
        <v>1200.95</v>
      </c>
      <c r="Y62" s="2"/>
      <c r="Z62" s="6">
        <f t="shared" si="15"/>
        <v>3.6553036067569624</v>
      </c>
    </row>
    <row r="63" spans="1:26" s="69" customFormat="1" ht="15" hidden="1" customHeight="1" outlineLevel="2" x14ac:dyDescent="0.3">
      <c r="A63" s="26"/>
      <c r="B63" s="12" t="str">
        <f>CONCATENATE("          ","6234"," - ","EXPENDABLE SUPPLIES &amp; EQUIPMEN")</f>
        <v xml:space="preserve">          6234 - EXPENDABLE SUPPLIES &amp; EQUIPMEN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1194.8900000000001</v>
      </c>
      <c r="Q63" s="3"/>
      <c r="R63" s="7">
        <f t="shared" si="12"/>
        <v>1.1944034000548177E-2</v>
      </c>
      <c r="S63" s="3"/>
      <c r="T63" s="8"/>
      <c r="U63" s="3"/>
      <c r="V63" s="7">
        <f t="shared" si="13"/>
        <v>0</v>
      </c>
      <c r="W63" s="3"/>
      <c r="X63" s="8">
        <f t="shared" si="14"/>
        <v>1194.8900000000001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6"/>
      <c r="B64" s="12" t="str">
        <f>CONCATENATE("          ","6235"," - ","COVID-19 EXPENSES")</f>
        <v xml:space="preserve">          6235 - COVID-19 EXPENSES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/>
      <c r="Q64" s="3"/>
      <c r="R64" s="7">
        <f t="shared" si="12"/>
        <v>0</v>
      </c>
      <c r="S64" s="3"/>
      <c r="T64" s="8">
        <v>207.27</v>
      </c>
      <c r="U64" s="3"/>
      <c r="V64" s="7">
        <f t="shared" si="13"/>
        <v>8.3695744345782502E-2</v>
      </c>
      <c r="W64" s="3"/>
      <c r="X64" s="8">
        <f t="shared" si="14"/>
        <v>-207.27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6"/>
      <c r="B65" s="12" t="str">
        <f>CONCATENATE("          ","6237"," - ","JANITORIAL SUPPLIES")</f>
        <v xml:space="preserve">          6237 - JANITORIAL SUPPLIES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-51.66</v>
      </c>
      <c r="Q65" s="3"/>
      <c r="R65" s="7">
        <f t="shared" si="12"/>
        <v>-5.1638962286764366E-4</v>
      </c>
      <c r="S65" s="3"/>
      <c r="T65" s="8"/>
      <c r="U65" s="3"/>
      <c r="V65" s="7">
        <f t="shared" si="13"/>
        <v>0</v>
      </c>
      <c r="W65" s="3"/>
      <c r="X65" s="8">
        <f t="shared" si="14"/>
        <v>-51.66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","6241"," - ","OFFICE EXPENSE")</f>
        <v xml:space="preserve">          6241 - OFFICE EXPENSE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19.940000000000001</v>
      </c>
      <c r="Q66" s="3"/>
      <c r="R66" s="7">
        <f t="shared" si="12"/>
        <v>1.993187975218896E-4</v>
      </c>
      <c r="S66" s="3"/>
      <c r="T66" s="8"/>
      <c r="U66" s="3"/>
      <c r="V66" s="7">
        <f t="shared" si="13"/>
        <v>0</v>
      </c>
      <c r="W66" s="3"/>
      <c r="X66" s="8">
        <f t="shared" si="14"/>
        <v>19.940000000000001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6"/>
      <c r="B67" s="12" t="str">
        <f>CONCATENATE("          ","6247"," - ","STORE SUPPLIES")</f>
        <v xml:space="preserve">          6247 - STORE SUPPLIES</v>
      </c>
      <c r="C67" s="12"/>
      <c r="D67" s="8">
        <v>-23.33</v>
      </c>
      <c r="E67" s="3"/>
      <c r="F67" s="7">
        <f t="shared" si="8"/>
        <v>-6.1969224165500582E-4</v>
      </c>
      <c r="G67" s="3"/>
      <c r="H67" s="8"/>
      <c r="I67" s="3"/>
      <c r="J67" s="7">
        <f t="shared" si="9"/>
        <v>0</v>
      </c>
      <c r="K67" s="3"/>
      <c r="L67" s="8">
        <f t="shared" si="10"/>
        <v>-23.33</v>
      </c>
      <c r="M67" s="3"/>
      <c r="N67" s="7">
        <f t="shared" si="11"/>
        <v>0</v>
      </c>
      <c r="O67" s="12"/>
      <c r="P67" s="8">
        <v>366.33</v>
      </c>
      <c r="Q67" s="3"/>
      <c r="R67" s="7">
        <f t="shared" si="12"/>
        <v>3.6618081793477332E-3</v>
      </c>
      <c r="S67" s="3"/>
      <c r="T67" s="8">
        <v>121.28</v>
      </c>
      <c r="U67" s="3"/>
      <c r="V67" s="7">
        <f t="shared" si="13"/>
        <v>4.8972933247727606E-2</v>
      </c>
      <c r="W67" s="3"/>
      <c r="X67" s="8">
        <f t="shared" si="14"/>
        <v>245.04999999999998</v>
      </c>
      <c r="Y67" s="3"/>
      <c r="Z67" s="7">
        <f t="shared" si="15"/>
        <v>2.0205310026385224</v>
      </c>
    </row>
    <row r="68" spans="1:26" s="68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SUM(OSRRefD22_11x_0)</f>
        <v>201.5</v>
      </c>
      <c r="E68" s="2"/>
      <c r="F68" s="6">
        <f t="shared" si="8"/>
        <v>5.3522497511137457E-3</v>
      </c>
      <c r="G68" s="2"/>
      <c r="H68" s="2">
        <f>SUM(OSRRefH22_11x_0)</f>
        <v>51.5</v>
      </c>
      <c r="I68" s="2"/>
      <c r="J68" s="6">
        <f t="shared" si="9"/>
        <v>0</v>
      </c>
      <c r="K68" s="2"/>
      <c r="L68" s="2">
        <f t="shared" si="10"/>
        <v>150</v>
      </c>
      <c r="M68" s="2"/>
      <c r="N68" s="6">
        <f t="shared" si="11"/>
        <v>2.912621359223301</v>
      </c>
      <c r="O68" s="14"/>
      <c r="P68" s="2">
        <f>SUM(OSRRefP22_11x_0)</f>
        <v>666.5</v>
      </c>
      <c r="Q68" s="2"/>
      <c r="R68" s="6">
        <f t="shared" si="12"/>
        <v>6.662285784771284E-3</v>
      </c>
      <c r="S68" s="2"/>
      <c r="T68" s="2">
        <f>SUM(OSRRefT22_11x_0)</f>
        <v>838.5</v>
      </c>
      <c r="U68" s="2"/>
      <c r="V68" s="6">
        <f t="shared" si="13"/>
        <v>0.33858677876170512</v>
      </c>
      <c r="W68" s="2"/>
      <c r="X68" s="2">
        <f t="shared" si="14"/>
        <v>-172</v>
      </c>
      <c r="Y68" s="2"/>
      <c r="Z68" s="6">
        <f t="shared" si="15"/>
        <v>-0.20512820512820512</v>
      </c>
    </row>
    <row r="69" spans="1:26" s="69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8">
        <v>201.5</v>
      </c>
      <c r="E69" s="3"/>
      <c r="F69" s="7">
        <f t="shared" si="8"/>
        <v>5.3522497511137457E-3</v>
      </c>
      <c r="G69" s="3"/>
      <c r="H69" s="8">
        <v>51.5</v>
      </c>
      <c r="I69" s="3"/>
      <c r="J69" s="7">
        <f t="shared" si="9"/>
        <v>0</v>
      </c>
      <c r="K69" s="3"/>
      <c r="L69" s="8">
        <f t="shared" si="10"/>
        <v>150</v>
      </c>
      <c r="M69" s="3"/>
      <c r="N69" s="7">
        <f t="shared" si="11"/>
        <v>2.912621359223301</v>
      </c>
      <c r="O69" s="12"/>
      <c r="P69" s="8">
        <v>666.5</v>
      </c>
      <c r="Q69" s="3"/>
      <c r="R69" s="7">
        <f t="shared" si="12"/>
        <v>6.662285784771284E-3</v>
      </c>
      <c r="S69" s="3"/>
      <c r="T69" s="8">
        <v>838.5</v>
      </c>
      <c r="U69" s="3"/>
      <c r="V69" s="7">
        <f t="shared" si="13"/>
        <v>0.33858677876170512</v>
      </c>
      <c r="W69" s="3"/>
      <c r="X69" s="8">
        <f t="shared" si="14"/>
        <v>-172</v>
      </c>
      <c r="Y69" s="3"/>
      <c r="Z69" s="7">
        <f t="shared" si="15"/>
        <v>-0.20512820512820512</v>
      </c>
    </row>
    <row r="70" spans="1:26" s="68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SUM(OSRRefD22_12x_0)</f>
        <v>0</v>
      </c>
      <c r="E70" s="2"/>
      <c r="F70" s="6">
        <f t="shared" si="8"/>
        <v>0</v>
      </c>
      <c r="G70" s="2"/>
      <c r="H70" s="2">
        <f>SUM(OSRRefH22_12x_0)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SUM(OSRRefP22_12x_0)</f>
        <v>80</v>
      </c>
      <c r="Q70" s="2"/>
      <c r="R70" s="6">
        <f t="shared" si="12"/>
        <v>7.9967421272573547E-4</v>
      </c>
      <c r="S70" s="2"/>
      <c r="T70" s="2">
        <f>SUM(OSRRefT22_12x_0)</f>
        <v>0</v>
      </c>
      <c r="U70" s="2"/>
      <c r="V70" s="6">
        <f t="shared" si="13"/>
        <v>0</v>
      </c>
      <c r="W70" s="2"/>
      <c r="X70" s="2">
        <f t="shared" si="14"/>
        <v>80</v>
      </c>
      <c r="Y70" s="2"/>
      <c r="Z70" s="6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80</v>
      </c>
      <c r="Q71" s="3"/>
      <c r="R71" s="7">
        <f t="shared" si="12"/>
        <v>7.9967421272573547E-4</v>
      </c>
      <c r="S71" s="3"/>
      <c r="T71" s="8"/>
      <c r="U71" s="3"/>
      <c r="V71" s="7">
        <f t="shared" si="13"/>
        <v>0</v>
      </c>
      <c r="W71" s="3"/>
      <c r="X71" s="8">
        <f t="shared" si="14"/>
        <v>80</v>
      </c>
      <c r="Y71" s="3"/>
      <c r="Z71" s="7">
        <f t="shared" si="15"/>
        <v>0</v>
      </c>
    </row>
    <row r="72" spans="1:26" s="68" customFormat="1" ht="15" customHeight="1" outlineLevel="1" collapsed="1" x14ac:dyDescent="0.3">
      <c r="A72" s="25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SUM(OSRRefD22_13x_0)</f>
        <v>0</v>
      </c>
      <c r="E72" s="2"/>
      <c r="F72" s="6">
        <f t="shared" si="8"/>
        <v>0</v>
      </c>
      <c r="G72" s="2"/>
      <c r="H72" s="2">
        <f>SUM(OSRRefH22_13x_0)</f>
        <v>50</v>
      </c>
      <c r="I72" s="2"/>
      <c r="J72" s="6">
        <f t="shared" si="9"/>
        <v>0</v>
      </c>
      <c r="K72" s="2"/>
      <c r="L72" s="2">
        <f t="shared" si="10"/>
        <v>-50</v>
      </c>
      <c r="M72" s="2"/>
      <c r="N72" s="6">
        <f t="shared" si="11"/>
        <v>-1</v>
      </c>
      <c r="O72" s="14"/>
      <c r="P72" s="2">
        <f>SUM(OSRRefP22_13x_0)</f>
        <v>0</v>
      </c>
      <c r="Q72" s="2"/>
      <c r="R72" s="6">
        <f t="shared" si="12"/>
        <v>0</v>
      </c>
      <c r="S72" s="2"/>
      <c r="T72" s="2">
        <f>SUM(OSRRefT22_13x_0)</f>
        <v>500</v>
      </c>
      <c r="U72" s="2"/>
      <c r="V72" s="6">
        <f t="shared" si="13"/>
        <v>0.20190028548700364</v>
      </c>
      <c r="W72" s="2"/>
      <c r="X72" s="2">
        <f t="shared" si="14"/>
        <v>-500</v>
      </c>
      <c r="Y72" s="2"/>
      <c r="Z72" s="6">
        <f t="shared" si="15"/>
        <v>-1</v>
      </c>
    </row>
    <row r="73" spans="1:26" s="69" customFormat="1" ht="15" hidden="1" customHeight="1" outlineLevel="2" x14ac:dyDescent="0.3">
      <c r="A73" s="26"/>
      <c r="B73" s="12" t="str">
        <f>CONCATENATE("          ","6274"," - ","UTILITIES")</f>
        <v xml:space="preserve">          6274 - UTILITIES</v>
      </c>
      <c r="C73" s="12"/>
      <c r="D73" s="8"/>
      <c r="E73" s="3"/>
      <c r="F73" s="7">
        <f t="shared" si="8"/>
        <v>0</v>
      </c>
      <c r="G73" s="3"/>
      <c r="H73" s="8">
        <v>50</v>
      </c>
      <c r="I73" s="3"/>
      <c r="J73" s="7">
        <f t="shared" si="9"/>
        <v>0</v>
      </c>
      <c r="K73" s="3"/>
      <c r="L73" s="8">
        <f t="shared" si="10"/>
        <v>-50</v>
      </c>
      <c r="M73" s="3"/>
      <c r="N73" s="7">
        <f t="shared" si="11"/>
        <v>-1</v>
      </c>
      <c r="O73" s="12"/>
      <c r="P73" s="8"/>
      <c r="Q73" s="3"/>
      <c r="R73" s="7">
        <f t="shared" si="12"/>
        <v>0</v>
      </c>
      <c r="S73" s="3"/>
      <c r="T73" s="8">
        <v>500</v>
      </c>
      <c r="U73" s="3"/>
      <c r="V73" s="7">
        <f t="shared" si="13"/>
        <v>0.20190028548700364</v>
      </c>
      <c r="W73" s="3"/>
      <c r="X73" s="8">
        <f t="shared" si="14"/>
        <v>-500</v>
      </c>
      <c r="Y73" s="3"/>
      <c r="Z73" s="7">
        <f t="shared" si="15"/>
        <v>-1</v>
      </c>
    </row>
    <row r="74" spans="1:26" s="64" customFormat="1" ht="15" customHeight="1" x14ac:dyDescent="0.3">
      <c r="A74" s="36"/>
      <c r="B74" s="36"/>
      <c r="C74" s="36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2" customFormat="1" ht="15" customHeight="1" x14ac:dyDescent="0.3">
      <c r="A75" s="11"/>
      <c r="B75" s="27" t="s">
        <v>290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11"/>
      <c r="B77" s="28" t="s">
        <v>291</v>
      </c>
      <c r="C77" s="28"/>
      <c r="D77" s="21">
        <f>+D23-D25+D75</f>
        <v>-494.27999999999884</v>
      </c>
      <c r="E77" s="15"/>
      <c r="F77" s="23">
        <f>IF(D$12=0,0,D77/D$12)</f>
        <v>-1.3129081920498741E-2</v>
      </c>
      <c r="G77" s="15"/>
      <c r="H77" s="21">
        <f>+H23-H25+H75</f>
        <v>-1401.82</v>
      </c>
      <c r="I77" s="15"/>
      <c r="J77" s="23">
        <f>IF(H$12=0,0,H77/H$12)</f>
        <v>0</v>
      </c>
      <c r="K77" s="16"/>
      <c r="L77" s="21">
        <f>+D77-H77</f>
        <v>907.5400000000011</v>
      </c>
      <c r="M77" s="16"/>
      <c r="N77" s="23">
        <f>IF(H77=0,0,L77/H77)</f>
        <v>-0.64740123553666029</v>
      </c>
      <c r="O77" s="27"/>
      <c r="P77" s="21">
        <f>+P23-P25+P75</f>
        <v>-27572.479999999996</v>
      </c>
      <c r="Q77" s="15"/>
      <c r="R77" s="23">
        <f>IF(P$12=0,0,P77/P$12)</f>
        <v>-0.27561251546120102</v>
      </c>
      <c r="S77" s="15"/>
      <c r="T77" s="21">
        <f>+T23-T25+T75</f>
        <v>-58160.939999999988</v>
      </c>
      <c r="U77" s="15"/>
      <c r="V77" s="23">
        <f>IF(T$12=0,0,T77/T$12)</f>
        <v>-23.485420780384977</v>
      </c>
      <c r="W77" s="16"/>
      <c r="X77" s="21">
        <f>+P77-T77</f>
        <v>30588.459999999992</v>
      </c>
      <c r="Y77" s="16"/>
      <c r="Z77" s="23">
        <f>IF(T77=0,0,X77/T77)</f>
        <v>-0.5259278821834722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48"/>
      <c r="B79" s="11" t="s">
        <v>292</v>
      </c>
      <c r="C79" s="11"/>
      <c r="D79" s="5">
        <v>3886.55</v>
      </c>
      <c r="E79" s="5"/>
      <c r="F79" s="13">
        <f>IF(D$12=0,0,D79/D$12)</f>
        <v>0.10323467131608502</v>
      </c>
      <c r="G79" s="5"/>
      <c r="H79" s="5">
        <v>7.71</v>
      </c>
      <c r="I79" s="5"/>
      <c r="J79" s="13">
        <f>IF(H$12=0,0,H79/H$12)</f>
        <v>0</v>
      </c>
      <c r="K79" s="5"/>
      <c r="L79" s="5">
        <f>+D79-H79</f>
        <v>3878.84</v>
      </c>
      <c r="M79" s="5"/>
      <c r="N79" s="13">
        <f>IF(H79=0,0,L79/H79)</f>
        <v>503.09208819714661</v>
      </c>
      <c r="O79" s="11"/>
      <c r="P79" s="5">
        <v>11333</v>
      </c>
      <c r="Q79" s="5"/>
      <c r="R79" s="13">
        <f>IF(P$12=0,0,P79/P$12)</f>
        <v>0.11328384816025951</v>
      </c>
      <c r="S79" s="5"/>
      <c r="T79" s="5">
        <v>518.09</v>
      </c>
      <c r="U79" s="5"/>
      <c r="V79" s="13">
        <f>IF(T$12=0,0,T79/T$12)</f>
        <v>0.20920503781592345</v>
      </c>
      <c r="W79" s="5"/>
      <c r="X79" s="5">
        <f>+P79-T79</f>
        <v>10814.91</v>
      </c>
      <c r="Y79" s="5"/>
      <c r="Z79" s="13">
        <f>IF(T79=0,0,X79/T79)</f>
        <v>20.874577776062072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8" t="s">
        <v>293</v>
      </c>
      <c r="C81" s="28"/>
      <c r="D81" s="34">
        <f>+D77-D79</f>
        <v>-4380.829999999999</v>
      </c>
      <c r="E81" s="15"/>
      <c r="F81" s="30">
        <f>IF(D$12=0,0,D81/D$12)</f>
        <v>-0.11636375323658375</v>
      </c>
      <c r="G81" s="15"/>
      <c r="H81" s="34">
        <f>+H77-H79</f>
        <v>-1409.53</v>
      </c>
      <c r="I81" s="15"/>
      <c r="J81" s="30">
        <f>IF(H$12=0,0,H81/H$12)</f>
        <v>0</v>
      </c>
      <c r="K81" s="16"/>
      <c r="L81" s="34">
        <f>D81-H81</f>
        <v>-2971.2999999999993</v>
      </c>
      <c r="M81" s="16"/>
      <c r="N81" s="30">
        <f>IF(H81=0,0,L81/H81)</f>
        <v>2.1080076337502569</v>
      </c>
      <c r="O81" s="27"/>
      <c r="P81" s="34">
        <f>+P77-P79</f>
        <v>-38905.479999999996</v>
      </c>
      <c r="Q81" s="15"/>
      <c r="R81" s="30">
        <f>IF(P$12=0,0,P81/P$12)</f>
        <v>-0.38889636362146057</v>
      </c>
      <c r="S81" s="15"/>
      <c r="T81" s="34">
        <f>+T77-T79</f>
        <v>-58679.029999999984</v>
      </c>
      <c r="U81" s="15"/>
      <c r="V81" s="30">
        <f>IF(T$12=0,0,T81/T$12)</f>
        <v>-23.694625818200898</v>
      </c>
      <c r="W81" s="16"/>
      <c r="X81" s="34">
        <f>P81-T81</f>
        <v>19773.549999999988</v>
      </c>
      <c r="Y81" s="16"/>
      <c r="Z81" s="30">
        <f>IF(T81=0,0,X81/T81)</f>
        <v>-0.33697813341495236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296</v>
      </c>
      <c r="C84" s="28"/>
      <c r="D84" s="29">
        <f>SUM(D81:D83)</f>
        <v>-4380.829999999999</v>
      </c>
      <c r="E84" s="15"/>
      <c r="F84" s="35">
        <f>IF(D$12=0,0,D84/D$12)</f>
        <v>-0.11636375323658375</v>
      </c>
      <c r="G84" s="15"/>
      <c r="H84" s="29">
        <f>SUM(H81:H83)</f>
        <v>-1409.53</v>
      </c>
      <c r="I84" s="15"/>
      <c r="J84" s="35">
        <f>IF(H$12=0,0,H84/H$12)</f>
        <v>0</v>
      </c>
      <c r="K84" s="16"/>
      <c r="L84" s="29">
        <f>+D84-H84</f>
        <v>-2971.2999999999993</v>
      </c>
      <c r="M84" s="16"/>
      <c r="N84" s="35">
        <f>IF(H84=0,0,L84/H84)</f>
        <v>2.1080076337502569</v>
      </c>
      <c r="O84" s="27"/>
      <c r="P84" s="29">
        <f>SUM(P81:P83)</f>
        <v>-38905.479999999996</v>
      </c>
      <c r="Q84" s="15"/>
      <c r="R84" s="35">
        <f>IF(P$12=0,0,P84/P$12)</f>
        <v>-0.38889636362146057</v>
      </c>
      <c r="S84" s="15"/>
      <c r="T84" s="29">
        <f>SUM(T81:T83)</f>
        <v>-58679.029999999984</v>
      </c>
      <c r="U84" s="15"/>
      <c r="V84" s="35">
        <f>IF(T$12=0,0,T84/T$12)</f>
        <v>-23.694625818200898</v>
      </c>
      <c r="W84" s="16"/>
      <c r="X84" s="29">
        <f>+P84-T84</f>
        <v>19773.549999999988</v>
      </c>
      <c r="Y84" s="16"/>
      <c r="Z84" s="35">
        <f>IF(T84=0,0,X84/T84)</f>
        <v>-0.33697813341495236</v>
      </c>
    </row>
    <row r="85" spans="1:26" ht="15" customHeight="1" x14ac:dyDescent="0.3">
      <c r="A85" s="10"/>
      <c r="C85" s="10"/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3">
      <c r="A86" s="10"/>
      <c r="B86" s="56">
        <v>44694.890829479169</v>
      </c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3">
      <c r="A87" s="10"/>
      <c r="B87" s="52" t="s">
        <v>297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3">
      <c r="A88" s="10"/>
      <c r="B88" s="58"/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3"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0E63-5743-DD49-2581-8E29C0E52CF6}">
  <sheetPr>
    <tabColor rgb="FF92D050"/>
    <outlinePr summaryBelow="0" summaryRight="0"/>
  </sheetPr>
  <dimension ref="A2:Z5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","322"," - ","Beach Hut")</f>
        <v>Department 322 - Beach Hut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-1222.33</v>
      </c>
      <c r="U14" s="5"/>
      <c r="V14" s="13">
        <f>IF(T$12=0,0,T14/T$12)</f>
        <v>0</v>
      </c>
      <c r="W14" s="5"/>
      <c r="X14" s="5">
        <f>+P14-T14</f>
        <v>1222.33</v>
      </c>
      <c r="Y14" s="5"/>
      <c r="Z14" s="13">
        <f>IF(T14=0,0,X14/T14)</f>
        <v>-1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/>
      <c r="Q15" s="3"/>
      <c r="R15" s="20">
        <f>IF(P$12=0,0,P15/P$12)</f>
        <v>0</v>
      </c>
      <c r="S15" s="3"/>
      <c r="T15" s="3">
        <v>-1222.33</v>
      </c>
      <c r="U15" s="3"/>
      <c r="V15" s="20">
        <f>IF(T$12=0,0,T15/T$12)</f>
        <v>0</v>
      </c>
      <c r="W15" s="3"/>
      <c r="X15" s="3">
        <f>+P15-T15</f>
        <v>1222.33</v>
      </c>
      <c r="Y15" s="3"/>
      <c r="Z15" s="20">
        <f>IF(T15=0,0,X15/T15)</f>
        <v>-1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1">
        <f>D12-D14</f>
        <v>0</v>
      </c>
      <c r="E17" s="15"/>
      <c r="F17" s="23">
        <f>IF(D$12=0,0,D17/D$12)</f>
        <v>0</v>
      </c>
      <c r="G17" s="15"/>
      <c r="H17" s="21">
        <f>H12-H14</f>
        <v>0</v>
      </c>
      <c r="I17" s="15"/>
      <c r="J17" s="23">
        <f>IF(H$12=0,0,H17/H$12)</f>
        <v>0</v>
      </c>
      <c r="K17" s="16"/>
      <c r="L17" s="21">
        <f>+D17-H17</f>
        <v>0</v>
      </c>
      <c r="M17" s="16"/>
      <c r="N17" s="23">
        <f>IF(H17=0,0,L17/H17)</f>
        <v>0</v>
      </c>
      <c r="O17" s="27"/>
      <c r="P17" s="21">
        <f>P12-P14</f>
        <v>0</v>
      </c>
      <c r="Q17" s="15"/>
      <c r="R17" s="23">
        <f>IF(P$12=0,0,P17/P$12)</f>
        <v>0</v>
      </c>
      <c r="S17" s="15"/>
      <c r="T17" s="21">
        <f>T12-T14</f>
        <v>1222.33</v>
      </c>
      <c r="U17" s="15"/>
      <c r="V17" s="23">
        <f>IF(T$12=0,0,T17/T$12)</f>
        <v>0</v>
      </c>
      <c r="W17" s="16"/>
      <c r="X17" s="21">
        <f>+P17-T17</f>
        <v>-1222.33</v>
      </c>
      <c r="Y17" s="16"/>
      <c r="Z17" s="23">
        <f>IF(T17=0,0,X17/T17)</f>
        <v>-1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2" cm="1">
        <f t="array" ref="D19">SUM(OSRRefD22x_0)</f>
        <v>0</v>
      </c>
      <c r="E19" s="22"/>
      <c r="F19" s="32">
        <f t="shared" ref="F19:F40" si="0">IF(D$12=0,0,D19/D$12)</f>
        <v>0</v>
      </c>
      <c r="G19" s="22"/>
      <c r="H19" s="22" cm="1">
        <f t="array" ref="H19">SUM(OSRRefH22x_0)</f>
        <v>2225.34</v>
      </c>
      <c r="I19" s="22"/>
      <c r="J19" s="32">
        <f t="shared" ref="J19:J40" si="1">IF(H$12=0,0,H19/H$12)</f>
        <v>0</v>
      </c>
      <c r="K19" s="5"/>
      <c r="L19" s="22">
        <f t="shared" ref="L19:L40" si="2">+D19-H19</f>
        <v>-2225.34</v>
      </c>
      <c r="M19" s="5"/>
      <c r="N19" s="32">
        <f t="shared" ref="N19:N40" si="3">IF(H19=0,0,L19/H19)</f>
        <v>-1</v>
      </c>
      <c r="O19" s="11"/>
      <c r="P19" s="22" cm="1">
        <f t="array" ref="P19">SUM(OSRRefP22x_0)</f>
        <v>0</v>
      </c>
      <c r="Q19" s="22"/>
      <c r="R19" s="32">
        <f t="shared" ref="R19:R40" si="4">IF(P$12=0,0,P19/P$12)</f>
        <v>0</v>
      </c>
      <c r="S19" s="22"/>
      <c r="T19" s="22" cm="1">
        <f t="array" ref="T19">SUM(OSRRefT22x_0)</f>
        <v>24263.000000000004</v>
      </c>
      <c r="U19" s="22"/>
      <c r="V19" s="32">
        <f t="shared" ref="V19:V40" si="5">IF(T$12=0,0,T19/T$12)</f>
        <v>0</v>
      </c>
      <c r="W19" s="5"/>
      <c r="X19" s="22">
        <f t="shared" ref="X19:X40" si="6">+P19-T19</f>
        <v>-24263.000000000004</v>
      </c>
      <c r="Y19" s="5"/>
      <c r="Z19" s="32">
        <f t="shared" ref="Z19:Z40" si="7">IF(T19=0,0,X19/T19)</f>
        <v>-1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0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0</v>
      </c>
      <c r="M20" s="2"/>
      <c r="N20" s="6">
        <f t="shared" si="3"/>
        <v>0</v>
      </c>
      <c r="O20" s="14"/>
      <c r="P20" s="2">
        <f>SUM(OSRRefP22_0x_0)</f>
        <v>0</v>
      </c>
      <c r="Q20" s="2"/>
      <c r="R20" s="6">
        <f t="shared" si="4"/>
        <v>0</v>
      </c>
      <c r="S20" s="2"/>
      <c r="T20" s="2">
        <f>SUM(OSRRefT22_0x_0)</f>
        <v>1595.9699999999998</v>
      </c>
      <c r="U20" s="2"/>
      <c r="V20" s="6">
        <f t="shared" si="5"/>
        <v>0</v>
      </c>
      <c r="W20" s="2"/>
      <c r="X20" s="2">
        <f t="shared" si="6"/>
        <v>-1595.9699999999998</v>
      </c>
      <c r="Y20" s="2"/>
      <c r="Z20" s="6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159.12</v>
      </c>
      <c r="U21" s="3"/>
      <c r="V21" s="7">
        <f t="shared" si="5"/>
        <v>0</v>
      </c>
      <c r="W21" s="3"/>
      <c r="X21" s="8">
        <f t="shared" si="6"/>
        <v>-159.12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683.68</v>
      </c>
      <c r="U22" s="3"/>
      <c r="V22" s="7">
        <f t="shared" si="5"/>
        <v>0</v>
      </c>
      <c r="W22" s="3"/>
      <c r="X22" s="8">
        <f t="shared" si="6"/>
        <v>-683.68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","6115"," - ","P.E.R.S.")</f>
        <v xml:space="preserve">          6115 - P.E.R.S.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321.57</v>
      </c>
      <c r="U23" s="3"/>
      <c r="V23" s="7">
        <f t="shared" si="5"/>
        <v>0</v>
      </c>
      <c r="W23" s="3"/>
      <c r="X23" s="8">
        <f t="shared" si="6"/>
        <v>-321.57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","6118"," - ","VACATION")</f>
        <v xml:space="preserve">          6118 - VACATION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239.72</v>
      </c>
      <c r="U24" s="3"/>
      <c r="V24" s="7">
        <f t="shared" si="5"/>
        <v>0</v>
      </c>
      <c r="W24" s="3"/>
      <c r="X24" s="8">
        <f t="shared" si="6"/>
        <v>-239.72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","6119"," - ","SICK LEAVE")</f>
        <v xml:space="preserve">          6119 - SICK LEAVE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191.88</v>
      </c>
      <c r="U25" s="3"/>
      <c r="V25" s="7">
        <f t="shared" si="5"/>
        <v>0</v>
      </c>
      <c r="W25" s="3"/>
      <c r="X25" s="8">
        <f t="shared" si="6"/>
        <v>-191.88</v>
      </c>
      <c r="Y25" s="3"/>
      <c r="Z25" s="7">
        <f t="shared" si="7"/>
        <v>-1</v>
      </c>
    </row>
    <row r="26" spans="1:26" s="68" customFormat="1" ht="15" customHeight="1" outlineLevel="1" collapsed="1" x14ac:dyDescent="0.3">
      <c r="A26" s="25"/>
      <c r="B26" s="14" t="str">
        <f>CONCATENATE("     ","*Payroll                                          ")</f>
        <v xml:space="preserve">     *Payroll                                          </v>
      </c>
      <c r="C26" s="14"/>
      <c r="D26" s="2">
        <f>SUM(OSRRefD22_1x_0)</f>
        <v>0</v>
      </c>
      <c r="E26" s="2"/>
      <c r="F26" s="6">
        <f t="shared" si="0"/>
        <v>0</v>
      </c>
      <c r="G26" s="2"/>
      <c r="H26" s="2">
        <f>SUM(OSRRefH22_1x_0)</f>
        <v>0</v>
      </c>
      <c r="I26" s="2"/>
      <c r="J26" s="6">
        <f t="shared" si="1"/>
        <v>0</v>
      </c>
      <c r="K26" s="2"/>
      <c r="L26" s="2">
        <f t="shared" si="2"/>
        <v>0</v>
      </c>
      <c r="M26" s="2"/>
      <c r="N26" s="6">
        <f t="shared" si="3"/>
        <v>0</v>
      </c>
      <c r="O26" s="14"/>
      <c r="P26" s="2">
        <f>SUM(OSRRefP22_1x_0)</f>
        <v>0</v>
      </c>
      <c r="Q26" s="2"/>
      <c r="R26" s="6">
        <f t="shared" si="4"/>
        <v>0</v>
      </c>
      <c r="S26" s="2"/>
      <c r="T26" s="2">
        <f>SUM(OSRRefT22_1x_0)</f>
        <v>2080</v>
      </c>
      <c r="U26" s="2"/>
      <c r="V26" s="6">
        <f t="shared" si="5"/>
        <v>0</v>
      </c>
      <c r="W26" s="2"/>
      <c r="X26" s="2">
        <f t="shared" si="6"/>
        <v>-2080</v>
      </c>
      <c r="Y26" s="2"/>
      <c r="Z26" s="6">
        <f t="shared" si="7"/>
        <v>-1</v>
      </c>
    </row>
    <row r="27" spans="1:26" s="69" customFormat="1" ht="15" hidden="1" customHeight="1" outlineLevel="2" x14ac:dyDescent="0.3">
      <c r="A27" s="26"/>
      <c r="B27" s="12" t="str">
        <f>CONCATENATE("          ","6002"," - ","STAFF SALARIES")</f>
        <v xml:space="preserve">          6002 - STAFF SALARIES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2080</v>
      </c>
      <c r="U27" s="3"/>
      <c r="V27" s="7">
        <f t="shared" si="5"/>
        <v>0</v>
      </c>
      <c r="W27" s="3"/>
      <c r="X27" s="8">
        <f t="shared" si="6"/>
        <v>-2080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5"/>
      <c r="B28" s="14" t="str">
        <f>CONCATENATE("     ","Depreciation                                      ")</f>
        <v xml:space="preserve">     Depreciation                                      </v>
      </c>
      <c r="C28" s="14"/>
      <c r="D28" s="2">
        <f>SUM(OSRRefD22_2x_0)</f>
        <v>0</v>
      </c>
      <c r="E28" s="2"/>
      <c r="F28" s="6">
        <f t="shared" si="0"/>
        <v>0</v>
      </c>
      <c r="G28" s="2"/>
      <c r="H28" s="2">
        <f>SUM(OSRRefH22_2x_0)</f>
        <v>2017.34</v>
      </c>
      <c r="I28" s="2"/>
      <c r="J28" s="6">
        <f t="shared" si="1"/>
        <v>0</v>
      </c>
      <c r="K28" s="2"/>
      <c r="L28" s="2">
        <f t="shared" si="2"/>
        <v>-2017.34</v>
      </c>
      <c r="M28" s="2"/>
      <c r="N28" s="6">
        <f t="shared" si="3"/>
        <v>-1</v>
      </c>
      <c r="O28" s="14"/>
      <c r="P28" s="2">
        <f>SUM(OSRRefP22_2x_0)</f>
        <v>0</v>
      </c>
      <c r="Q28" s="2"/>
      <c r="R28" s="6">
        <f t="shared" si="4"/>
        <v>0</v>
      </c>
      <c r="S28" s="2"/>
      <c r="T28" s="2">
        <f>SUM(OSRRefT22_2x_0)</f>
        <v>20173.400000000001</v>
      </c>
      <c r="U28" s="2"/>
      <c r="V28" s="6">
        <f t="shared" si="5"/>
        <v>0</v>
      </c>
      <c r="W28" s="2"/>
      <c r="X28" s="2">
        <f t="shared" si="6"/>
        <v>-20173.400000000001</v>
      </c>
      <c r="Y28" s="2"/>
      <c r="Z28" s="6">
        <f t="shared" si="7"/>
        <v>-1</v>
      </c>
    </row>
    <row r="29" spans="1:26" s="69" customFormat="1" ht="15" hidden="1" customHeight="1" outlineLevel="2" x14ac:dyDescent="0.3">
      <c r="A29" s="26"/>
      <c r="B29" s="12" t="str">
        <f>CONCATENATE("          ","6322"," - ","EQUIPMENT DEPRECIATION EXPENSE")</f>
        <v xml:space="preserve">          6322 - EQUIPMENT DEPRECIATION EXPENSE</v>
      </c>
      <c r="C29" s="12"/>
      <c r="D29" s="8"/>
      <c r="E29" s="3"/>
      <c r="F29" s="7">
        <f t="shared" si="0"/>
        <v>0</v>
      </c>
      <c r="G29" s="3"/>
      <c r="H29" s="8">
        <v>2017.34</v>
      </c>
      <c r="I29" s="3"/>
      <c r="J29" s="7">
        <f t="shared" si="1"/>
        <v>0</v>
      </c>
      <c r="K29" s="3"/>
      <c r="L29" s="8">
        <f t="shared" si="2"/>
        <v>-2017.34</v>
      </c>
      <c r="M29" s="3"/>
      <c r="N29" s="7">
        <f t="shared" si="3"/>
        <v>-1</v>
      </c>
      <c r="O29" s="12"/>
      <c r="P29" s="8"/>
      <c r="Q29" s="3"/>
      <c r="R29" s="7">
        <f t="shared" si="4"/>
        <v>0</v>
      </c>
      <c r="S29" s="3"/>
      <c r="T29" s="8">
        <v>20173.400000000001</v>
      </c>
      <c r="U29" s="3"/>
      <c r="V29" s="7">
        <f t="shared" si="5"/>
        <v>0</v>
      </c>
      <c r="W29" s="3"/>
      <c r="X29" s="8">
        <f t="shared" si="6"/>
        <v>-20173.400000000001</v>
      </c>
      <c r="Y29" s="3"/>
      <c r="Z29" s="7">
        <f t="shared" si="7"/>
        <v>-1</v>
      </c>
    </row>
    <row r="30" spans="1:26" s="68" customFormat="1" ht="15" customHeight="1" outlineLevel="1" collapsed="1" x14ac:dyDescent="0.3">
      <c r="A30" s="25"/>
      <c r="B30" s="14" t="str">
        <f>CONCATENATE("     ","Repair and Maintenance                            ")</f>
        <v xml:space="preserve">     Repair and Maintenance                            </v>
      </c>
      <c r="C30" s="14"/>
      <c r="D30" s="2">
        <f>SUM(OSRRefD22_3x_0)</f>
        <v>0</v>
      </c>
      <c r="E30" s="2"/>
      <c r="F30" s="6">
        <f t="shared" si="0"/>
        <v>0</v>
      </c>
      <c r="G30" s="2"/>
      <c r="H30" s="2">
        <f>SUM(OSRRefH22_3x_0)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SUM(OSRRefP22_3x_0)</f>
        <v>0</v>
      </c>
      <c r="Q30" s="2"/>
      <c r="R30" s="6">
        <f t="shared" si="4"/>
        <v>0</v>
      </c>
      <c r="S30" s="2"/>
      <c r="T30" s="2">
        <f>SUM(OSRRefT22_3x_0)</f>
        <v>295.64999999999998</v>
      </c>
      <c r="U30" s="2"/>
      <c r="V30" s="6">
        <f t="shared" si="5"/>
        <v>0</v>
      </c>
      <c r="W30" s="2"/>
      <c r="X30" s="2">
        <f t="shared" si="6"/>
        <v>-295.64999999999998</v>
      </c>
      <c r="Y30" s="2"/>
      <c r="Z30" s="6">
        <f t="shared" si="7"/>
        <v>-1</v>
      </c>
    </row>
    <row r="31" spans="1:26" s="69" customFormat="1" ht="15" hidden="1" customHeight="1" outlineLevel="2" x14ac:dyDescent="0.3">
      <c r="A31" s="26"/>
      <c r="B31" s="12" t="str">
        <f>CONCATENATE("          ","6373"," - ","MAINTENANCE CONTRACTS")</f>
        <v xml:space="preserve">          6373 - MAINTENANCE CONTRACTS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0</v>
      </c>
      <c r="Q31" s="3"/>
      <c r="R31" s="7">
        <f t="shared" si="4"/>
        <v>0</v>
      </c>
      <c r="S31" s="3"/>
      <c r="T31" s="8">
        <v>295.64999999999998</v>
      </c>
      <c r="U31" s="3"/>
      <c r="V31" s="7">
        <f t="shared" si="5"/>
        <v>0</v>
      </c>
      <c r="W31" s="3"/>
      <c r="X31" s="8">
        <f t="shared" si="6"/>
        <v>-295.64999999999998</v>
      </c>
      <c r="Y31" s="3"/>
      <c r="Z31" s="7">
        <f t="shared" si="7"/>
        <v>-1</v>
      </c>
    </row>
    <row r="32" spans="1:26" s="68" customFormat="1" ht="15" customHeight="1" outlineLevel="1" collapsed="1" x14ac:dyDescent="0.3">
      <c r="A32" s="25"/>
      <c r="B32" s="14" t="str">
        <f>CONCATENATE("     ","Services                                          ")</f>
        <v xml:space="preserve">     Services                                          </v>
      </c>
      <c r="C32" s="14"/>
      <c r="D32" s="2">
        <f>SUM(OSRRefD22_4x_0)</f>
        <v>0</v>
      </c>
      <c r="E32" s="2"/>
      <c r="F32" s="6">
        <f t="shared" si="0"/>
        <v>0</v>
      </c>
      <c r="G32" s="2"/>
      <c r="H32" s="2">
        <f>SUM(OSRRefH22_4x_0)</f>
        <v>0</v>
      </c>
      <c r="I32" s="2"/>
      <c r="J32" s="6">
        <f t="shared" si="1"/>
        <v>0</v>
      </c>
      <c r="K32" s="2"/>
      <c r="L32" s="2">
        <f t="shared" si="2"/>
        <v>0</v>
      </c>
      <c r="M32" s="2"/>
      <c r="N32" s="6">
        <f t="shared" si="3"/>
        <v>0</v>
      </c>
      <c r="O32" s="14"/>
      <c r="P32" s="2">
        <f>SUM(OSRRefP22_4x_0)</f>
        <v>0</v>
      </c>
      <c r="Q32" s="2"/>
      <c r="R32" s="6">
        <f t="shared" si="4"/>
        <v>0</v>
      </c>
      <c r="S32" s="2"/>
      <c r="T32" s="2">
        <f>SUM(OSRRefT22_4x_0)</f>
        <v>-1053.52</v>
      </c>
      <c r="U32" s="2"/>
      <c r="V32" s="6">
        <f t="shared" si="5"/>
        <v>0</v>
      </c>
      <c r="W32" s="2"/>
      <c r="X32" s="2">
        <f t="shared" si="6"/>
        <v>1053.52</v>
      </c>
      <c r="Y32" s="2"/>
      <c r="Z32" s="6">
        <f t="shared" si="7"/>
        <v>-1</v>
      </c>
    </row>
    <row r="33" spans="1:26" s="69" customFormat="1" ht="15" hidden="1" customHeight="1" outlineLevel="2" x14ac:dyDescent="0.3">
      <c r="A33" s="26"/>
      <c r="B33" s="12" t="str">
        <f>CONCATENATE("          ","6282"," - ","JANITORIAL/EXTERMINATOR EXPENS")</f>
        <v xml:space="preserve">          6282 - JANITORIAL/EXTERMINATOR EXPENS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-567.28</v>
      </c>
      <c r="U33" s="3"/>
      <c r="V33" s="7">
        <f t="shared" si="5"/>
        <v>0</v>
      </c>
      <c r="W33" s="3"/>
      <c r="X33" s="8">
        <f t="shared" si="6"/>
        <v>567.28</v>
      </c>
      <c r="Y33" s="3"/>
      <c r="Z33" s="7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","6285"," - ","JANITORIAL SERVICES")</f>
        <v xml:space="preserve">          6285 - JANITORIAL SERVICES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-486.24</v>
      </c>
      <c r="U34" s="3"/>
      <c r="V34" s="7">
        <f t="shared" si="5"/>
        <v>0</v>
      </c>
      <c r="W34" s="3"/>
      <c r="X34" s="8">
        <f t="shared" si="6"/>
        <v>486.24</v>
      </c>
      <c r="Y34" s="3"/>
      <c r="Z34" s="7">
        <f t="shared" si="7"/>
        <v>-1</v>
      </c>
    </row>
    <row r="35" spans="1:26" s="68" customFormat="1" ht="15" customHeight="1" outlineLevel="1" collapsed="1" x14ac:dyDescent="0.3">
      <c r="A35" s="25"/>
      <c r="B35" s="14" t="str">
        <f>CONCATENATE("     ","Supplies                                          ")</f>
        <v xml:space="preserve">     Supplies              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131.30000000000001</v>
      </c>
      <c r="U35" s="2"/>
      <c r="V35" s="6">
        <f t="shared" si="5"/>
        <v>0</v>
      </c>
      <c r="W35" s="2"/>
      <c r="X35" s="2">
        <f t="shared" si="6"/>
        <v>-131.30000000000001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","6241"," - ","OFFICE EXPENSE")</f>
        <v xml:space="preserve">          6241 - OFFICE EXPENSE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131.30000000000001</v>
      </c>
      <c r="U36" s="3"/>
      <c r="V36" s="7">
        <f t="shared" si="5"/>
        <v>0</v>
      </c>
      <c r="W36" s="3"/>
      <c r="X36" s="8">
        <f t="shared" si="6"/>
        <v>-131.30000000000001</v>
      </c>
      <c r="Y36" s="3"/>
      <c r="Z36" s="7">
        <f t="shared" si="7"/>
        <v>-1</v>
      </c>
    </row>
    <row r="37" spans="1:26" s="68" customFormat="1" ht="15" customHeight="1" outlineLevel="1" collapsed="1" x14ac:dyDescent="0.3">
      <c r="A37" s="25"/>
      <c r="B37" s="14" t="str">
        <f>CONCATENATE("     ","Telephone/Data Lines                              ")</f>
        <v xml:space="preserve">     Telephone/Data Lines                              </v>
      </c>
      <c r="C37" s="14"/>
      <c r="D37" s="2">
        <f>SUM(OSRRefD22_6x_0)</f>
        <v>0</v>
      </c>
      <c r="E37" s="2"/>
      <c r="F37" s="6">
        <f t="shared" si="0"/>
        <v>0</v>
      </c>
      <c r="G37" s="2"/>
      <c r="H37" s="2">
        <f>SUM(OSRRefH22_6x_0)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SUM(OSRRefP22_6x_0)</f>
        <v>0</v>
      </c>
      <c r="Q37" s="2"/>
      <c r="R37" s="6">
        <f t="shared" si="4"/>
        <v>0</v>
      </c>
      <c r="S37" s="2"/>
      <c r="T37" s="2">
        <f>SUM(OSRRefT22_6x_0)</f>
        <v>85.2</v>
      </c>
      <c r="U37" s="2"/>
      <c r="V37" s="6">
        <f t="shared" si="5"/>
        <v>0</v>
      </c>
      <c r="W37" s="2"/>
      <c r="X37" s="2">
        <f t="shared" si="6"/>
        <v>-85.2</v>
      </c>
      <c r="Y37" s="2"/>
      <c r="Z37" s="6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","6309"," - ","TELEPHONE")</f>
        <v xml:space="preserve">          6309 - TELEPHONE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85.2</v>
      </c>
      <c r="U38" s="3"/>
      <c r="V38" s="7">
        <f t="shared" si="5"/>
        <v>0</v>
      </c>
      <c r="W38" s="3"/>
      <c r="X38" s="8">
        <f t="shared" si="6"/>
        <v>-85.2</v>
      </c>
      <c r="Y38" s="3"/>
      <c r="Z38" s="7">
        <f t="shared" si="7"/>
        <v>-1</v>
      </c>
    </row>
    <row r="39" spans="1:26" s="68" customFormat="1" ht="15" customHeight="1" outlineLevel="1" collapsed="1" x14ac:dyDescent="0.3">
      <c r="A39" s="25"/>
      <c r="B39" s="14" t="str">
        <f>CONCATENATE("     ","Utilities                                         ")</f>
        <v xml:space="preserve">     Utilities                                         </v>
      </c>
      <c r="C39" s="14"/>
      <c r="D39" s="2">
        <f>SUM(OSRRefD22_7x_0)</f>
        <v>0</v>
      </c>
      <c r="E39" s="2"/>
      <c r="F39" s="6">
        <f t="shared" si="0"/>
        <v>0</v>
      </c>
      <c r="G39" s="2"/>
      <c r="H39" s="2">
        <f>SUM(OSRRefH22_7x_0)</f>
        <v>208</v>
      </c>
      <c r="I39" s="2"/>
      <c r="J39" s="6">
        <f t="shared" si="1"/>
        <v>0</v>
      </c>
      <c r="K39" s="2"/>
      <c r="L39" s="2">
        <f t="shared" si="2"/>
        <v>-208</v>
      </c>
      <c r="M39" s="2"/>
      <c r="N39" s="6">
        <f t="shared" si="3"/>
        <v>-1</v>
      </c>
      <c r="O39" s="14"/>
      <c r="P39" s="2">
        <f>SUM(OSRRefP22_7x_0)</f>
        <v>0</v>
      </c>
      <c r="Q39" s="2"/>
      <c r="R39" s="6">
        <f t="shared" si="4"/>
        <v>0</v>
      </c>
      <c r="S39" s="2"/>
      <c r="T39" s="2">
        <f>SUM(OSRRefT22_7x_0)</f>
        <v>955</v>
      </c>
      <c r="U39" s="2"/>
      <c r="V39" s="6">
        <f t="shared" si="5"/>
        <v>0</v>
      </c>
      <c r="W39" s="2"/>
      <c r="X39" s="2">
        <f t="shared" si="6"/>
        <v>-955</v>
      </c>
      <c r="Y39" s="2"/>
      <c r="Z39" s="6">
        <f t="shared" si="7"/>
        <v>-1</v>
      </c>
    </row>
    <row r="40" spans="1:26" s="69" customFormat="1" ht="15" hidden="1" customHeight="1" outlineLevel="2" x14ac:dyDescent="0.3">
      <c r="A40" s="26"/>
      <c r="B40" s="12" t="str">
        <f>CONCATENATE("          ","6274"," - ","UTILITIES")</f>
        <v xml:space="preserve">          6274 - UTILITIES</v>
      </c>
      <c r="C40" s="12"/>
      <c r="D40" s="8"/>
      <c r="E40" s="3"/>
      <c r="F40" s="7">
        <f t="shared" si="0"/>
        <v>0</v>
      </c>
      <c r="G40" s="3"/>
      <c r="H40" s="8">
        <v>208</v>
      </c>
      <c r="I40" s="3"/>
      <c r="J40" s="7">
        <f t="shared" si="1"/>
        <v>0</v>
      </c>
      <c r="K40" s="3"/>
      <c r="L40" s="8">
        <f t="shared" si="2"/>
        <v>-208</v>
      </c>
      <c r="M40" s="3"/>
      <c r="N40" s="7">
        <f t="shared" si="3"/>
        <v>-1</v>
      </c>
      <c r="O40" s="12"/>
      <c r="P40" s="8"/>
      <c r="Q40" s="3"/>
      <c r="R40" s="7">
        <f t="shared" si="4"/>
        <v>0</v>
      </c>
      <c r="S40" s="3"/>
      <c r="T40" s="8">
        <v>955</v>
      </c>
      <c r="U40" s="3"/>
      <c r="V40" s="7">
        <f t="shared" si="5"/>
        <v>0</v>
      </c>
      <c r="W40" s="3"/>
      <c r="X40" s="8">
        <f t="shared" si="6"/>
        <v>-955</v>
      </c>
      <c r="Y40" s="3"/>
      <c r="Z40" s="7">
        <f t="shared" si="7"/>
        <v>-1</v>
      </c>
    </row>
    <row r="41" spans="1:26" s="64" customFormat="1" ht="15" customHeight="1" x14ac:dyDescent="0.3">
      <c r="A41" s="36"/>
      <c r="B41" s="36"/>
      <c r="C41" s="36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2" customFormat="1" ht="15" customHeight="1" x14ac:dyDescent="0.3">
      <c r="A42" s="11"/>
      <c r="B42" s="27" t="s">
        <v>290</v>
      </c>
      <c r="C42" s="11"/>
      <c r="D42" s="5">
        <f>SUM(0)</f>
        <v>0</v>
      </c>
      <c r="E42" s="5"/>
      <c r="F42" s="13">
        <f>IF(D$12=0,0,D42/D$12)</f>
        <v>0</v>
      </c>
      <c r="G42" s="5"/>
      <c r="H42" s="5">
        <f>SUM(0)</f>
        <v>0</v>
      </c>
      <c r="I42" s="5"/>
      <c r="J42" s="13">
        <f>IF(H$12=0,0,H42/H$12)</f>
        <v>0</v>
      </c>
      <c r="K42" s="5"/>
      <c r="L42" s="5">
        <f>+D42-H42</f>
        <v>0</v>
      </c>
      <c r="M42" s="5"/>
      <c r="N42" s="13">
        <f>IF(H42=0,0,L42/H42)</f>
        <v>0</v>
      </c>
      <c r="O42" s="11"/>
      <c r="P42" s="5">
        <f>SUM(0)</f>
        <v>0</v>
      </c>
      <c r="Q42" s="5"/>
      <c r="R42" s="13">
        <f>IF(P$12=0,0,P42/P$12)</f>
        <v>0</v>
      </c>
      <c r="S42" s="5"/>
      <c r="T42" s="5">
        <f>SUM(0)</f>
        <v>0</v>
      </c>
      <c r="U42" s="5"/>
      <c r="V42" s="13">
        <f>IF(T$12=0,0,T42/T$12)</f>
        <v>0</v>
      </c>
      <c r="W42" s="5"/>
      <c r="X42" s="5">
        <f>+P42-T42</f>
        <v>0</v>
      </c>
      <c r="Y42" s="5"/>
      <c r="Z42" s="13">
        <f>IF(T42=0,0,X42/T42)</f>
        <v>0</v>
      </c>
    </row>
    <row r="43" spans="1:26" ht="15" customHeight="1" x14ac:dyDescent="0.3">
      <c r="A43" s="10"/>
      <c r="B43" s="11"/>
      <c r="C43" s="11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O43" s="11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8" t="s">
        <v>291</v>
      </c>
      <c r="C44" s="28"/>
      <c r="D44" s="21">
        <f>+D17-D19+D42</f>
        <v>0</v>
      </c>
      <c r="E44" s="15"/>
      <c r="F44" s="23">
        <f>IF(D$12=0,0,D44/D$12)</f>
        <v>0</v>
      </c>
      <c r="G44" s="15"/>
      <c r="H44" s="21">
        <f>+H17-H19+H42</f>
        <v>-2225.34</v>
      </c>
      <c r="I44" s="15"/>
      <c r="J44" s="23">
        <f>IF(H$12=0,0,H44/H$12)</f>
        <v>0</v>
      </c>
      <c r="K44" s="16"/>
      <c r="L44" s="21">
        <f>+D44-H44</f>
        <v>2225.34</v>
      </c>
      <c r="M44" s="16"/>
      <c r="N44" s="23">
        <f>IF(H44=0,0,L44/H44)</f>
        <v>-1</v>
      </c>
      <c r="O44" s="27"/>
      <c r="P44" s="21">
        <f>+P17-P19+P42</f>
        <v>0</v>
      </c>
      <c r="Q44" s="15"/>
      <c r="R44" s="23">
        <f>IF(P$12=0,0,P44/P$12)</f>
        <v>0</v>
      </c>
      <c r="S44" s="15"/>
      <c r="T44" s="21">
        <f>+T17-T19+T42</f>
        <v>-23040.670000000006</v>
      </c>
      <c r="U44" s="15"/>
      <c r="V44" s="23">
        <f>IF(T$12=0,0,T44/T$12)</f>
        <v>0</v>
      </c>
      <c r="W44" s="16"/>
      <c r="X44" s="21">
        <f>+P44-T44</f>
        <v>23040.670000000006</v>
      </c>
      <c r="Y44" s="16"/>
      <c r="Z44" s="23">
        <f>IF(T44=0,0,X44/T44)</f>
        <v>-1</v>
      </c>
    </row>
    <row r="45" spans="1:26" ht="15" customHeight="1" x14ac:dyDescent="0.3">
      <c r="A45" s="10"/>
      <c r="B45" s="11"/>
      <c r="C45" s="10"/>
      <c r="D45" s="4"/>
      <c r="E45" s="4"/>
      <c r="F45" s="9"/>
      <c r="G45" s="4"/>
      <c r="H45" s="4"/>
      <c r="I45" s="4"/>
      <c r="J45" s="9"/>
      <c r="K45" s="4"/>
      <c r="L45" s="4"/>
      <c r="M45" s="4"/>
      <c r="N45" s="9"/>
      <c r="P45" s="4"/>
      <c r="Q45" s="4"/>
      <c r="R45" s="9"/>
      <c r="S45" s="4"/>
      <c r="T45" s="4"/>
      <c r="U45" s="4"/>
      <c r="V45" s="9"/>
      <c r="W45" s="4"/>
      <c r="X45" s="4"/>
      <c r="Y45" s="4"/>
      <c r="Z45" s="9"/>
    </row>
    <row r="46" spans="1:26" s="62" customFormat="1" ht="15" customHeight="1" x14ac:dyDescent="0.3">
      <c r="A46" s="48"/>
      <c r="B46" s="11" t="s">
        <v>292</v>
      </c>
      <c r="C46" s="11"/>
      <c r="D46" s="5"/>
      <c r="E46" s="5"/>
      <c r="F46" s="13">
        <f>IF(D$12=0,0,D46/D$12)</f>
        <v>0</v>
      </c>
      <c r="G46" s="5"/>
      <c r="H46" s="5"/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/>
      <c r="Q46" s="5"/>
      <c r="R46" s="13">
        <f>IF(P$12=0,0,P46/P$12)</f>
        <v>0</v>
      </c>
      <c r="S46" s="5"/>
      <c r="T46" s="5"/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293</v>
      </c>
      <c r="C48" s="28"/>
      <c r="D48" s="34">
        <f>+D44-D46</f>
        <v>0</v>
      </c>
      <c r="E48" s="15"/>
      <c r="F48" s="30">
        <f>IF(D$12=0,0,D48/D$12)</f>
        <v>0</v>
      </c>
      <c r="G48" s="15"/>
      <c r="H48" s="34">
        <f>+H44-H46</f>
        <v>-2225.34</v>
      </c>
      <c r="I48" s="15"/>
      <c r="J48" s="30">
        <f>IF(H$12=0,0,H48/H$12)</f>
        <v>0</v>
      </c>
      <c r="K48" s="16"/>
      <c r="L48" s="34">
        <f>D48-H48</f>
        <v>2225.34</v>
      </c>
      <c r="M48" s="16"/>
      <c r="N48" s="30">
        <f>IF(H48=0,0,L48/H48)</f>
        <v>-1</v>
      </c>
      <c r="O48" s="27"/>
      <c r="P48" s="34">
        <f>+P44-P46</f>
        <v>0</v>
      </c>
      <c r="Q48" s="15"/>
      <c r="R48" s="30">
        <f>IF(P$12=0,0,P48/P$12)</f>
        <v>0</v>
      </c>
      <c r="S48" s="15"/>
      <c r="T48" s="34">
        <f>+T44-T46</f>
        <v>-23040.670000000006</v>
      </c>
      <c r="U48" s="15"/>
      <c r="V48" s="30">
        <f>IF(T$12=0,0,T48/T$12)</f>
        <v>0</v>
      </c>
      <c r="W48" s="16"/>
      <c r="X48" s="34">
        <f>P48-T48</f>
        <v>23040.670000000006</v>
      </c>
      <c r="Y48" s="16"/>
      <c r="Z48" s="30">
        <f>IF(T48=0,0,X48/T48)</f>
        <v>-1</v>
      </c>
    </row>
    <row r="49" spans="1:26" ht="15" customHeight="1" x14ac:dyDescent="0.3">
      <c r="A49" s="10"/>
      <c r="B49" s="10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ht="15" customHeight="1" x14ac:dyDescent="0.3">
      <c r="A50" s="10"/>
      <c r="B50" s="10"/>
      <c r="C50" s="10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8" t="s">
        <v>296</v>
      </c>
      <c r="C51" s="28"/>
      <c r="D51" s="29">
        <f>SUM(D48:D50)</f>
        <v>0</v>
      </c>
      <c r="E51" s="15"/>
      <c r="F51" s="35">
        <f>IF(D$12=0,0,D51/D$12)</f>
        <v>0</v>
      </c>
      <c r="G51" s="15"/>
      <c r="H51" s="29">
        <f>SUM(H48:H50)</f>
        <v>-2225.34</v>
      </c>
      <c r="I51" s="15"/>
      <c r="J51" s="35">
        <f>IF(H$12=0,0,H51/H$12)</f>
        <v>0</v>
      </c>
      <c r="K51" s="16"/>
      <c r="L51" s="29">
        <f>+D51-H51</f>
        <v>2225.34</v>
      </c>
      <c r="M51" s="16"/>
      <c r="N51" s="35">
        <f>IF(H51=0,0,L51/H51)</f>
        <v>-1</v>
      </c>
      <c r="O51" s="27"/>
      <c r="P51" s="29">
        <f>SUM(P48:P50)</f>
        <v>0</v>
      </c>
      <c r="Q51" s="15"/>
      <c r="R51" s="35">
        <f>IF(P$12=0,0,P51/P$12)</f>
        <v>0</v>
      </c>
      <c r="S51" s="15"/>
      <c r="T51" s="29">
        <f>SUM(T48:T50)</f>
        <v>-23040.670000000006</v>
      </c>
      <c r="U51" s="15"/>
      <c r="V51" s="35">
        <f>IF(T$12=0,0,T51/T$12)</f>
        <v>0</v>
      </c>
      <c r="W51" s="16"/>
      <c r="X51" s="29">
        <f>+P51-T51</f>
        <v>23040.670000000006</v>
      </c>
      <c r="Y51" s="16"/>
      <c r="Z51" s="35">
        <f>IF(T51=0,0,X51/T51)</f>
        <v>-1</v>
      </c>
    </row>
    <row r="52" spans="1:26" ht="15" customHeight="1" x14ac:dyDescent="0.3">
      <c r="A52" s="10"/>
      <c r="C52" s="10"/>
      <c r="D52" s="18"/>
      <c r="E52" s="18"/>
      <c r="G52" s="18"/>
      <c r="H52" s="18"/>
      <c r="I52" s="18"/>
      <c r="J52" s="40"/>
      <c r="K52" s="18"/>
      <c r="L52" s="18"/>
      <c r="M52" s="18"/>
      <c r="P52" s="18"/>
      <c r="Q52" s="18"/>
      <c r="R52" s="40"/>
      <c r="S52" s="18"/>
      <c r="T52" s="18"/>
      <c r="U52" s="18"/>
      <c r="V52" s="40"/>
      <c r="W52" s="18"/>
      <c r="X52" s="18"/>
    </row>
    <row r="53" spans="1:26" ht="15" customHeight="1" x14ac:dyDescent="0.3">
      <c r="A53" s="10"/>
      <c r="B53" s="56">
        <v>44694.890829479169</v>
      </c>
      <c r="D53" s="18"/>
      <c r="E53" s="18"/>
      <c r="G53" s="18"/>
      <c r="H53" s="18"/>
      <c r="I53" s="18"/>
      <c r="J53" s="40"/>
      <c r="K53" s="18"/>
      <c r="L53" s="18"/>
      <c r="M53" s="18"/>
      <c r="P53" s="18"/>
      <c r="Q53" s="18"/>
      <c r="R53" s="40"/>
      <c r="S53" s="18"/>
      <c r="T53" s="18"/>
      <c r="U53" s="18"/>
      <c r="V53" s="40"/>
      <c r="W53" s="18"/>
      <c r="X53" s="18"/>
    </row>
    <row r="54" spans="1:26" ht="15" customHeight="1" x14ac:dyDescent="0.3">
      <c r="A54" s="10"/>
      <c r="B54" s="52" t="s">
        <v>297</v>
      </c>
      <c r="D54" s="18"/>
      <c r="E54" s="18"/>
      <c r="G54" s="18"/>
      <c r="H54" s="18"/>
      <c r="I54" s="18"/>
      <c r="J54" s="40"/>
      <c r="K54" s="18"/>
      <c r="L54" s="18"/>
      <c r="M54" s="18"/>
      <c r="P54" s="18"/>
      <c r="Q54" s="18"/>
      <c r="R54" s="40"/>
      <c r="S54" s="18"/>
      <c r="T54" s="18"/>
      <c r="U54" s="18"/>
      <c r="V54" s="40"/>
      <c r="W54" s="18"/>
      <c r="X54" s="18"/>
    </row>
    <row r="55" spans="1:26" ht="15" customHeight="1" x14ac:dyDescent="0.3">
      <c r="A55" s="10"/>
      <c r="B55" s="58"/>
      <c r="D55" s="18"/>
      <c r="E55" s="18"/>
      <c r="G55" s="18"/>
      <c r="H55" s="18"/>
      <c r="I55" s="18"/>
      <c r="J55" s="40"/>
      <c r="K55" s="18"/>
      <c r="L55" s="18"/>
      <c r="M55" s="18"/>
      <c r="P55" s="18"/>
      <c r="Q55" s="18"/>
      <c r="R55" s="40"/>
      <c r="S55" s="18"/>
      <c r="T55" s="18"/>
      <c r="U55" s="18"/>
      <c r="V55" s="40"/>
      <c r="W55" s="18"/>
      <c r="X55" s="18"/>
    </row>
    <row r="56" spans="1:26" ht="15" customHeight="1" x14ac:dyDescent="0.3">
      <c r="D56" s="18"/>
      <c r="E56" s="18"/>
      <c r="G56" s="18"/>
      <c r="H56" s="18"/>
      <c r="I56" s="18"/>
      <c r="J56" s="40"/>
      <c r="K56" s="18"/>
      <c r="L56" s="18"/>
      <c r="M56" s="18"/>
      <c r="P56" s="18"/>
      <c r="Q56" s="18"/>
      <c r="R56" s="40"/>
      <c r="S56" s="18"/>
      <c r="T56" s="18"/>
      <c r="U56" s="18"/>
      <c r="V56" s="40"/>
      <c r="W56" s="18"/>
      <c r="X5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341B7-3382-5976-721D-2BA7EF4A775B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","325"," - ","Outpost C-Store")</f>
        <v>Department 325 - Outpost C-Store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35798.15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35798.15</v>
      </c>
      <c r="M12" s="5"/>
      <c r="N12" s="13">
        <f>IF(H12=0,0,L12/H12)</f>
        <v>0</v>
      </c>
      <c r="O12" s="11"/>
      <c r="P12" s="5">
        <f>SUM(OSRRefP13x_0)</f>
        <v>227456.88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227456.88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--4281.36</f>
        <v>4281.3599999999997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4281.3599999999997</v>
      </c>
      <c r="M13" s="3"/>
      <c r="N13" s="20">
        <f>IF(H13=0,0,L13/H13)</f>
        <v>0</v>
      </c>
      <c r="O13" s="12"/>
      <c r="P13" s="3">
        <f>--33515.14</f>
        <v>33515.14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33515.14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--31516.79</f>
        <v>31516.79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31516.79</v>
      </c>
      <c r="M14" s="3"/>
      <c r="N14" s="20">
        <f>IF(H14=0,0,L14/H14)</f>
        <v>0</v>
      </c>
      <c r="O14" s="12"/>
      <c r="P14" s="3">
        <f>--193941.74</f>
        <v>193941.74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193941.74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17540.7</v>
      </c>
      <c r="E16" s="5"/>
      <c r="F16" s="13">
        <f>IF(D$12=0,0,D16/D$12)</f>
        <v>0.48998900781185623</v>
      </c>
      <c r="G16" s="5"/>
      <c r="H16" s="5">
        <f>SUM(OSRRefH16x_0)</f>
        <v>176.4</v>
      </c>
      <c r="I16" s="5"/>
      <c r="J16" s="13">
        <f>IF(H$12=0,0,H16/H$12)</f>
        <v>0</v>
      </c>
      <c r="K16" s="5"/>
      <c r="L16" s="5">
        <f>+D16-H16</f>
        <v>17364.3</v>
      </c>
      <c r="M16" s="5"/>
      <c r="N16" s="13">
        <f>IF(H16=0,0,L16/H16)</f>
        <v>98.437074829931959</v>
      </c>
      <c r="O16" s="11"/>
      <c r="P16" s="5">
        <f>SUM(OSRRefP16x_0)</f>
        <v>93384.86</v>
      </c>
      <c r="Q16" s="5"/>
      <c r="R16" s="13">
        <f>IF(P$12=0,0,P16/P$12)</f>
        <v>0.4105607181457866</v>
      </c>
      <c r="S16" s="5"/>
      <c r="T16" s="5">
        <f>SUM(OSRRefT16x_0)</f>
        <v>10994.04</v>
      </c>
      <c r="U16" s="5"/>
      <c r="V16" s="13">
        <f>IF(T$12=0,0,T16/T$12)</f>
        <v>0</v>
      </c>
      <c r="W16" s="5"/>
      <c r="X16" s="5">
        <f>+P16-T16</f>
        <v>82390.820000000007</v>
      </c>
      <c r="Y16" s="5"/>
      <c r="Z16" s="13">
        <f>IF(T16=0,0,X16/T16)</f>
        <v>7.4941350040567434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1344.8</v>
      </c>
      <c r="E17" s="3"/>
      <c r="F17" s="20">
        <f>IF(D$12=0,0,D17/D$12)</f>
        <v>3.7566187079499914E-2</v>
      </c>
      <c r="G17" s="3"/>
      <c r="H17" s="3">
        <v>176.4</v>
      </c>
      <c r="I17" s="3"/>
      <c r="J17" s="20">
        <f>IF(H$12=0,0,H17/H$12)</f>
        <v>0</v>
      </c>
      <c r="K17" s="3"/>
      <c r="L17" s="3">
        <f>+D17-H17</f>
        <v>1168.3999999999999</v>
      </c>
      <c r="M17" s="3"/>
      <c r="N17" s="20">
        <f>IF(H17=0,0,L17/H17)</f>
        <v>6.6235827664399087</v>
      </c>
      <c r="O17" s="12"/>
      <c r="P17" s="3">
        <v>28359.14</v>
      </c>
      <c r="Q17" s="3"/>
      <c r="R17" s="20">
        <f>IF(P$12=0,0,P17/P$12)</f>
        <v>0.12467919194178693</v>
      </c>
      <c r="S17" s="3"/>
      <c r="T17" s="3">
        <v>-634.96</v>
      </c>
      <c r="U17" s="3"/>
      <c r="V17" s="20">
        <f>IF(T$12=0,0,T17/T$12)</f>
        <v>0</v>
      </c>
      <c r="W17" s="3"/>
      <c r="X17" s="3">
        <f>+P17-T17</f>
        <v>28994.1</v>
      </c>
      <c r="Y17" s="3"/>
      <c r="Z17" s="20">
        <f>IF(T17=0,0,X17/T17)</f>
        <v>-45.662876401663091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16195.9</v>
      </c>
      <c r="E18" s="3"/>
      <c r="F18" s="20">
        <f>IF(D$12=0,0,D18/D$12)</f>
        <v>0.45242282073235623</v>
      </c>
      <c r="G18" s="3"/>
      <c r="H18" s="3"/>
      <c r="I18" s="3"/>
      <c r="J18" s="20">
        <f>IF(H$12=0,0,H18/H$12)</f>
        <v>0</v>
      </c>
      <c r="K18" s="3"/>
      <c r="L18" s="3">
        <f>+D18-H18</f>
        <v>16195.9</v>
      </c>
      <c r="M18" s="3"/>
      <c r="N18" s="20">
        <f>IF(H18=0,0,L18/H18)</f>
        <v>0</v>
      </c>
      <c r="O18" s="12"/>
      <c r="P18" s="3">
        <v>65025.72</v>
      </c>
      <c r="Q18" s="3"/>
      <c r="R18" s="20">
        <f>IF(P$12=0,0,P18/P$12)</f>
        <v>0.28588152620399965</v>
      </c>
      <c r="S18" s="3"/>
      <c r="T18" s="3">
        <v>11629</v>
      </c>
      <c r="U18" s="3"/>
      <c r="V18" s="20">
        <f>IF(T$12=0,0,T18/T$12)</f>
        <v>0</v>
      </c>
      <c r="W18" s="3"/>
      <c r="X18" s="3">
        <f>+P18-T18</f>
        <v>53396.72</v>
      </c>
      <c r="Y18" s="3"/>
      <c r="Z18" s="20">
        <f>IF(T18=0,0,X18/T18)</f>
        <v>4.5916863014876599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1">
        <f>D12-D16</f>
        <v>18257.45</v>
      </c>
      <c r="E20" s="15"/>
      <c r="F20" s="23">
        <f>IF(D$12=0,0,D20/D$12)</f>
        <v>0.51001099218814383</v>
      </c>
      <c r="G20" s="15"/>
      <c r="H20" s="21">
        <f>H12-H16</f>
        <v>-176.4</v>
      </c>
      <c r="I20" s="15"/>
      <c r="J20" s="23">
        <f>IF(H$12=0,0,H20/H$12)</f>
        <v>0</v>
      </c>
      <c r="K20" s="16"/>
      <c r="L20" s="21">
        <f>+D20-H20</f>
        <v>18433.850000000002</v>
      </c>
      <c r="M20" s="16"/>
      <c r="N20" s="23">
        <f>IF(H20=0,0,L20/H20)</f>
        <v>-104.50028344671203</v>
      </c>
      <c r="O20" s="27"/>
      <c r="P20" s="21">
        <f>P12-P16</f>
        <v>134072.02000000002</v>
      </c>
      <c r="Q20" s="15"/>
      <c r="R20" s="23">
        <f>IF(P$12=0,0,P20/P$12)</f>
        <v>0.58943928185421346</v>
      </c>
      <c r="S20" s="15"/>
      <c r="T20" s="21">
        <f>T12-T16</f>
        <v>-10994.04</v>
      </c>
      <c r="U20" s="15"/>
      <c r="V20" s="23">
        <f>IF(T$12=0,0,T20/T$12)</f>
        <v>0</v>
      </c>
      <c r="W20" s="16"/>
      <c r="X20" s="21">
        <f>+P20-T20</f>
        <v>145066.06000000003</v>
      </c>
      <c r="Y20" s="16"/>
      <c r="Z20" s="23">
        <f>IF(T20=0,0,X20/T20)</f>
        <v>-13.194972912596281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2" cm="1">
        <f t="array" ref="D22">SUM(OSRRefD22x_0)</f>
        <v>35049.03</v>
      </c>
      <c r="E22" s="22"/>
      <c r="F22" s="32">
        <f t="shared" ref="F22:F53" si="0">IF(D$12=0,0,D22/D$12)</f>
        <v>0.97907377895226422</v>
      </c>
      <c r="G22" s="22"/>
      <c r="H22" s="22" cm="1">
        <f t="array" ref="H22">SUM(OSRRefH22x_0)</f>
        <v>10443.15</v>
      </c>
      <c r="I22" s="22"/>
      <c r="J22" s="32">
        <f t="shared" ref="J22:J53" si="1">IF(H$12=0,0,H22/H$12)</f>
        <v>0</v>
      </c>
      <c r="K22" s="5"/>
      <c r="L22" s="22">
        <f t="shared" ref="L22:L53" si="2">+D22-H22</f>
        <v>24605.879999999997</v>
      </c>
      <c r="M22" s="5"/>
      <c r="N22" s="32">
        <f t="shared" ref="N22:N53" si="3">IF(H22=0,0,L22/H22)</f>
        <v>2.3561741428591945</v>
      </c>
      <c r="O22" s="11"/>
      <c r="P22" s="22" cm="1">
        <f t="array" ref="P22">SUM(OSRRefP22x_0)</f>
        <v>224573.46000000005</v>
      </c>
      <c r="Q22" s="22"/>
      <c r="R22" s="32">
        <f t="shared" ref="R22:R53" si="4">IF(P$12=0,0,P22/P$12)</f>
        <v>0.98732322363693747</v>
      </c>
      <c r="S22" s="22"/>
      <c r="T22" s="22" cm="1">
        <f t="array" ref="T22">SUM(OSRRefT22x_0)</f>
        <v>110910.49</v>
      </c>
      <c r="U22" s="22"/>
      <c r="V22" s="32">
        <f t="shared" ref="V22:V53" si="5">IF(T$12=0,0,T22/T$12)</f>
        <v>0</v>
      </c>
      <c r="W22" s="5"/>
      <c r="X22" s="22">
        <f t="shared" ref="X22:X53" si="6">+P22-T22</f>
        <v>113662.97000000004</v>
      </c>
      <c r="Y22" s="5"/>
      <c r="Z22" s="32">
        <f t="shared" ref="Z22:Z53" si="7">IF(T22=0,0,X22/T22)</f>
        <v>1.0248171295609643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4910.8999999999996</v>
      </c>
      <c r="E23" s="2"/>
      <c r="F23" s="6">
        <f t="shared" si="0"/>
        <v>0.13718306672272168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4910.8999999999996</v>
      </c>
      <c r="M23" s="2"/>
      <c r="N23" s="6">
        <f t="shared" si="3"/>
        <v>0</v>
      </c>
      <c r="O23" s="14"/>
      <c r="P23" s="2">
        <f>SUM(OSRRefP22_0x_0)</f>
        <v>18387.219999999998</v>
      </c>
      <c r="Q23" s="2"/>
      <c r="R23" s="6">
        <f t="shared" si="4"/>
        <v>8.0838267015708634E-2</v>
      </c>
      <c r="S23" s="2"/>
      <c r="T23" s="2">
        <f>SUM(OSRRefT22_0x_0)</f>
        <v>2889.72</v>
      </c>
      <c r="U23" s="2"/>
      <c r="V23" s="6">
        <f t="shared" si="5"/>
        <v>0</v>
      </c>
      <c r="W23" s="2"/>
      <c r="X23" s="2">
        <f t="shared" si="6"/>
        <v>15497.499999999998</v>
      </c>
      <c r="Y23" s="2"/>
      <c r="Z23" s="6">
        <f t="shared" si="7"/>
        <v>5.3629763437288043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973.12</v>
      </c>
      <c r="E24" s="3"/>
      <c r="F24" s="7">
        <f t="shared" si="0"/>
        <v>2.7183527640394823E-2</v>
      </c>
      <c r="G24" s="3"/>
      <c r="H24" s="8"/>
      <c r="I24" s="3"/>
      <c r="J24" s="7">
        <f t="shared" si="1"/>
        <v>0</v>
      </c>
      <c r="K24" s="3"/>
      <c r="L24" s="8">
        <f t="shared" si="2"/>
        <v>973.12</v>
      </c>
      <c r="M24" s="3"/>
      <c r="N24" s="7">
        <f t="shared" si="3"/>
        <v>0</v>
      </c>
      <c r="O24" s="12"/>
      <c r="P24" s="8">
        <v>3785.08</v>
      </c>
      <c r="Q24" s="3"/>
      <c r="R24" s="7">
        <f t="shared" si="4"/>
        <v>1.6640868370303857E-2</v>
      </c>
      <c r="S24" s="3"/>
      <c r="T24" s="8">
        <v>159.12</v>
      </c>
      <c r="U24" s="3"/>
      <c r="V24" s="7">
        <f t="shared" si="5"/>
        <v>0</v>
      </c>
      <c r="W24" s="3"/>
      <c r="X24" s="8">
        <f t="shared" si="6"/>
        <v>3625.96</v>
      </c>
      <c r="Y24" s="3"/>
      <c r="Z24" s="7">
        <f t="shared" si="7"/>
        <v>22.787581699346404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208.54</v>
      </c>
      <c r="E25" s="3"/>
      <c r="F25" s="7">
        <f t="shared" si="0"/>
        <v>5.8254407001479122E-3</v>
      </c>
      <c r="G25" s="3"/>
      <c r="H25" s="8"/>
      <c r="I25" s="3"/>
      <c r="J25" s="7">
        <f t="shared" si="1"/>
        <v>0</v>
      </c>
      <c r="K25" s="3"/>
      <c r="L25" s="8">
        <f t="shared" si="2"/>
        <v>208.54</v>
      </c>
      <c r="M25" s="3"/>
      <c r="N25" s="7">
        <f t="shared" si="3"/>
        <v>0</v>
      </c>
      <c r="O25" s="12"/>
      <c r="P25" s="8">
        <v>1224.04</v>
      </c>
      <c r="Q25" s="3"/>
      <c r="R25" s="7">
        <f t="shared" si="4"/>
        <v>5.3814155896273613E-3</v>
      </c>
      <c r="S25" s="3"/>
      <c r="T25" s="8"/>
      <c r="U25" s="3"/>
      <c r="V25" s="7">
        <f t="shared" si="5"/>
        <v>0</v>
      </c>
      <c r="W25" s="3"/>
      <c r="X25" s="8">
        <f t="shared" si="6"/>
        <v>1224.04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1752.24</v>
      </c>
      <c r="E26" s="3"/>
      <c r="F26" s="7">
        <f t="shared" si="0"/>
        <v>4.8947780821075947E-2</v>
      </c>
      <c r="G26" s="3"/>
      <c r="H26" s="8"/>
      <c r="I26" s="3"/>
      <c r="J26" s="7">
        <f t="shared" si="1"/>
        <v>0</v>
      </c>
      <c r="K26" s="3"/>
      <c r="L26" s="8">
        <f t="shared" si="2"/>
        <v>1752.24</v>
      </c>
      <c r="M26" s="3"/>
      <c r="N26" s="7">
        <f t="shared" si="3"/>
        <v>0</v>
      </c>
      <c r="O26" s="12"/>
      <c r="P26" s="8">
        <v>7008.96</v>
      </c>
      <c r="Q26" s="3"/>
      <c r="R26" s="7">
        <f t="shared" si="4"/>
        <v>3.0814455909181554E-2</v>
      </c>
      <c r="S26" s="3"/>
      <c r="T26" s="8">
        <v>1915.63</v>
      </c>
      <c r="U26" s="3"/>
      <c r="V26" s="7">
        <f t="shared" si="5"/>
        <v>0</v>
      </c>
      <c r="W26" s="3"/>
      <c r="X26" s="8">
        <f t="shared" si="6"/>
        <v>5093.33</v>
      </c>
      <c r="Y26" s="3"/>
      <c r="Z26" s="7">
        <f t="shared" si="7"/>
        <v>2.6588276441692811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36.64</v>
      </c>
      <c r="E27" s="3"/>
      <c r="F27" s="7">
        <f t="shared" si="0"/>
        <v>1.0235165783706701E-3</v>
      </c>
      <c r="G27" s="3"/>
      <c r="H27" s="8"/>
      <c r="I27" s="3"/>
      <c r="J27" s="7">
        <f t="shared" si="1"/>
        <v>0</v>
      </c>
      <c r="K27" s="3"/>
      <c r="L27" s="8">
        <f t="shared" si="2"/>
        <v>36.64</v>
      </c>
      <c r="M27" s="3"/>
      <c r="N27" s="7">
        <f t="shared" si="3"/>
        <v>0</v>
      </c>
      <c r="O27" s="12"/>
      <c r="P27" s="8">
        <v>194.35</v>
      </c>
      <c r="Q27" s="3"/>
      <c r="R27" s="7">
        <f t="shared" si="4"/>
        <v>8.5444766498159999E-4</v>
      </c>
      <c r="S27" s="3"/>
      <c r="T27" s="8"/>
      <c r="U27" s="3"/>
      <c r="V27" s="7">
        <f t="shared" si="5"/>
        <v>0</v>
      </c>
      <c r="W27" s="3"/>
      <c r="X27" s="8">
        <f t="shared" si="6"/>
        <v>194.35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794.87</v>
      </c>
      <c r="E28" s="3"/>
      <c r="F28" s="7">
        <f t="shared" si="0"/>
        <v>2.220422005047747E-2</v>
      </c>
      <c r="G28" s="3"/>
      <c r="H28" s="8"/>
      <c r="I28" s="3"/>
      <c r="J28" s="7">
        <f t="shared" si="1"/>
        <v>0</v>
      </c>
      <c r="K28" s="3"/>
      <c r="L28" s="8">
        <f t="shared" si="2"/>
        <v>794.87</v>
      </c>
      <c r="M28" s="3"/>
      <c r="N28" s="7">
        <f t="shared" si="3"/>
        <v>0</v>
      </c>
      <c r="O28" s="12"/>
      <c r="P28" s="8">
        <v>2439.41</v>
      </c>
      <c r="Q28" s="3"/>
      <c r="R28" s="7">
        <f t="shared" si="4"/>
        <v>1.072471406448554E-2</v>
      </c>
      <c r="S28" s="3"/>
      <c r="T28" s="8">
        <v>458.89</v>
      </c>
      <c r="U28" s="3"/>
      <c r="V28" s="7">
        <f t="shared" si="5"/>
        <v>0</v>
      </c>
      <c r="W28" s="3"/>
      <c r="X28" s="8">
        <f t="shared" si="6"/>
        <v>1980.52</v>
      </c>
      <c r="Y28" s="3"/>
      <c r="Z28" s="7">
        <f t="shared" si="7"/>
        <v>4.3158926975963743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552.66</v>
      </c>
      <c r="E29" s="3"/>
      <c r="F29" s="7">
        <f t="shared" si="0"/>
        <v>1.5438227953120481E-2</v>
      </c>
      <c r="G29" s="3"/>
      <c r="H29" s="8"/>
      <c r="I29" s="3"/>
      <c r="J29" s="7">
        <f t="shared" si="1"/>
        <v>0</v>
      </c>
      <c r="K29" s="3"/>
      <c r="L29" s="8">
        <f t="shared" si="2"/>
        <v>552.66</v>
      </c>
      <c r="M29" s="3"/>
      <c r="N29" s="7">
        <f t="shared" si="3"/>
        <v>0</v>
      </c>
      <c r="O29" s="12"/>
      <c r="P29" s="8">
        <v>1657.98</v>
      </c>
      <c r="Q29" s="3"/>
      <c r="R29" s="7">
        <f t="shared" si="4"/>
        <v>7.2892057606698908E-3</v>
      </c>
      <c r="S29" s="3"/>
      <c r="T29" s="8">
        <v>152.1</v>
      </c>
      <c r="U29" s="3"/>
      <c r="V29" s="7">
        <f t="shared" si="5"/>
        <v>0</v>
      </c>
      <c r="W29" s="3"/>
      <c r="X29" s="8">
        <f t="shared" si="6"/>
        <v>1505.88</v>
      </c>
      <c r="Y29" s="3"/>
      <c r="Z29" s="7">
        <f t="shared" si="7"/>
        <v>9.9005917159763328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348.6</v>
      </c>
      <c r="E30" s="3"/>
      <c r="F30" s="7">
        <f t="shared" si="0"/>
        <v>9.7379333848257518E-3</v>
      </c>
      <c r="G30" s="3"/>
      <c r="H30" s="8"/>
      <c r="I30" s="3"/>
      <c r="J30" s="7">
        <f t="shared" si="1"/>
        <v>0</v>
      </c>
      <c r="K30" s="3"/>
      <c r="L30" s="8">
        <f t="shared" si="2"/>
        <v>348.6</v>
      </c>
      <c r="M30" s="3"/>
      <c r="N30" s="7">
        <f t="shared" si="3"/>
        <v>0</v>
      </c>
      <c r="O30" s="12"/>
      <c r="P30" s="8">
        <v>1045.8</v>
      </c>
      <c r="Q30" s="3"/>
      <c r="R30" s="7">
        <f t="shared" si="4"/>
        <v>4.5977945358258668E-3</v>
      </c>
      <c r="S30" s="3"/>
      <c r="T30" s="8">
        <v>203.98</v>
      </c>
      <c r="U30" s="3"/>
      <c r="V30" s="7">
        <f t="shared" si="5"/>
        <v>0</v>
      </c>
      <c r="W30" s="3"/>
      <c r="X30" s="8">
        <f t="shared" si="6"/>
        <v>841.81999999999994</v>
      </c>
      <c r="Y30" s="3"/>
      <c r="Z30" s="7">
        <f t="shared" si="7"/>
        <v>4.1269732326698696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244.23</v>
      </c>
      <c r="E31" s="3"/>
      <c r="F31" s="7">
        <f t="shared" si="0"/>
        <v>6.8224195943086437E-3</v>
      </c>
      <c r="G31" s="3"/>
      <c r="H31" s="8"/>
      <c r="I31" s="3"/>
      <c r="J31" s="7">
        <f t="shared" si="1"/>
        <v>0</v>
      </c>
      <c r="K31" s="3"/>
      <c r="L31" s="8">
        <f t="shared" si="2"/>
        <v>244.23</v>
      </c>
      <c r="M31" s="3"/>
      <c r="N31" s="7">
        <f t="shared" si="3"/>
        <v>0</v>
      </c>
      <c r="O31" s="12"/>
      <c r="P31" s="8">
        <v>1031.5999999999999</v>
      </c>
      <c r="Q31" s="3"/>
      <c r="R31" s="7">
        <f t="shared" si="4"/>
        <v>4.5353651206329736E-3</v>
      </c>
      <c r="S31" s="3"/>
      <c r="T31" s="8"/>
      <c r="U31" s="3"/>
      <c r="V31" s="7">
        <f t="shared" si="5"/>
        <v>0</v>
      </c>
      <c r="W31" s="3"/>
      <c r="X31" s="8">
        <f t="shared" si="6"/>
        <v>1031.5999999999999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18141.78</v>
      </c>
      <c r="E32" s="2"/>
      <c r="F32" s="6">
        <f t="shared" si="0"/>
        <v>0.50677981962755059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18141.78</v>
      </c>
      <c r="M32" s="2"/>
      <c r="N32" s="6">
        <f t="shared" si="3"/>
        <v>0</v>
      </c>
      <c r="O32" s="14"/>
      <c r="P32" s="2">
        <f>SUM(OSRRefP22_1x_0)</f>
        <v>80188.3</v>
      </c>
      <c r="Q32" s="2"/>
      <c r="R32" s="6">
        <f t="shared" si="4"/>
        <v>0.35254286438818644</v>
      </c>
      <c r="S32" s="2"/>
      <c r="T32" s="2">
        <f>SUM(OSRRefT22_1x_0)</f>
        <v>884</v>
      </c>
      <c r="U32" s="2"/>
      <c r="V32" s="6">
        <f t="shared" si="5"/>
        <v>0</v>
      </c>
      <c r="W32" s="2"/>
      <c r="X32" s="2">
        <f t="shared" si="6"/>
        <v>79304.3</v>
      </c>
      <c r="Y32" s="2"/>
      <c r="Z32" s="6">
        <f t="shared" si="7"/>
        <v>89.710746606334851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5541.93</v>
      </c>
      <c r="E33" s="3"/>
      <c r="F33" s="7">
        <f t="shared" si="0"/>
        <v>0.15481051395113993</v>
      </c>
      <c r="G33" s="3"/>
      <c r="H33" s="8"/>
      <c r="I33" s="3"/>
      <c r="J33" s="7">
        <f t="shared" si="1"/>
        <v>0</v>
      </c>
      <c r="K33" s="3"/>
      <c r="L33" s="8">
        <f t="shared" si="2"/>
        <v>5541.93</v>
      </c>
      <c r="M33" s="3"/>
      <c r="N33" s="7">
        <f t="shared" si="3"/>
        <v>0</v>
      </c>
      <c r="O33" s="12"/>
      <c r="P33" s="8">
        <v>21161.54</v>
      </c>
      <c r="Q33" s="3"/>
      <c r="R33" s="7">
        <f t="shared" si="4"/>
        <v>9.3035392026831643E-2</v>
      </c>
      <c r="S33" s="3"/>
      <c r="T33" s="8">
        <v>884</v>
      </c>
      <c r="U33" s="3"/>
      <c r="V33" s="7">
        <f t="shared" si="5"/>
        <v>0</v>
      </c>
      <c r="W33" s="3"/>
      <c r="X33" s="8">
        <f t="shared" si="6"/>
        <v>20277.54</v>
      </c>
      <c r="Y33" s="3"/>
      <c r="Z33" s="7">
        <f t="shared" si="7"/>
        <v>22.938393665158372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5012.8</v>
      </c>
      <c r="E34" s="3"/>
      <c r="F34" s="7">
        <f t="shared" si="0"/>
        <v>0.14002958253429298</v>
      </c>
      <c r="G34" s="3"/>
      <c r="H34" s="8"/>
      <c r="I34" s="3"/>
      <c r="J34" s="7">
        <f t="shared" si="1"/>
        <v>0</v>
      </c>
      <c r="K34" s="3"/>
      <c r="L34" s="8">
        <f t="shared" si="2"/>
        <v>5012.8</v>
      </c>
      <c r="M34" s="3"/>
      <c r="N34" s="7">
        <f t="shared" si="3"/>
        <v>0</v>
      </c>
      <c r="O34" s="12"/>
      <c r="P34" s="8">
        <v>25581.53</v>
      </c>
      <c r="Q34" s="3"/>
      <c r="R34" s="7">
        <f t="shared" si="4"/>
        <v>0.11246760265066504</v>
      </c>
      <c r="S34" s="3"/>
      <c r="T34" s="8"/>
      <c r="U34" s="3"/>
      <c r="V34" s="7">
        <f t="shared" si="5"/>
        <v>0</v>
      </c>
      <c r="W34" s="3"/>
      <c r="X34" s="8">
        <f t="shared" si="6"/>
        <v>25581.53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7587.05</v>
      </c>
      <c r="E35" s="3"/>
      <c r="F35" s="7">
        <f t="shared" si="0"/>
        <v>0.21193972314211768</v>
      </c>
      <c r="G35" s="3"/>
      <c r="H35" s="8"/>
      <c r="I35" s="3"/>
      <c r="J35" s="7">
        <f t="shared" si="1"/>
        <v>0</v>
      </c>
      <c r="K35" s="3"/>
      <c r="L35" s="8">
        <f t="shared" si="2"/>
        <v>7587.05</v>
      </c>
      <c r="M35" s="3"/>
      <c r="N35" s="7">
        <f t="shared" si="3"/>
        <v>0</v>
      </c>
      <c r="O35" s="12"/>
      <c r="P35" s="8">
        <v>33445.230000000003</v>
      </c>
      <c r="Q35" s="3"/>
      <c r="R35" s="7">
        <f t="shared" si="4"/>
        <v>0.1470398697106898</v>
      </c>
      <c r="S35" s="3"/>
      <c r="T35" s="8"/>
      <c r="U35" s="3"/>
      <c r="V35" s="7">
        <f t="shared" si="5"/>
        <v>0</v>
      </c>
      <c r="W35" s="3"/>
      <c r="X35" s="8">
        <f t="shared" si="6"/>
        <v>33445.230000000003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","Advertising/Promo                                 ")</f>
        <v xml:space="preserve">     Advertising/Promo                                 </v>
      </c>
      <c r="C36" s="14"/>
      <c r="D36" s="2">
        <f>SUM(OSRRefD22_2x_0)</f>
        <v>0</v>
      </c>
      <c r="E36" s="2"/>
      <c r="F36" s="6">
        <f t="shared" si="0"/>
        <v>0</v>
      </c>
      <c r="G36" s="2"/>
      <c r="H36" s="2">
        <f>SUM(OSRRefH22_2x_0)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SUM(OSRRefP22_2x_0)</f>
        <v>91.22</v>
      </c>
      <c r="Q36" s="2"/>
      <c r="R36" s="6">
        <f t="shared" si="4"/>
        <v>4.0104304604899178E-4</v>
      </c>
      <c r="S36" s="2"/>
      <c r="T36" s="2">
        <f>SUM(OSRRefT22_2x_0)</f>
        <v>0</v>
      </c>
      <c r="U36" s="2"/>
      <c r="V36" s="6">
        <f t="shared" si="5"/>
        <v>0</v>
      </c>
      <c r="W36" s="2"/>
      <c r="X36" s="2">
        <f t="shared" si="6"/>
        <v>91.22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","6362"," - ","ADVERTISING EXPENSE")</f>
        <v xml:space="preserve">          6362 - ADVERTISING EXPENSE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91.22</v>
      </c>
      <c r="Q37" s="3"/>
      <c r="R37" s="7">
        <f t="shared" si="4"/>
        <v>4.0104304604899178E-4</v>
      </c>
      <c r="S37" s="3"/>
      <c r="T37" s="8"/>
      <c r="U37" s="3"/>
      <c r="V37" s="7">
        <f t="shared" si="5"/>
        <v>0</v>
      </c>
      <c r="W37" s="3"/>
      <c r="X37" s="8">
        <f t="shared" si="6"/>
        <v>91.22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","Bad Debts/Over/Short                              ")</f>
        <v xml:space="preserve">     Bad Debts/Over/Short                              </v>
      </c>
      <c r="C38" s="14"/>
      <c r="D38" s="2">
        <f>SUM(OSRRefD22_3x_0)</f>
        <v>0.14000000000000001</v>
      </c>
      <c r="E38" s="2"/>
      <c r="F38" s="6">
        <f t="shared" si="0"/>
        <v>3.910816620411949E-6</v>
      </c>
      <c r="G38" s="2"/>
      <c r="H38" s="2">
        <f>SUM(OSRRefH22_3x_0)</f>
        <v>0</v>
      </c>
      <c r="I38" s="2"/>
      <c r="J38" s="6">
        <f t="shared" si="1"/>
        <v>0</v>
      </c>
      <c r="K38" s="2"/>
      <c r="L38" s="2">
        <f t="shared" si="2"/>
        <v>0.14000000000000001</v>
      </c>
      <c r="M38" s="2"/>
      <c r="N38" s="6">
        <f t="shared" si="3"/>
        <v>0</v>
      </c>
      <c r="O38" s="14"/>
      <c r="P38" s="2">
        <f>SUM(OSRRefP22_3x_0)</f>
        <v>18.13</v>
      </c>
      <c r="Q38" s="2"/>
      <c r="R38" s="6">
        <f t="shared" si="4"/>
        <v>7.9707415313179356E-5</v>
      </c>
      <c r="S38" s="2"/>
      <c r="T38" s="2">
        <f>SUM(OSRRefT22_3x_0)</f>
        <v>0</v>
      </c>
      <c r="U38" s="2"/>
      <c r="V38" s="6">
        <f t="shared" si="5"/>
        <v>0</v>
      </c>
      <c r="W38" s="2"/>
      <c r="X38" s="2">
        <f t="shared" si="6"/>
        <v>18.13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","6272"," - ","CASH (OVER/SHORT)")</f>
        <v xml:space="preserve">          6272 - CASH (OVER/SHORT)</v>
      </c>
      <c r="C39" s="12"/>
      <c r="D39" s="8">
        <v>0.14000000000000001</v>
      </c>
      <c r="E39" s="3"/>
      <c r="F39" s="7">
        <f t="shared" si="0"/>
        <v>3.910816620411949E-6</v>
      </c>
      <c r="G39" s="3"/>
      <c r="H39" s="8"/>
      <c r="I39" s="3"/>
      <c r="J39" s="7">
        <f t="shared" si="1"/>
        <v>0</v>
      </c>
      <c r="K39" s="3"/>
      <c r="L39" s="8">
        <f t="shared" si="2"/>
        <v>0.14000000000000001</v>
      </c>
      <c r="M39" s="3"/>
      <c r="N39" s="7">
        <f t="shared" si="3"/>
        <v>0</v>
      </c>
      <c r="O39" s="12"/>
      <c r="P39" s="8">
        <v>18.13</v>
      </c>
      <c r="Q39" s="3"/>
      <c r="R39" s="7">
        <f t="shared" si="4"/>
        <v>7.9707415313179356E-5</v>
      </c>
      <c r="S39" s="3"/>
      <c r="T39" s="8"/>
      <c r="U39" s="3"/>
      <c r="V39" s="7">
        <f t="shared" si="5"/>
        <v>0</v>
      </c>
      <c r="W39" s="3"/>
      <c r="X39" s="8">
        <f t="shared" si="6"/>
        <v>18.13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SUM(OSRRefD22_4x_0)</f>
        <v>2700.03</v>
      </c>
      <c r="E40" s="2"/>
      <c r="F40" s="6">
        <f t="shared" si="0"/>
        <v>7.5423729997220523E-2</v>
      </c>
      <c r="G40" s="2"/>
      <c r="H40" s="2">
        <f>SUM(OSRRefH22_4x_0)</f>
        <v>0</v>
      </c>
      <c r="I40" s="2"/>
      <c r="J40" s="6">
        <f t="shared" si="1"/>
        <v>0</v>
      </c>
      <c r="K40" s="2"/>
      <c r="L40" s="2">
        <f t="shared" si="2"/>
        <v>2700.03</v>
      </c>
      <c r="M40" s="2"/>
      <c r="N40" s="6">
        <f t="shared" si="3"/>
        <v>0</v>
      </c>
      <c r="O40" s="14"/>
      <c r="P40" s="2">
        <f>SUM(OSRRefP22_4x_0)</f>
        <v>10423.93</v>
      </c>
      <c r="Q40" s="2"/>
      <c r="R40" s="6">
        <f t="shared" si="4"/>
        <v>4.582815872617263E-2</v>
      </c>
      <c r="S40" s="2"/>
      <c r="T40" s="2">
        <f>SUM(OSRRefT22_4x_0)</f>
        <v>0</v>
      </c>
      <c r="U40" s="2"/>
      <c r="V40" s="6">
        <f t="shared" si="5"/>
        <v>0</v>
      </c>
      <c r="W40" s="2"/>
      <c r="X40" s="2">
        <f t="shared" si="6"/>
        <v>10423.93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8">
        <v>2700.03</v>
      </c>
      <c r="E41" s="3"/>
      <c r="F41" s="7">
        <f t="shared" si="0"/>
        <v>7.5423729997220523E-2</v>
      </c>
      <c r="G41" s="3"/>
      <c r="H41" s="8"/>
      <c r="I41" s="3"/>
      <c r="J41" s="7">
        <f t="shared" si="1"/>
        <v>0</v>
      </c>
      <c r="K41" s="3"/>
      <c r="L41" s="8">
        <f t="shared" si="2"/>
        <v>2700.03</v>
      </c>
      <c r="M41" s="3"/>
      <c r="N41" s="7">
        <f t="shared" si="3"/>
        <v>0</v>
      </c>
      <c r="O41" s="12"/>
      <c r="P41" s="8">
        <v>10423.93</v>
      </c>
      <c r="Q41" s="3"/>
      <c r="R41" s="7">
        <f t="shared" si="4"/>
        <v>4.582815872617263E-2</v>
      </c>
      <c r="S41" s="3"/>
      <c r="T41" s="8"/>
      <c r="U41" s="3"/>
      <c r="V41" s="7">
        <f t="shared" si="5"/>
        <v>0</v>
      </c>
      <c r="W41" s="3"/>
      <c r="X41" s="8">
        <f t="shared" si="6"/>
        <v>10423.93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SUM(OSRRefD22_5x_0)</f>
        <v>5471.21</v>
      </c>
      <c r="E42" s="2"/>
      <c r="F42" s="6">
        <f t="shared" si="0"/>
        <v>0.15283499286974325</v>
      </c>
      <c r="G42" s="2"/>
      <c r="H42" s="2">
        <f>SUM(OSRRefH22_5x_0)</f>
        <v>5471.21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SUM(OSRRefP22_5x_0)</f>
        <v>54712.1</v>
      </c>
      <c r="Q42" s="2"/>
      <c r="R42" s="6">
        <f t="shared" si="4"/>
        <v>0.24053833851937123</v>
      </c>
      <c r="S42" s="2"/>
      <c r="T42" s="2">
        <f>SUM(OSRRefT22_5x_0)</f>
        <v>55157.599999999999</v>
      </c>
      <c r="U42" s="2"/>
      <c r="V42" s="6">
        <f t="shared" si="5"/>
        <v>0</v>
      </c>
      <c r="W42" s="2"/>
      <c r="X42" s="2">
        <f t="shared" si="6"/>
        <v>-445.5</v>
      </c>
      <c r="Y42" s="2"/>
      <c r="Z42" s="6">
        <f t="shared" si="7"/>
        <v>-8.076856135872482E-3</v>
      </c>
    </row>
    <row r="43" spans="1:26" s="69" customFormat="1" ht="15" hidden="1" customHeight="1" outlineLevel="2" x14ac:dyDescent="0.3">
      <c r="A43" s="26"/>
      <c r="B43" s="12" t="str">
        <f>CONCATENATE("          ","6321"," - ","BUILDING DEPRECIATION")</f>
        <v xml:space="preserve">          6321 - BUILDING DEPRECIATION</v>
      </c>
      <c r="C43" s="12"/>
      <c r="D43" s="8">
        <v>5080.51</v>
      </c>
      <c r="E43" s="3"/>
      <c r="F43" s="7">
        <f t="shared" si="0"/>
        <v>0.14192102105835078</v>
      </c>
      <c r="G43" s="3"/>
      <c r="H43" s="8">
        <v>5080.51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50805.1</v>
      </c>
      <c r="Q43" s="3"/>
      <c r="R43" s="7">
        <f t="shared" si="4"/>
        <v>0.22336145646594641</v>
      </c>
      <c r="S43" s="3"/>
      <c r="T43" s="8">
        <v>50805.1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390.7</v>
      </c>
      <c r="E44" s="3"/>
      <c r="F44" s="7">
        <f t="shared" si="0"/>
        <v>1.0913971811392488E-2</v>
      </c>
      <c r="G44" s="3"/>
      <c r="H44" s="8">
        <v>390.7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3907</v>
      </c>
      <c r="Q44" s="3"/>
      <c r="R44" s="7">
        <f t="shared" si="4"/>
        <v>1.7176882053424807E-2</v>
      </c>
      <c r="S44" s="3"/>
      <c r="T44" s="8">
        <v>4352.5</v>
      </c>
      <c r="U44" s="3"/>
      <c r="V44" s="7">
        <f t="shared" si="5"/>
        <v>0</v>
      </c>
      <c r="W44" s="3"/>
      <c r="X44" s="8">
        <f t="shared" si="6"/>
        <v>-445.5</v>
      </c>
      <c r="Y44" s="3"/>
      <c r="Z44" s="7">
        <f t="shared" si="7"/>
        <v>-0.10235496840896037</v>
      </c>
    </row>
    <row r="45" spans="1:26" s="68" customFormat="1" ht="15" customHeight="1" outlineLevel="1" collapsed="1" x14ac:dyDescent="0.3">
      <c r="A45" s="25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SUM(OSRRefD22_6x_0)</f>
        <v>0</v>
      </c>
      <c r="E45" s="2"/>
      <c r="F45" s="6">
        <f t="shared" si="0"/>
        <v>0</v>
      </c>
      <c r="G45" s="2"/>
      <c r="H45" s="2">
        <f>SUM(OSRRefH22_6x_0)</f>
        <v>176.4</v>
      </c>
      <c r="I45" s="2"/>
      <c r="J45" s="6">
        <f t="shared" si="1"/>
        <v>0</v>
      </c>
      <c r="K45" s="2"/>
      <c r="L45" s="2">
        <f t="shared" si="2"/>
        <v>-176.4</v>
      </c>
      <c r="M45" s="2"/>
      <c r="N45" s="6">
        <f t="shared" si="3"/>
        <v>-1</v>
      </c>
      <c r="O45" s="14"/>
      <c r="P45" s="2">
        <f>SUM(OSRRefP22_6x_0)</f>
        <v>0</v>
      </c>
      <c r="Q45" s="2"/>
      <c r="R45" s="6">
        <f t="shared" si="4"/>
        <v>0</v>
      </c>
      <c r="S45" s="2"/>
      <c r="T45" s="2">
        <f>SUM(OSRRefT22_6x_0)</f>
        <v>605.35</v>
      </c>
      <c r="U45" s="2"/>
      <c r="V45" s="6">
        <f t="shared" si="5"/>
        <v>0</v>
      </c>
      <c r="W45" s="2"/>
      <c r="X45" s="2">
        <f t="shared" si="6"/>
        <v>-605.35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6"/>
      <c r="B46" s="12" t="str">
        <f>CONCATENATE("          ","6351"," - ","EQUIPMENT RENTAL")</f>
        <v xml:space="preserve">          6351 - EQUIPMENT RENTAL</v>
      </c>
      <c r="C46" s="12"/>
      <c r="D46" s="8"/>
      <c r="E46" s="3"/>
      <c r="F46" s="7">
        <f t="shared" si="0"/>
        <v>0</v>
      </c>
      <c r="G46" s="3"/>
      <c r="H46" s="8">
        <v>176.4</v>
      </c>
      <c r="I46" s="3"/>
      <c r="J46" s="7">
        <f t="shared" si="1"/>
        <v>0</v>
      </c>
      <c r="K46" s="3"/>
      <c r="L46" s="8">
        <f t="shared" si="2"/>
        <v>-176.4</v>
      </c>
      <c r="M46" s="3"/>
      <c r="N46" s="7">
        <f t="shared" si="3"/>
        <v>-1</v>
      </c>
      <c r="O46" s="12"/>
      <c r="P46" s="8"/>
      <c r="Q46" s="3"/>
      <c r="R46" s="7">
        <f t="shared" si="4"/>
        <v>0</v>
      </c>
      <c r="S46" s="3"/>
      <c r="T46" s="8">
        <v>605.35</v>
      </c>
      <c r="U46" s="3"/>
      <c r="V46" s="7">
        <f t="shared" si="5"/>
        <v>0</v>
      </c>
      <c r="W46" s="3"/>
      <c r="X46" s="8">
        <f t="shared" si="6"/>
        <v>-605.35</v>
      </c>
      <c r="Y46" s="3"/>
      <c r="Z46" s="7">
        <f t="shared" si="7"/>
        <v>-1</v>
      </c>
    </row>
    <row r="47" spans="1:26" s="68" customFormat="1" ht="15" customHeight="1" outlineLevel="1" collapsed="1" x14ac:dyDescent="0.3">
      <c r="A47" s="25"/>
      <c r="B47" s="14" t="str">
        <f>CONCATENATE("     ","General                                           ")</f>
        <v xml:space="preserve">     General                                           </v>
      </c>
      <c r="C47" s="14"/>
      <c r="D47" s="2">
        <f>SUM(OSRRefD22_7x_0)</f>
        <v>0</v>
      </c>
      <c r="E47" s="2"/>
      <c r="F47" s="6">
        <f t="shared" si="0"/>
        <v>0</v>
      </c>
      <c r="G47" s="2"/>
      <c r="H47" s="2">
        <f>SUM(OSRRefH22_7x_0)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SUM(OSRRefP22_7x_0)</f>
        <v>1002.45</v>
      </c>
      <c r="Q47" s="2"/>
      <c r="R47" s="6">
        <f t="shared" si="4"/>
        <v>4.4072089619799585E-3</v>
      </c>
      <c r="S47" s="2"/>
      <c r="T47" s="2">
        <f>SUM(OSRRefT22_7x_0)</f>
        <v>914.55</v>
      </c>
      <c r="U47" s="2"/>
      <c r="V47" s="6">
        <f t="shared" si="5"/>
        <v>0</v>
      </c>
      <c r="W47" s="2"/>
      <c r="X47" s="2">
        <f t="shared" si="6"/>
        <v>87.900000000000091</v>
      </c>
      <c r="Y47" s="2"/>
      <c r="Z47" s="6">
        <f t="shared" si="7"/>
        <v>9.6112842381499197E-2</v>
      </c>
    </row>
    <row r="48" spans="1:26" s="69" customFormat="1" ht="15" hidden="1" customHeight="1" outlineLevel="2" x14ac:dyDescent="0.3">
      <c r="A48" s="26"/>
      <c r="B48" s="12" t="str">
        <f>CONCATENATE("          ","6279"," - ","GENERAL EXPENSE")</f>
        <v xml:space="preserve">          6279 - GENERAL EXPENSE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1002.45</v>
      </c>
      <c r="Q48" s="3"/>
      <c r="R48" s="7">
        <f t="shared" si="4"/>
        <v>4.4072089619799585E-3</v>
      </c>
      <c r="S48" s="3"/>
      <c r="T48" s="8">
        <v>914.55</v>
      </c>
      <c r="U48" s="3"/>
      <c r="V48" s="7">
        <f t="shared" si="5"/>
        <v>0</v>
      </c>
      <c r="W48" s="3"/>
      <c r="X48" s="8">
        <f t="shared" si="6"/>
        <v>87.900000000000091</v>
      </c>
      <c r="Y48" s="3"/>
      <c r="Z48" s="7">
        <f t="shared" si="7"/>
        <v>9.6112842381499197E-2</v>
      </c>
    </row>
    <row r="49" spans="1:26" s="68" customFormat="1" ht="15" customHeight="1" outlineLevel="1" collapsed="1" x14ac:dyDescent="0.3">
      <c r="A49" s="25"/>
      <c r="B49" s="14" t="str">
        <f>CONCATENATE("     ","Insurance                                         ")</f>
        <v xml:space="preserve">     Insurance                                         </v>
      </c>
      <c r="C49" s="14"/>
      <c r="D49" s="2">
        <f>SUM(OSRRefD22_8x_0)</f>
        <v>331.01</v>
      </c>
      <c r="E49" s="2"/>
      <c r="F49" s="6">
        <f t="shared" si="0"/>
        <v>9.246567210875422E-3</v>
      </c>
      <c r="G49" s="2"/>
      <c r="H49" s="2">
        <f>SUM(OSRRefH22_8x_0)</f>
        <v>243.54</v>
      </c>
      <c r="I49" s="2"/>
      <c r="J49" s="6">
        <f t="shared" si="1"/>
        <v>0</v>
      </c>
      <c r="K49" s="2"/>
      <c r="L49" s="2">
        <f t="shared" si="2"/>
        <v>87.47</v>
      </c>
      <c r="M49" s="2"/>
      <c r="N49" s="6">
        <f t="shared" si="3"/>
        <v>0.35916071281924944</v>
      </c>
      <c r="O49" s="14"/>
      <c r="P49" s="2">
        <f>SUM(OSRRefP22_8x_0)</f>
        <v>3310.1</v>
      </c>
      <c r="Q49" s="2"/>
      <c r="R49" s="6">
        <f t="shared" si="4"/>
        <v>1.4552648396478489E-2</v>
      </c>
      <c r="S49" s="2"/>
      <c r="T49" s="2">
        <f>SUM(OSRRefT22_8x_0)</f>
        <v>2435.4</v>
      </c>
      <c r="U49" s="2"/>
      <c r="V49" s="6">
        <f t="shared" si="5"/>
        <v>0</v>
      </c>
      <c r="W49" s="2"/>
      <c r="X49" s="2">
        <f t="shared" si="6"/>
        <v>874.69999999999982</v>
      </c>
      <c r="Y49" s="2"/>
      <c r="Z49" s="6">
        <f t="shared" si="7"/>
        <v>0.35916071281924933</v>
      </c>
    </row>
    <row r="50" spans="1:26" s="69" customFormat="1" ht="15" hidden="1" customHeight="1" outlineLevel="2" x14ac:dyDescent="0.3">
      <c r="A50" s="26"/>
      <c r="B50" s="12" t="str">
        <f>CONCATENATE("          ","6314"," - ","LIABILITY INSURANCE")</f>
        <v xml:space="preserve">          6314 - LIABILITY INSURANCE</v>
      </c>
      <c r="C50" s="12"/>
      <c r="D50" s="8">
        <v>331.01</v>
      </c>
      <c r="E50" s="3"/>
      <c r="F50" s="7">
        <f t="shared" si="0"/>
        <v>9.246567210875422E-3</v>
      </c>
      <c r="G50" s="3"/>
      <c r="H50" s="8">
        <v>243.54</v>
      </c>
      <c r="I50" s="3"/>
      <c r="J50" s="7">
        <f t="shared" si="1"/>
        <v>0</v>
      </c>
      <c r="K50" s="3"/>
      <c r="L50" s="8">
        <f t="shared" si="2"/>
        <v>87.47</v>
      </c>
      <c r="M50" s="3"/>
      <c r="N50" s="7">
        <f t="shared" si="3"/>
        <v>0.35916071281924944</v>
      </c>
      <c r="O50" s="12"/>
      <c r="P50" s="8">
        <v>3310.1</v>
      </c>
      <c r="Q50" s="3"/>
      <c r="R50" s="7">
        <f t="shared" si="4"/>
        <v>1.4552648396478489E-2</v>
      </c>
      <c r="S50" s="3"/>
      <c r="T50" s="8">
        <v>2435.4</v>
      </c>
      <c r="U50" s="3"/>
      <c r="V50" s="7">
        <f t="shared" si="5"/>
        <v>0</v>
      </c>
      <c r="W50" s="3"/>
      <c r="X50" s="8">
        <f t="shared" si="6"/>
        <v>874.69999999999982</v>
      </c>
      <c r="Y50" s="3"/>
      <c r="Z50" s="7">
        <f t="shared" si="7"/>
        <v>0.35916071281924933</v>
      </c>
    </row>
    <row r="51" spans="1:26" s="68" customFormat="1" ht="15" customHeight="1" outlineLevel="1" collapsed="1" x14ac:dyDescent="0.3">
      <c r="A51" s="25"/>
      <c r="B51" s="14" t="str">
        <f>CONCATENATE("     ","Interest                                          ")</f>
        <v xml:space="preserve">     Interest                                          </v>
      </c>
      <c r="C51" s="14"/>
      <c r="D51" s="2">
        <f>SUM(OSRRefD22_9x_0)</f>
        <v>3031</v>
      </c>
      <c r="E51" s="2"/>
      <c r="F51" s="6">
        <f t="shared" si="0"/>
        <v>8.4669179831918684E-2</v>
      </c>
      <c r="G51" s="2"/>
      <c r="H51" s="2">
        <f>SUM(OSRRefH22_9x_0)</f>
        <v>3213</v>
      </c>
      <c r="I51" s="2"/>
      <c r="J51" s="6">
        <f t="shared" si="1"/>
        <v>0</v>
      </c>
      <c r="K51" s="2"/>
      <c r="L51" s="2">
        <f t="shared" si="2"/>
        <v>-182</v>
      </c>
      <c r="M51" s="2"/>
      <c r="N51" s="6">
        <f t="shared" si="3"/>
        <v>-5.6644880174291937E-2</v>
      </c>
      <c r="O51" s="14"/>
      <c r="P51" s="2">
        <f>SUM(OSRRefP22_9x_0)</f>
        <v>37900</v>
      </c>
      <c r="Q51" s="2"/>
      <c r="R51" s="6">
        <f t="shared" si="4"/>
        <v>0.16662498843736887</v>
      </c>
      <c r="S51" s="2"/>
      <c r="T51" s="2">
        <f>SUM(OSRRefT22_9x_0)</f>
        <v>39346.85</v>
      </c>
      <c r="U51" s="2"/>
      <c r="V51" s="6">
        <f t="shared" si="5"/>
        <v>0</v>
      </c>
      <c r="W51" s="2"/>
      <c r="X51" s="2">
        <f t="shared" si="6"/>
        <v>-1446.8499999999985</v>
      </c>
      <c r="Y51" s="2"/>
      <c r="Z51" s="6">
        <f t="shared" si="7"/>
        <v>-3.6771685662257553E-2</v>
      </c>
    </row>
    <row r="52" spans="1:26" s="69" customFormat="1" ht="15" hidden="1" customHeight="1" outlineLevel="2" x14ac:dyDescent="0.3">
      <c r="A52" s="26"/>
      <c r="B52" s="12" t="str">
        <f>CONCATENATE("          ","6401"," - ","INTEREST EXPENSE")</f>
        <v xml:space="preserve">          6401 - INTEREST EXPENSE</v>
      </c>
      <c r="C52" s="12"/>
      <c r="D52" s="8">
        <v>3031</v>
      </c>
      <c r="E52" s="3"/>
      <c r="F52" s="7">
        <f t="shared" si="0"/>
        <v>8.4669179831918684E-2</v>
      </c>
      <c r="G52" s="3"/>
      <c r="H52" s="8">
        <v>3213</v>
      </c>
      <c r="I52" s="3"/>
      <c r="J52" s="7">
        <f t="shared" si="1"/>
        <v>0</v>
      </c>
      <c r="K52" s="3"/>
      <c r="L52" s="8">
        <f t="shared" si="2"/>
        <v>-182</v>
      </c>
      <c r="M52" s="3"/>
      <c r="N52" s="7">
        <f t="shared" si="3"/>
        <v>-5.6644880174291937E-2</v>
      </c>
      <c r="O52" s="12"/>
      <c r="P52" s="8">
        <v>37900</v>
      </c>
      <c r="Q52" s="3"/>
      <c r="R52" s="7">
        <f t="shared" si="4"/>
        <v>0.16662498843736887</v>
      </c>
      <c r="S52" s="3"/>
      <c r="T52" s="8">
        <v>39346.85</v>
      </c>
      <c r="U52" s="3"/>
      <c r="V52" s="7">
        <f t="shared" si="5"/>
        <v>0</v>
      </c>
      <c r="W52" s="3"/>
      <c r="X52" s="8">
        <f t="shared" si="6"/>
        <v>-1446.8499999999985</v>
      </c>
      <c r="Y52" s="3"/>
      <c r="Z52" s="7">
        <f t="shared" si="7"/>
        <v>-3.6771685662257553E-2</v>
      </c>
    </row>
    <row r="53" spans="1:26" s="68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SUM(OSRRefD22_10x_0)</f>
        <v>0</v>
      </c>
      <c r="E53" s="2"/>
      <c r="F53" s="6">
        <f t="shared" si="0"/>
        <v>0</v>
      </c>
      <c r="G53" s="2"/>
      <c r="H53" s="2">
        <f>SUM(OSRRefH22_10x_0)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SUM(OSRRefP22_10x_0)</f>
        <v>2894.93</v>
      </c>
      <c r="Q53" s="2"/>
      <c r="R53" s="6">
        <f t="shared" si="4"/>
        <v>1.2727379360870508E-2</v>
      </c>
      <c r="S53" s="2"/>
      <c r="T53" s="2">
        <f>SUM(OSRRefT22_10x_0)</f>
        <v>637.16000000000008</v>
      </c>
      <c r="U53" s="2"/>
      <c r="V53" s="6">
        <f t="shared" si="5"/>
        <v>0</v>
      </c>
      <c r="W53" s="2"/>
      <c r="X53" s="2">
        <f t="shared" si="6"/>
        <v>2257.7699999999995</v>
      </c>
      <c r="Y53" s="2"/>
      <c r="Z53" s="6">
        <f t="shared" si="7"/>
        <v>3.5434898612593373</v>
      </c>
    </row>
    <row r="54" spans="1:26" s="69" customFormat="1" ht="15" hidden="1" customHeight="1" outlineLevel="2" x14ac:dyDescent="0.3">
      <c r="A54" s="26"/>
      <c r="B54" s="12" t="str">
        <f>CONCATENATE("          ","6373"," - ","MAINTENANCE CONTRACTS")</f>
        <v xml:space="preserve">          6373 - MAINTENANCE CONTRACTS</v>
      </c>
      <c r="C54" s="12"/>
      <c r="D54" s="8"/>
      <c r="E54" s="3"/>
      <c r="F54" s="7">
        <f t="shared" ref="F54:F73" si="8">IF(D$12=0,0,D54/D$12)</f>
        <v>0</v>
      </c>
      <c r="G54" s="3"/>
      <c r="H54" s="8"/>
      <c r="I54" s="3"/>
      <c r="J54" s="7">
        <f t="shared" ref="J54:J73" si="9">IF(H$12=0,0,H54/H$12)</f>
        <v>0</v>
      </c>
      <c r="K54" s="3"/>
      <c r="L54" s="8">
        <f t="shared" ref="L54:L73" si="10">+D54-H54</f>
        <v>0</v>
      </c>
      <c r="M54" s="3"/>
      <c r="N54" s="7">
        <f t="shared" ref="N54:N73" si="11">IF(H54=0,0,L54/H54)</f>
        <v>0</v>
      </c>
      <c r="O54" s="12"/>
      <c r="P54" s="8">
        <v>733.68</v>
      </c>
      <c r="Q54" s="3"/>
      <c r="R54" s="7">
        <f t="shared" ref="R54:R73" si="12">IF(P$12=0,0,P54/P$12)</f>
        <v>3.2255784041353244E-3</v>
      </c>
      <c r="S54" s="3"/>
      <c r="T54" s="8">
        <v>404.16</v>
      </c>
      <c r="U54" s="3"/>
      <c r="V54" s="7">
        <f t="shared" ref="V54:V73" si="13">IF(T$12=0,0,T54/T$12)</f>
        <v>0</v>
      </c>
      <c r="W54" s="3"/>
      <c r="X54" s="8">
        <f t="shared" ref="X54:X73" si="14">+P54-T54</f>
        <v>329.51999999999992</v>
      </c>
      <c r="Y54" s="3"/>
      <c r="Z54" s="7">
        <f t="shared" ref="Z54:Z73" si="15">IF(T54=0,0,X54/T54)</f>
        <v>0.81532066508313517</v>
      </c>
    </row>
    <row r="55" spans="1:26" s="69" customFormat="1" ht="15" hidden="1" customHeight="1" outlineLevel="2" x14ac:dyDescent="0.3">
      <c r="A55" s="26"/>
      <c r="B55" s="12" t="str">
        <f>CONCATENATE("          ","6375"," - ","OUTSIDE REPAIRS &amp; MAINTENANCE")</f>
        <v xml:space="preserve">          6375 - OUTSIDE REPAIRS &amp; MAINTENANCE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2161.25</v>
      </c>
      <c r="Q55" s="3"/>
      <c r="R55" s="7">
        <f t="shared" si="12"/>
        <v>9.5018009567351836E-3</v>
      </c>
      <c r="S55" s="3"/>
      <c r="T55" s="8">
        <v>233</v>
      </c>
      <c r="U55" s="3"/>
      <c r="V55" s="7">
        <f t="shared" si="13"/>
        <v>0</v>
      </c>
      <c r="W55" s="3"/>
      <c r="X55" s="8">
        <f t="shared" si="14"/>
        <v>1928.25</v>
      </c>
      <c r="Y55" s="3"/>
      <c r="Z55" s="7">
        <f t="shared" si="15"/>
        <v>8.2757510729613735</v>
      </c>
    </row>
    <row r="56" spans="1:26" s="68" customFormat="1" ht="15" customHeight="1" outlineLevel="1" collapsed="1" x14ac:dyDescent="0.3">
      <c r="A56" s="25"/>
      <c r="B56" s="14" t="str">
        <f>CONCATENATE("     ","Services                                          ")</f>
        <v xml:space="preserve">     Services                                          </v>
      </c>
      <c r="C56" s="14"/>
      <c r="D56" s="2">
        <f>SUM(OSRRefD22_11x_0)</f>
        <v>474.17</v>
      </c>
      <c r="E56" s="2"/>
      <c r="F56" s="6">
        <f t="shared" si="8"/>
        <v>1.3245656549290954E-2</v>
      </c>
      <c r="G56" s="2"/>
      <c r="H56" s="2">
        <f>SUM(OSRRefH22_11x_0)</f>
        <v>289</v>
      </c>
      <c r="I56" s="2"/>
      <c r="J56" s="6">
        <f t="shared" si="9"/>
        <v>0</v>
      </c>
      <c r="K56" s="2"/>
      <c r="L56" s="2">
        <f t="shared" si="10"/>
        <v>185.17000000000002</v>
      </c>
      <c r="M56" s="2"/>
      <c r="N56" s="6">
        <f t="shared" si="11"/>
        <v>0.64072664359861597</v>
      </c>
      <c r="O56" s="14"/>
      <c r="P56" s="2">
        <f>SUM(OSRRefP22_11x_0)</f>
        <v>9843.2200000000012</v>
      </c>
      <c r="Q56" s="2"/>
      <c r="R56" s="6">
        <f t="shared" si="12"/>
        <v>4.3275103395421587E-2</v>
      </c>
      <c r="S56" s="2"/>
      <c r="T56" s="2">
        <f>SUM(OSRRefT22_11x_0)</f>
        <v>1950.75</v>
      </c>
      <c r="U56" s="2"/>
      <c r="V56" s="6">
        <f t="shared" si="13"/>
        <v>0</v>
      </c>
      <c r="W56" s="2"/>
      <c r="X56" s="2">
        <f t="shared" si="14"/>
        <v>7892.4700000000012</v>
      </c>
      <c r="Y56" s="2"/>
      <c r="Z56" s="6">
        <f t="shared" si="15"/>
        <v>4.0458644111239277</v>
      </c>
    </row>
    <row r="57" spans="1:26" s="69" customFormat="1" ht="15" hidden="1" customHeight="1" outlineLevel="2" x14ac:dyDescent="0.3">
      <c r="A57" s="26"/>
      <c r="B57" s="12" t="str">
        <f>CONCATENATE("          ","6282"," - ","JANITORIAL/EXTERMINATOR EXPENS")</f>
        <v xml:space="preserve">          6282 - JANITORIAL/EXTERMINATOR EXPENS</v>
      </c>
      <c r="C57" s="12"/>
      <c r="D57" s="8">
        <v>370.5</v>
      </c>
      <c r="E57" s="3"/>
      <c r="F57" s="7">
        <f t="shared" si="8"/>
        <v>1.0349696841875906E-2</v>
      </c>
      <c r="G57" s="3"/>
      <c r="H57" s="8"/>
      <c r="I57" s="3"/>
      <c r="J57" s="7">
        <f t="shared" si="9"/>
        <v>0</v>
      </c>
      <c r="K57" s="3"/>
      <c r="L57" s="8">
        <f t="shared" si="10"/>
        <v>370.5</v>
      </c>
      <c r="M57" s="3"/>
      <c r="N57" s="7">
        <f t="shared" si="11"/>
        <v>0</v>
      </c>
      <c r="O57" s="12"/>
      <c r="P57" s="8">
        <v>1717.7</v>
      </c>
      <c r="Q57" s="3"/>
      <c r="R57" s="7">
        <f t="shared" si="12"/>
        <v>7.5517610194952116E-3</v>
      </c>
      <c r="S57" s="3"/>
      <c r="T57" s="8">
        <v>786.75</v>
      </c>
      <c r="U57" s="3"/>
      <c r="V57" s="7">
        <f t="shared" si="13"/>
        <v>0</v>
      </c>
      <c r="W57" s="3"/>
      <c r="X57" s="8">
        <f t="shared" si="14"/>
        <v>930.95</v>
      </c>
      <c r="Y57" s="3"/>
      <c r="Z57" s="7">
        <f t="shared" si="15"/>
        <v>1.1832856688910074</v>
      </c>
    </row>
    <row r="58" spans="1:26" s="69" customFormat="1" ht="15" hidden="1" customHeight="1" outlineLevel="2" x14ac:dyDescent="0.3">
      <c r="A58" s="26"/>
      <c r="B58" s="12" t="str">
        <f>CONCATENATE("          ","6284"," - ","TRASH REMOVAL EXPENSE")</f>
        <v xml:space="preserve">          6284 - TRASH REMOVAL EXPENSE</v>
      </c>
      <c r="C58" s="12"/>
      <c r="D58" s="8"/>
      <c r="E58" s="3"/>
      <c r="F58" s="7">
        <f t="shared" si="8"/>
        <v>0</v>
      </c>
      <c r="G58" s="3"/>
      <c r="H58" s="8">
        <v>289</v>
      </c>
      <c r="I58" s="3"/>
      <c r="J58" s="7">
        <f t="shared" si="9"/>
        <v>0</v>
      </c>
      <c r="K58" s="3"/>
      <c r="L58" s="8">
        <f t="shared" si="10"/>
        <v>-289</v>
      </c>
      <c r="M58" s="3"/>
      <c r="N58" s="7">
        <f t="shared" si="11"/>
        <v>-1</v>
      </c>
      <c r="O58" s="12"/>
      <c r="P58" s="8"/>
      <c r="Q58" s="3"/>
      <c r="R58" s="7">
        <f t="shared" si="12"/>
        <v>0</v>
      </c>
      <c r="S58" s="3"/>
      <c r="T58" s="8">
        <v>1164</v>
      </c>
      <c r="U58" s="3"/>
      <c r="V58" s="7">
        <f t="shared" si="13"/>
        <v>0</v>
      </c>
      <c r="W58" s="3"/>
      <c r="X58" s="8">
        <f t="shared" si="14"/>
        <v>-1164</v>
      </c>
      <c r="Y58" s="3"/>
      <c r="Z58" s="7">
        <f t="shared" si="15"/>
        <v>-1</v>
      </c>
    </row>
    <row r="59" spans="1:26" s="69" customFormat="1" ht="15" hidden="1" customHeight="1" outlineLevel="2" x14ac:dyDescent="0.3">
      <c r="A59" s="26"/>
      <c r="B59" s="12" t="str">
        <f>CONCATENATE("          ","6285"," - ","JANITORIAL SERVICES")</f>
        <v xml:space="preserve">          6285 - JANITORIAL SERVICES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7286.6</v>
      </c>
      <c r="Q59" s="3"/>
      <c r="R59" s="7">
        <f t="shared" si="12"/>
        <v>3.2035082869333299E-2</v>
      </c>
      <c r="S59" s="3"/>
      <c r="T59" s="8"/>
      <c r="U59" s="3"/>
      <c r="V59" s="7">
        <f t="shared" si="13"/>
        <v>0</v>
      </c>
      <c r="W59" s="3"/>
      <c r="X59" s="8">
        <f t="shared" si="14"/>
        <v>7286.6</v>
      </c>
      <c r="Y59" s="3"/>
      <c r="Z59" s="7">
        <f t="shared" si="15"/>
        <v>0</v>
      </c>
    </row>
    <row r="60" spans="1:26" s="69" customFormat="1" ht="15" hidden="1" customHeight="1" outlineLevel="2" x14ac:dyDescent="0.3">
      <c r="A60" s="26"/>
      <c r="B60" s="12" t="str">
        <f>CONCATENATE("          ","6286"," - ","LAUNDRY EXPENSE")</f>
        <v xml:space="preserve">          6286 - LAUNDRY EXPENSE</v>
      </c>
      <c r="C60" s="12"/>
      <c r="D60" s="8">
        <v>103.67</v>
      </c>
      <c r="E60" s="3"/>
      <c r="F60" s="7">
        <f t="shared" si="8"/>
        <v>2.895959707415048E-3</v>
      </c>
      <c r="G60" s="3"/>
      <c r="H60" s="8"/>
      <c r="I60" s="3"/>
      <c r="J60" s="7">
        <f t="shared" si="9"/>
        <v>0</v>
      </c>
      <c r="K60" s="3"/>
      <c r="L60" s="8">
        <f t="shared" si="10"/>
        <v>103.67</v>
      </c>
      <c r="M60" s="3"/>
      <c r="N60" s="7">
        <f t="shared" si="11"/>
        <v>0</v>
      </c>
      <c r="O60" s="12"/>
      <c r="P60" s="8">
        <v>838.92</v>
      </c>
      <c r="Q60" s="3"/>
      <c r="R60" s="7">
        <f t="shared" si="12"/>
        <v>3.6882595065930736E-3</v>
      </c>
      <c r="S60" s="3"/>
      <c r="T60" s="8"/>
      <c r="U60" s="3"/>
      <c r="V60" s="7">
        <f t="shared" si="13"/>
        <v>0</v>
      </c>
      <c r="W60" s="3"/>
      <c r="X60" s="8">
        <f t="shared" si="14"/>
        <v>838.92</v>
      </c>
      <c r="Y60" s="3"/>
      <c r="Z60" s="7">
        <f t="shared" si="15"/>
        <v>0</v>
      </c>
    </row>
    <row r="61" spans="1:26" s="68" customFormat="1" ht="15" customHeight="1" outlineLevel="1" collapsed="1" x14ac:dyDescent="0.3">
      <c r="A61" s="25"/>
      <c r="B61" s="14" t="str">
        <f>CONCATENATE("     ","Supplies                                          ")</f>
        <v xml:space="preserve">     Supplies                                          </v>
      </c>
      <c r="C61" s="14"/>
      <c r="D61" s="2">
        <f>SUM(OSRRefD22_12x_0)</f>
        <v>-283.20999999999998</v>
      </c>
      <c r="E61" s="2"/>
      <c r="F61" s="6">
        <f t="shared" si="8"/>
        <v>-7.9113026790490568E-3</v>
      </c>
      <c r="G61" s="2"/>
      <c r="H61" s="2">
        <f>SUM(OSRRefH22_12x_0)</f>
        <v>0</v>
      </c>
      <c r="I61" s="2"/>
      <c r="J61" s="6">
        <f t="shared" si="9"/>
        <v>0</v>
      </c>
      <c r="K61" s="2"/>
      <c r="L61" s="2">
        <f t="shared" si="10"/>
        <v>-283.20999999999998</v>
      </c>
      <c r="M61" s="2"/>
      <c r="N61" s="6">
        <f t="shared" si="11"/>
        <v>0</v>
      </c>
      <c r="O61" s="14"/>
      <c r="P61" s="2">
        <f>SUM(OSRRefP22_12x_0)</f>
        <v>4001.86</v>
      </c>
      <c r="Q61" s="2"/>
      <c r="R61" s="6">
        <f t="shared" si="12"/>
        <v>1.759392813266409E-2</v>
      </c>
      <c r="S61" s="2"/>
      <c r="T61" s="2">
        <f>SUM(OSRRefT22_12x_0)</f>
        <v>634.24</v>
      </c>
      <c r="U61" s="2"/>
      <c r="V61" s="6">
        <f t="shared" si="13"/>
        <v>0</v>
      </c>
      <c r="W61" s="2"/>
      <c r="X61" s="2">
        <f t="shared" si="14"/>
        <v>3367.62</v>
      </c>
      <c r="Y61" s="2"/>
      <c r="Z61" s="6">
        <f t="shared" si="15"/>
        <v>5.3096934914228049</v>
      </c>
    </row>
    <row r="62" spans="1:26" s="69" customFormat="1" ht="15" hidden="1" customHeight="1" outlineLevel="2" x14ac:dyDescent="0.3">
      <c r="A62" s="26"/>
      <c r="B62" s="12" t="str">
        <f>CONCATENATE("          ","6234"," - ","EXPENDABLE SUPPLIES &amp; EQUIPMEN")</f>
        <v xml:space="preserve">          6234 - EXPENDABLE SUPPLIES &amp; EQUIPMEN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/>
      <c r="Q62" s="3"/>
      <c r="R62" s="7">
        <f t="shared" si="12"/>
        <v>0</v>
      </c>
      <c r="S62" s="3"/>
      <c r="T62" s="8">
        <v>316.67</v>
      </c>
      <c r="U62" s="3"/>
      <c r="V62" s="7">
        <f t="shared" si="13"/>
        <v>0</v>
      </c>
      <c r="W62" s="3"/>
      <c r="X62" s="8">
        <f t="shared" si="14"/>
        <v>-316.67</v>
      </c>
      <c r="Y62" s="3"/>
      <c r="Z62" s="7">
        <f t="shared" si="15"/>
        <v>-1</v>
      </c>
    </row>
    <row r="63" spans="1:26" s="69" customFormat="1" ht="15" hidden="1" customHeight="1" outlineLevel="2" x14ac:dyDescent="0.3">
      <c r="A63" s="26"/>
      <c r="B63" s="12" t="str">
        <f>CONCATENATE("          ","6235"," - ","COVID-19 EXPENSES")</f>
        <v xml:space="preserve">          6235 - COVID-19 EXPENSES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71.45</v>
      </c>
      <c r="Q63" s="3"/>
      <c r="R63" s="7">
        <f t="shared" si="12"/>
        <v>3.141254729248023E-4</v>
      </c>
      <c r="S63" s="3"/>
      <c r="T63" s="8"/>
      <c r="U63" s="3"/>
      <c r="V63" s="7">
        <f t="shared" si="13"/>
        <v>0</v>
      </c>
      <c r="W63" s="3"/>
      <c r="X63" s="8">
        <f t="shared" si="14"/>
        <v>71.45</v>
      </c>
      <c r="Y63" s="3"/>
      <c r="Z63" s="7">
        <f t="shared" si="15"/>
        <v>0</v>
      </c>
    </row>
    <row r="64" spans="1:26" s="69" customFormat="1" ht="15" hidden="1" customHeight="1" outlineLevel="2" x14ac:dyDescent="0.3">
      <c r="A64" s="26"/>
      <c r="B64" s="12" t="str">
        <f>CONCATENATE("          ","6237"," - ","JANITORIAL SUPPLIES")</f>
        <v xml:space="preserve">          6237 - JANITORIAL SUPPLIES</v>
      </c>
      <c r="C64" s="12"/>
      <c r="D64" s="8">
        <v>50.12</v>
      </c>
      <c r="E64" s="3"/>
      <c r="F64" s="7">
        <f t="shared" si="8"/>
        <v>1.4000723501074775E-3</v>
      </c>
      <c r="G64" s="3"/>
      <c r="H64" s="8"/>
      <c r="I64" s="3"/>
      <c r="J64" s="7">
        <f t="shared" si="9"/>
        <v>0</v>
      </c>
      <c r="K64" s="3"/>
      <c r="L64" s="8">
        <f t="shared" si="10"/>
        <v>50.12</v>
      </c>
      <c r="M64" s="3"/>
      <c r="N64" s="7">
        <f t="shared" si="11"/>
        <v>0</v>
      </c>
      <c r="O64" s="12"/>
      <c r="P64" s="8">
        <v>990.47</v>
      </c>
      <c r="Q64" s="3"/>
      <c r="R64" s="7">
        <f t="shared" si="12"/>
        <v>4.3545396384580669E-3</v>
      </c>
      <c r="S64" s="3"/>
      <c r="T64" s="8">
        <v>317.57</v>
      </c>
      <c r="U64" s="3"/>
      <c r="V64" s="7">
        <f t="shared" si="13"/>
        <v>0</v>
      </c>
      <c r="W64" s="3"/>
      <c r="X64" s="8">
        <f t="shared" si="14"/>
        <v>672.90000000000009</v>
      </c>
      <c r="Y64" s="3"/>
      <c r="Z64" s="7">
        <f t="shared" si="15"/>
        <v>2.1189029190414717</v>
      </c>
    </row>
    <row r="65" spans="1:26" s="69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427.98</v>
      </c>
      <c r="Q65" s="3"/>
      <c r="R65" s="7">
        <f t="shared" si="12"/>
        <v>1.8815874024122727E-3</v>
      </c>
      <c r="S65" s="3"/>
      <c r="T65" s="8"/>
      <c r="U65" s="3"/>
      <c r="V65" s="7">
        <f t="shared" si="13"/>
        <v>0</v>
      </c>
      <c r="W65" s="3"/>
      <c r="X65" s="8">
        <f t="shared" si="14"/>
        <v>427.98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","6243"," - ","PAPER SUPPLIES")</f>
        <v xml:space="preserve">          6243 - PAPER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44.38</v>
      </c>
      <c r="Q66" s="3"/>
      <c r="R66" s="7">
        <f t="shared" si="12"/>
        <v>1.9511390466623828E-4</v>
      </c>
      <c r="S66" s="3"/>
      <c r="T66" s="8"/>
      <c r="U66" s="3"/>
      <c r="V66" s="7">
        <f t="shared" si="13"/>
        <v>0</v>
      </c>
      <c r="W66" s="3"/>
      <c r="X66" s="8">
        <f t="shared" si="14"/>
        <v>44.38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6"/>
      <c r="B67" s="12" t="str">
        <f>CONCATENATE("          ","6247"," - ","STORE SUPPLIES")</f>
        <v xml:space="preserve">          6247 - STORE SUPPLIES</v>
      </c>
      <c r="C67" s="12"/>
      <c r="D67" s="8">
        <v>-333.33</v>
      </c>
      <c r="E67" s="3"/>
      <c r="F67" s="7">
        <f t="shared" si="8"/>
        <v>-9.3113750291565333E-3</v>
      </c>
      <c r="G67" s="3"/>
      <c r="H67" s="8"/>
      <c r="I67" s="3"/>
      <c r="J67" s="7">
        <f t="shared" si="9"/>
        <v>0</v>
      </c>
      <c r="K67" s="3"/>
      <c r="L67" s="8">
        <f t="shared" si="10"/>
        <v>-333.33</v>
      </c>
      <c r="M67" s="3"/>
      <c r="N67" s="7">
        <f t="shared" si="11"/>
        <v>0</v>
      </c>
      <c r="O67" s="12"/>
      <c r="P67" s="8">
        <v>2467.58</v>
      </c>
      <c r="Q67" s="3"/>
      <c r="R67" s="7">
        <f t="shared" si="12"/>
        <v>1.0848561714202709E-2</v>
      </c>
      <c r="S67" s="3"/>
      <c r="T67" s="8"/>
      <c r="U67" s="3"/>
      <c r="V67" s="7">
        <f t="shared" si="13"/>
        <v>0</v>
      </c>
      <c r="W67" s="3"/>
      <c r="X67" s="8">
        <f t="shared" si="14"/>
        <v>2467.58</v>
      </c>
      <c r="Y67" s="3"/>
      <c r="Z67" s="7">
        <f t="shared" si="15"/>
        <v>0</v>
      </c>
    </row>
    <row r="68" spans="1:26" s="68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SUM(OSRRefD22_13x_0)</f>
        <v>172</v>
      </c>
      <c r="E68" s="2"/>
      <c r="F68" s="6">
        <f t="shared" si="8"/>
        <v>4.8047175622203935E-3</v>
      </c>
      <c r="G68" s="2"/>
      <c r="H68" s="2">
        <f>SUM(OSRRefH22_13x_0)</f>
        <v>172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SUM(OSRRefP22_13x_0)</f>
        <v>680</v>
      </c>
      <c r="Q68" s="2"/>
      <c r="R68" s="6">
        <f t="shared" si="12"/>
        <v>2.9895776289554309E-3</v>
      </c>
      <c r="S68" s="2"/>
      <c r="T68" s="2">
        <f>SUM(OSRRefT22_13x_0)</f>
        <v>1125.8699999999999</v>
      </c>
      <c r="U68" s="2"/>
      <c r="V68" s="6">
        <f t="shared" si="13"/>
        <v>0</v>
      </c>
      <c r="W68" s="2"/>
      <c r="X68" s="2">
        <f t="shared" si="14"/>
        <v>-445.86999999999989</v>
      </c>
      <c r="Y68" s="2"/>
      <c r="Z68" s="6">
        <f t="shared" si="15"/>
        <v>-0.39602263138728266</v>
      </c>
    </row>
    <row r="69" spans="1:26" s="69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8">
        <v>172</v>
      </c>
      <c r="E69" s="3"/>
      <c r="F69" s="7">
        <f t="shared" si="8"/>
        <v>4.8047175622203935E-3</v>
      </c>
      <c r="G69" s="3"/>
      <c r="H69" s="8">
        <v>172</v>
      </c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680</v>
      </c>
      <c r="Q69" s="3"/>
      <c r="R69" s="7">
        <f t="shared" si="12"/>
        <v>2.9895776289554309E-3</v>
      </c>
      <c r="S69" s="3"/>
      <c r="T69" s="8">
        <v>1125.8699999999999</v>
      </c>
      <c r="U69" s="3"/>
      <c r="V69" s="7">
        <f t="shared" si="13"/>
        <v>0</v>
      </c>
      <c r="W69" s="3"/>
      <c r="X69" s="8">
        <f t="shared" si="14"/>
        <v>-445.86999999999989</v>
      </c>
      <c r="Y69" s="3"/>
      <c r="Z69" s="7">
        <f t="shared" si="15"/>
        <v>-0.39602263138728266</v>
      </c>
    </row>
    <row r="70" spans="1:26" s="68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SUM(OSRRefD22_14x_0)</f>
        <v>0</v>
      </c>
      <c r="E70" s="2"/>
      <c r="F70" s="6">
        <f t="shared" si="8"/>
        <v>0</v>
      </c>
      <c r="G70" s="2"/>
      <c r="H70" s="2">
        <f>SUM(OSRRefH22_14x_0)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SUM(OSRRefP22_14x_0)</f>
        <v>120</v>
      </c>
      <c r="Q70" s="2"/>
      <c r="R70" s="6">
        <f t="shared" si="12"/>
        <v>5.2757252275684077E-4</v>
      </c>
      <c r="S70" s="2"/>
      <c r="T70" s="2">
        <f>SUM(OSRRefT22_14x_0)</f>
        <v>0</v>
      </c>
      <c r="U70" s="2"/>
      <c r="V70" s="6">
        <f t="shared" si="13"/>
        <v>0</v>
      </c>
      <c r="W70" s="2"/>
      <c r="X70" s="2">
        <f t="shared" si="14"/>
        <v>120</v>
      </c>
      <c r="Y70" s="2"/>
      <c r="Z70" s="6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120</v>
      </c>
      <c r="Q71" s="3"/>
      <c r="R71" s="7">
        <f t="shared" si="12"/>
        <v>5.2757252275684077E-4</v>
      </c>
      <c r="S71" s="3"/>
      <c r="T71" s="8"/>
      <c r="U71" s="3"/>
      <c r="V71" s="7">
        <f t="shared" si="13"/>
        <v>0</v>
      </c>
      <c r="W71" s="3"/>
      <c r="X71" s="8">
        <f t="shared" si="14"/>
        <v>120</v>
      </c>
      <c r="Y71" s="3"/>
      <c r="Z71" s="7">
        <f t="shared" si="15"/>
        <v>0</v>
      </c>
    </row>
    <row r="72" spans="1:26" s="68" customFormat="1" ht="15" customHeight="1" outlineLevel="1" collapsed="1" x14ac:dyDescent="0.3">
      <c r="A72" s="25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SUM(OSRRefD22_15x_0)</f>
        <v>100</v>
      </c>
      <c r="E72" s="2"/>
      <c r="F72" s="6">
        <f t="shared" si="8"/>
        <v>2.7934404431513918E-3</v>
      </c>
      <c r="G72" s="2"/>
      <c r="H72" s="2">
        <f>SUM(OSRRefH22_15x_0)</f>
        <v>878</v>
      </c>
      <c r="I72" s="2"/>
      <c r="J72" s="6">
        <f t="shared" si="9"/>
        <v>0</v>
      </c>
      <c r="K72" s="2"/>
      <c r="L72" s="2">
        <f t="shared" si="10"/>
        <v>-778</v>
      </c>
      <c r="M72" s="2"/>
      <c r="N72" s="6">
        <f t="shared" si="11"/>
        <v>-0.88610478359908884</v>
      </c>
      <c r="O72" s="14"/>
      <c r="P72" s="2">
        <f>SUM(OSRRefP22_15x_0)</f>
        <v>1000</v>
      </c>
      <c r="Q72" s="2"/>
      <c r="R72" s="6">
        <f t="shared" si="12"/>
        <v>4.3964376896403401E-3</v>
      </c>
      <c r="S72" s="2"/>
      <c r="T72" s="2">
        <f>SUM(OSRRefT22_15x_0)</f>
        <v>4329</v>
      </c>
      <c r="U72" s="2"/>
      <c r="V72" s="6">
        <f t="shared" si="13"/>
        <v>0</v>
      </c>
      <c r="W72" s="2"/>
      <c r="X72" s="2">
        <f t="shared" si="14"/>
        <v>-3329</v>
      </c>
      <c r="Y72" s="2"/>
      <c r="Z72" s="6">
        <f t="shared" si="15"/>
        <v>-0.76899976899976896</v>
      </c>
    </row>
    <row r="73" spans="1:26" s="69" customFormat="1" ht="15" hidden="1" customHeight="1" outlineLevel="2" x14ac:dyDescent="0.3">
      <c r="A73" s="26"/>
      <c r="B73" s="12" t="str">
        <f>CONCATENATE("          ","6274"," - ","UTILITIES")</f>
        <v xml:space="preserve">          6274 - UTILITIES</v>
      </c>
      <c r="C73" s="12"/>
      <c r="D73" s="8">
        <v>100</v>
      </c>
      <c r="E73" s="3"/>
      <c r="F73" s="7">
        <f t="shared" si="8"/>
        <v>2.7934404431513918E-3</v>
      </c>
      <c r="G73" s="3"/>
      <c r="H73" s="8">
        <v>878</v>
      </c>
      <c r="I73" s="3"/>
      <c r="J73" s="7">
        <f t="shared" si="9"/>
        <v>0</v>
      </c>
      <c r="K73" s="3"/>
      <c r="L73" s="8">
        <f t="shared" si="10"/>
        <v>-778</v>
      </c>
      <c r="M73" s="3"/>
      <c r="N73" s="7">
        <f t="shared" si="11"/>
        <v>-0.88610478359908884</v>
      </c>
      <c r="O73" s="12"/>
      <c r="P73" s="8">
        <v>1000</v>
      </c>
      <c r="Q73" s="3"/>
      <c r="R73" s="7">
        <f t="shared" si="12"/>
        <v>4.3964376896403401E-3</v>
      </c>
      <c r="S73" s="3"/>
      <c r="T73" s="8">
        <v>4329</v>
      </c>
      <c r="U73" s="3"/>
      <c r="V73" s="7">
        <f t="shared" si="13"/>
        <v>0</v>
      </c>
      <c r="W73" s="3"/>
      <c r="X73" s="8">
        <f t="shared" si="14"/>
        <v>-3329</v>
      </c>
      <c r="Y73" s="3"/>
      <c r="Z73" s="7">
        <f t="shared" si="15"/>
        <v>-0.76899976899976896</v>
      </c>
    </row>
    <row r="74" spans="1:26" s="64" customFormat="1" ht="15" customHeight="1" x14ac:dyDescent="0.3">
      <c r="A74" s="36"/>
      <c r="B74" s="36"/>
      <c r="C74" s="36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2" customFormat="1" ht="15" customHeight="1" x14ac:dyDescent="0.3">
      <c r="A75" s="11"/>
      <c r="B75" s="27" t="s">
        <v>290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11"/>
      <c r="B77" s="28" t="s">
        <v>291</v>
      </c>
      <c r="C77" s="28"/>
      <c r="D77" s="21">
        <f>+D20-D22+D75</f>
        <v>-16791.579999999998</v>
      </c>
      <c r="E77" s="15"/>
      <c r="F77" s="23">
        <f>IF(D$12=0,0,D77/D$12)</f>
        <v>-0.46906278676412044</v>
      </c>
      <c r="G77" s="15"/>
      <c r="H77" s="21">
        <f>+H20-H22+H75</f>
        <v>-10619.55</v>
      </c>
      <c r="I77" s="15"/>
      <c r="J77" s="23">
        <f>IF(H$12=0,0,H77/H$12)</f>
        <v>0</v>
      </c>
      <c r="K77" s="16"/>
      <c r="L77" s="21">
        <f>+D77-H77</f>
        <v>-6172.0299999999988</v>
      </c>
      <c r="M77" s="16"/>
      <c r="N77" s="23">
        <f>IF(H77=0,0,L77/H77)</f>
        <v>0.58119506005433363</v>
      </c>
      <c r="O77" s="27"/>
      <c r="P77" s="21">
        <f>+P20-P22+P75</f>
        <v>-90501.440000000031</v>
      </c>
      <c r="Q77" s="15"/>
      <c r="R77" s="23">
        <f>IF(P$12=0,0,P77/P$12)</f>
        <v>-0.39788394178272396</v>
      </c>
      <c r="S77" s="15"/>
      <c r="T77" s="21">
        <f>+T20-T22+T75</f>
        <v>-121904.53</v>
      </c>
      <c r="U77" s="15"/>
      <c r="V77" s="23">
        <f>IF(T$12=0,0,T77/T$12)</f>
        <v>0</v>
      </c>
      <c r="W77" s="16"/>
      <c r="X77" s="21">
        <f>+P77-T77</f>
        <v>31403.089999999967</v>
      </c>
      <c r="Y77" s="16"/>
      <c r="Z77" s="23">
        <f>IF(T77=0,0,X77/T77)</f>
        <v>-0.25760396270753816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48"/>
      <c r="B79" s="11" t="s">
        <v>292</v>
      </c>
      <c r="C79" s="11"/>
      <c r="D79" s="5">
        <v>2893.2</v>
      </c>
      <c r="E79" s="5"/>
      <c r="F79" s="13">
        <f>IF(D$12=0,0,D79/D$12)</f>
        <v>8.0819818901256057E-2</v>
      </c>
      <c r="G79" s="5"/>
      <c r="H79" s="5"/>
      <c r="I79" s="5"/>
      <c r="J79" s="13">
        <f>IF(H$12=0,0,H79/H$12)</f>
        <v>0</v>
      </c>
      <c r="K79" s="5"/>
      <c r="L79" s="5">
        <f>+D79-H79</f>
        <v>2893.2</v>
      </c>
      <c r="M79" s="5"/>
      <c r="N79" s="13">
        <f>IF(H79=0,0,L79/H79)</f>
        <v>0</v>
      </c>
      <c r="O79" s="11"/>
      <c r="P79" s="5">
        <v>25767.200000000001</v>
      </c>
      <c r="Q79" s="5"/>
      <c r="R79" s="13">
        <f>IF(P$12=0,0,P79/P$12)</f>
        <v>0.11328388923650057</v>
      </c>
      <c r="S79" s="5"/>
      <c r="T79" s="5"/>
      <c r="U79" s="5"/>
      <c r="V79" s="13">
        <f>IF(T$12=0,0,T79/T$12)</f>
        <v>0</v>
      </c>
      <c r="W79" s="5"/>
      <c r="X79" s="5">
        <f>+P79-T79</f>
        <v>25767.200000000001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8" t="s">
        <v>293</v>
      </c>
      <c r="C81" s="28"/>
      <c r="D81" s="34">
        <f>+D77-D79</f>
        <v>-19684.78</v>
      </c>
      <c r="E81" s="15"/>
      <c r="F81" s="30">
        <f>IF(D$12=0,0,D81/D$12)</f>
        <v>-0.5498826056653765</v>
      </c>
      <c r="G81" s="15"/>
      <c r="H81" s="34">
        <f>+H77-H79</f>
        <v>-10619.55</v>
      </c>
      <c r="I81" s="15"/>
      <c r="J81" s="30">
        <f>IF(H$12=0,0,H81/H$12)</f>
        <v>0</v>
      </c>
      <c r="K81" s="16"/>
      <c r="L81" s="34">
        <f>D81-H81</f>
        <v>-9065.23</v>
      </c>
      <c r="M81" s="16"/>
      <c r="N81" s="30">
        <f>IF(H81=0,0,L81/H81)</f>
        <v>0.85363598269229868</v>
      </c>
      <c r="O81" s="27"/>
      <c r="P81" s="34">
        <f>+P77-P79</f>
        <v>-116268.64000000003</v>
      </c>
      <c r="Q81" s="15"/>
      <c r="R81" s="30">
        <f>IF(P$12=0,0,P81/P$12)</f>
        <v>-0.51116783101922447</v>
      </c>
      <c r="S81" s="15"/>
      <c r="T81" s="34">
        <f>+T77-T79</f>
        <v>-121904.53</v>
      </c>
      <c r="U81" s="15"/>
      <c r="V81" s="30">
        <f>IF(T$12=0,0,T81/T$12)</f>
        <v>0</v>
      </c>
      <c r="W81" s="16"/>
      <c r="X81" s="34">
        <f>P81-T81</f>
        <v>5635.8899999999703</v>
      </c>
      <c r="Y81" s="16"/>
      <c r="Z81" s="30">
        <f>IF(T81=0,0,X81/T81)</f>
        <v>-4.6231998105402405E-2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296</v>
      </c>
      <c r="C84" s="28"/>
      <c r="D84" s="29">
        <f>SUM(D81:D83)</f>
        <v>-19684.78</v>
      </c>
      <c r="E84" s="15"/>
      <c r="F84" s="35">
        <f>IF(D$12=0,0,D84/D$12)</f>
        <v>-0.5498826056653765</v>
      </c>
      <c r="G84" s="15"/>
      <c r="H84" s="29">
        <f>SUM(H81:H83)</f>
        <v>-10619.55</v>
      </c>
      <c r="I84" s="15"/>
      <c r="J84" s="35">
        <f>IF(H$12=0,0,H84/H$12)</f>
        <v>0</v>
      </c>
      <c r="K84" s="16"/>
      <c r="L84" s="29">
        <f>+D84-H84</f>
        <v>-9065.23</v>
      </c>
      <c r="M84" s="16"/>
      <c r="N84" s="35">
        <f>IF(H84=0,0,L84/H84)</f>
        <v>0.85363598269229868</v>
      </c>
      <c r="O84" s="27"/>
      <c r="P84" s="29">
        <f>SUM(P81:P83)</f>
        <v>-116268.64000000003</v>
      </c>
      <c r="Q84" s="15"/>
      <c r="R84" s="35">
        <f>IF(P$12=0,0,P84/P$12)</f>
        <v>-0.51116783101922447</v>
      </c>
      <c r="S84" s="15"/>
      <c r="T84" s="29">
        <f>SUM(T81:T83)</f>
        <v>-121904.53</v>
      </c>
      <c r="U84" s="15"/>
      <c r="V84" s="35">
        <f>IF(T$12=0,0,T84/T$12)</f>
        <v>0</v>
      </c>
      <c r="W84" s="16"/>
      <c r="X84" s="29">
        <f>+P84-T84</f>
        <v>5635.8899999999703</v>
      </c>
      <c r="Y84" s="16"/>
      <c r="Z84" s="35">
        <f>IF(T84=0,0,X84/T84)</f>
        <v>-4.6231998105402405E-2</v>
      </c>
    </row>
    <row r="85" spans="1:26" ht="15" customHeight="1" x14ac:dyDescent="0.3">
      <c r="A85" s="10"/>
      <c r="C85" s="10"/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3">
      <c r="A86" s="10"/>
      <c r="B86" s="56">
        <v>44694.890829479169</v>
      </c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3">
      <c r="A87" s="10"/>
      <c r="B87" s="52" t="s">
        <v>297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3">
      <c r="A88" s="10"/>
      <c r="B88" s="58"/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3"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A2CE1-638E-E6C5-29AA-3888955A99A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17AF-B9C9-7751-EFB9-B5964BC1BBD9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","327"," - ","C-Store Vending Machine(s)")</f>
        <v>Department 327 - C-Store Vending Machine(s)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439.9</v>
      </c>
      <c r="E12" s="5"/>
      <c r="F12" s="13"/>
      <c r="G12" s="5"/>
      <c r="H12" s="5">
        <f>SUM(OSRRefH13x_0)</f>
        <v>51.9</v>
      </c>
      <c r="I12" s="5"/>
      <c r="J12" s="13"/>
      <c r="K12" s="5"/>
      <c r="L12" s="5">
        <f>+D12-H12</f>
        <v>388</v>
      </c>
      <c r="M12" s="5"/>
      <c r="N12" s="13">
        <f>IF(H12=0,0,L12/H12)</f>
        <v>7.475915221579962</v>
      </c>
      <c r="O12" s="11"/>
      <c r="P12" s="5">
        <f>SUM(OSRRefP13x_0)</f>
        <v>1551.31</v>
      </c>
      <c r="Q12" s="5"/>
      <c r="R12" s="13"/>
      <c r="S12" s="5"/>
      <c r="T12" s="5">
        <f>SUM(OSRRefT13x_0)</f>
        <v>396.45</v>
      </c>
      <c r="U12" s="5"/>
      <c r="V12" s="13"/>
      <c r="W12" s="5"/>
      <c r="X12" s="5">
        <f>+P12-T12</f>
        <v>1154.8599999999999</v>
      </c>
      <c r="Y12" s="5"/>
      <c r="Z12" s="13">
        <f>IF(T12=0,0,X12/T12)</f>
        <v>2.9130029007441038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--439.9</f>
        <v>439.9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439.9</v>
      </c>
      <c r="M13" s="3"/>
      <c r="N13" s="20">
        <f>IF(H13=0,0,L13/H13)</f>
        <v>0</v>
      </c>
      <c r="O13" s="12"/>
      <c r="P13" s="3">
        <f>--1551.31</f>
        <v>1551.31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1551.31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","4153"," - ","NON-TAXABLE SALES-FOOD")</f>
        <v xml:space="preserve">          4153 - NON-TAXABLE SALES-FOOD</v>
      </c>
      <c r="C14" s="12"/>
      <c r="D14" s="3">
        <f>0</f>
        <v>0</v>
      </c>
      <c r="E14" s="3"/>
      <c r="F14" s="20"/>
      <c r="G14" s="3"/>
      <c r="H14" s="3">
        <f>--51.9</f>
        <v>51.9</v>
      </c>
      <c r="I14" s="3"/>
      <c r="J14" s="20"/>
      <c r="K14" s="3"/>
      <c r="L14" s="3">
        <f>+D14-H14</f>
        <v>-51.9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--396.45</f>
        <v>396.45</v>
      </c>
      <c r="U14" s="3"/>
      <c r="V14" s="20"/>
      <c r="W14" s="3"/>
      <c r="X14" s="3">
        <f>+P14-T14</f>
        <v>-396.45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93</v>
      </c>
      <c r="E16" s="5"/>
      <c r="F16" s="13">
        <f>IF(D$12=0,0,D16/D$12)</f>
        <v>0.21141168447374403</v>
      </c>
      <c r="G16" s="5"/>
      <c r="H16" s="5">
        <f>SUM(OSRRefH16x_0)</f>
        <v>24.08</v>
      </c>
      <c r="I16" s="5"/>
      <c r="J16" s="13">
        <f>IF(H$12=0,0,H16/H$12)</f>
        <v>0.46396917148362232</v>
      </c>
      <c r="K16" s="5"/>
      <c r="L16" s="5">
        <f>+D16-H16</f>
        <v>68.92</v>
      </c>
      <c r="M16" s="5"/>
      <c r="N16" s="13">
        <f>IF(H16=0,0,L16/H16)</f>
        <v>2.8621262458471763</v>
      </c>
      <c r="O16" s="11"/>
      <c r="P16" s="5">
        <f>SUM(OSRRefP16x_0)</f>
        <v>32.200000000000003</v>
      </c>
      <c r="Q16" s="5"/>
      <c r="R16" s="13">
        <f>IF(P$12=0,0,P16/P$12)</f>
        <v>2.0756650830588343E-2</v>
      </c>
      <c r="S16" s="5"/>
      <c r="T16" s="5">
        <f>SUM(OSRRefT16x_0)</f>
        <v>-318.01</v>
      </c>
      <c r="U16" s="5"/>
      <c r="V16" s="13">
        <f>IF(T$12=0,0,T16/T$12)</f>
        <v>-0.80214402825072517</v>
      </c>
      <c r="W16" s="5"/>
      <c r="X16" s="5">
        <f>+P16-T16</f>
        <v>350.21</v>
      </c>
      <c r="Y16" s="5"/>
      <c r="Z16" s="13">
        <f>IF(T16=0,0,X16/T16)</f>
        <v>-1.101254677525864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45</v>
      </c>
      <c r="Q17" s="3"/>
      <c r="R17" s="20">
        <f>IF(P$12=0,0,P17/P$12)</f>
        <v>2.900774184398992E-2</v>
      </c>
      <c r="S17" s="3"/>
      <c r="T17" s="3"/>
      <c r="U17" s="3"/>
      <c r="V17" s="20">
        <f>IF(T$12=0,0,T17/T$12)</f>
        <v>0</v>
      </c>
      <c r="W17" s="3"/>
      <c r="X17" s="3">
        <f>+P17-T17</f>
        <v>45</v>
      </c>
      <c r="Y17" s="3"/>
      <c r="Z17" s="20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93</v>
      </c>
      <c r="E18" s="3"/>
      <c r="F18" s="20">
        <f>IF(D$12=0,0,D18/D$12)</f>
        <v>0.21141168447374403</v>
      </c>
      <c r="G18" s="3"/>
      <c r="H18" s="3">
        <v>24.08</v>
      </c>
      <c r="I18" s="3"/>
      <c r="J18" s="20">
        <f>IF(H$12=0,0,H18/H$12)</f>
        <v>0.46396917148362232</v>
      </c>
      <c r="K18" s="3"/>
      <c r="L18" s="3">
        <f>+D18-H18</f>
        <v>68.92</v>
      </c>
      <c r="M18" s="3"/>
      <c r="N18" s="20">
        <f>IF(H18=0,0,L18/H18)</f>
        <v>2.8621262458471763</v>
      </c>
      <c r="O18" s="12"/>
      <c r="P18" s="3">
        <v>-12.8</v>
      </c>
      <c r="Q18" s="3"/>
      <c r="R18" s="20">
        <f>IF(P$12=0,0,P18/P$12)</f>
        <v>-8.2510910134015771E-3</v>
      </c>
      <c r="S18" s="3"/>
      <c r="T18" s="3">
        <v>-318.01</v>
      </c>
      <c r="U18" s="3"/>
      <c r="V18" s="20">
        <f>IF(T$12=0,0,T18/T$12)</f>
        <v>-0.80214402825072517</v>
      </c>
      <c r="W18" s="3"/>
      <c r="X18" s="3">
        <f>+P18-T18</f>
        <v>305.20999999999998</v>
      </c>
      <c r="Y18" s="3"/>
      <c r="Z18" s="20">
        <f>IF(T18=0,0,X18/T18)</f>
        <v>-0.95974969340586769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1">
        <f>D12-D16</f>
        <v>346.9</v>
      </c>
      <c r="E20" s="15"/>
      <c r="F20" s="23">
        <f>IF(D$12=0,0,D20/D$12)</f>
        <v>0.78858831552625597</v>
      </c>
      <c r="G20" s="15"/>
      <c r="H20" s="21">
        <f>H12-H16</f>
        <v>27.82</v>
      </c>
      <c r="I20" s="15"/>
      <c r="J20" s="23">
        <f>IF(H$12=0,0,H20/H$12)</f>
        <v>0.53603082851637762</v>
      </c>
      <c r="K20" s="16"/>
      <c r="L20" s="21">
        <f>+D20-H20</f>
        <v>319.08</v>
      </c>
      <c r="M20" s="16"/>
      <c r="N20" s="23">
        <f>IF(H20=0,0,L20/H20)</f>
        <v>11.469446441409058</v>
      </c>
      <c r="O20" s="27"/>
      <c r="P20" s="21">
        <f>P12-P16</f>
        <v>1519.11</v>
      </c>
      <c r="Q20" s="15"/>
      <c r="R20" s="23">
        <f>IF(P$12=0,0,P20/P$12)</f>
        <v>0.97924334916941158</v>
      </c>
      <c r="S20" s="15"/>
      <c r="T20" s="21">
        <f>T12-T16</f>
        <v>714.46</v>
      </c>
      <c r="U20" s="15"/>
      <c r="V20" s="23">
        <f>IF(T$12=0,0,T20/T$12)</f>
        <v>1.8021440282507253</v>
      </c>
      <c r="W20" s="16"/>
      <c r="X20" s="21">
        <f>+P20-T20</f>
        <v>804.64999999999986</v>
      </c>
      <c r="Y20" s="16"/>
      <c r="Z20" s="23">
        <f>IF(T20=0,0,X20/T20)</f>
        <v>1.1262351986115386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2" cm="1">
        <f t="array" ref="D22">SUM(OSRRefD22x_0)</f>
        <v>89.85</v>
      </c>
      <c r="E22" s="22"/>
      <c r="F22" s="32">
        <f>IF(D$12=0,0,D22/D$12)</f>
        <v>0.20425096612866561</v>
      </c>
      <c r="G22" s="22"/>
      <c r="H22" s="22" cm="1">
        <f t="array" ref="H22">SUM(OSRRefH22x_0)</f>
        <v>631.58999999999992</v>
      </c>
      <c r="I22" s="22"/>
      <c r="J22" s="32">
        <f>IF(H$12=0,0,H22/H$12)</f>
        <v>12.16936416184971</v>
      </c>
      <c r="K22" s="5"/>
      <c r="L22" s="22">
        <f>+D22-H22</f>
        <v>-541.7399999999999</v>
      </c>
      <c r="M22" s="5"/>
      <c r="N22" s="32">
        <f>IF(H22=0,0,L22/H22)</f>
        <v>-0.85773998955018282</v>
      </c>
      <c r="O22" s="11"/>
      <c r="P22" s="22" cm="1">
        <f t="array" ref="P22">SUM(OSRRefP22x_0)</f>
        <v>1418.6599999999999</v>
      </c>
      <c r="Q22" s="22"/>
      <c r="R22" s="32">
        <f>IF(P$12=0,0,P22/P$12)</f>
        <v>0.91449162320877186</v>
      </c>
      <c r="S22" s="22"/>
      <c r="T22" s="22" cm="1">
        <f t="array" ref="T22">SUM(OSRRefT22x_0)</f>
        <v>631.58999999999992</v>
      </c>
      <c r="U22" s="22"/>
      <c r="V22" s="32">
        <f>IF(T$12=0,0,T22/T$12)</f>
        <v>1.593113885735906</v>
      </c>
      <c r="W22" s="5"/>
      <c r="X22" s="22">
        <f>+P22-T22</f>
        <v>787.06999999999994</v>
      </c>
      <c r="Y22" s="5"/>
      <c r="Z22" s="32">
        <f>IF(T22=0,0,X22/T22)</f>
        <v>1.2461723586503903</v>
      </c>
    </row>
    <row r="23" spans="1:26" s="68" customFormat="1" ht="15" customHeight="1" outlineLevel="1" collapsed="1" x14ac:dyDescent="0.3">
      <c r="A23" s="25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SUM(OSRRefD22_0x_0)</f>
        <v>89.85</v>
      </c>
      <c r="E23" s="2"/>
      <c r="F23" s="6">
        <f>IF(D$12=0,0,D23/D$12)</f>
        <v>0.20425096612866561</v>
      </c>
      <c r="G23" s="2"/>
      <c r="H23" s="2">
        <f>SUM(OSRRefH22_0x_0)</f>
        <v>511.59</v>
      </c>
      <c r="I23" s="2"/>
      <c r="J23" s="6">
        <f>IF(H$12=0,0,H23/H$12)</f>
        <v>9.8572254335260112</v>
      </c>
      <c r="K23" s="2"/>
      <c r="L23" s="2">
        <f>+D23-H23</f>
        <v>-421.74</v>
      </c>
      <c r="M23" s="2"/>
      <c r="N23" s="6">
        <f>IF(H23=0,0,L23/H23)</f>
        <v>-0.82437107840262713</v>
      </c>
      <c r="O23" s="14"/>
      <c r="P23" s="2">
        <f>SUM(OSRRefP22_0x_0)</f>
        <v>659.78</v>
      </c>
      <c r="Q23" s="2"/>
      <c r="R23" s="6">
        <f>IF(P$12=0,0,P23/P$12)</f>
        <v>0.42530506475172597</v>
      </c>
      <c r="S23" s="2"/>
      <c r="T23" s="2">
        <f>SUM(OSRRefT22_0x_0)</f>
        <v>511.59</v>
      </c>
      <c r="U23" s="2"/>
      <c r="V23" s="6">
        <f>IF(T$12=0,0,T23/T$12)</f>
        <v>1.2904275444570563</v>
      </c>
      <c r="W23" s="2"/>
      <c r="X23" s="2">
        <f>+P23-T23</f>
        <v>148.19</v>
      </c>
      <c r="Y23" s="2"/>
      <c r="Z23" s="6">
        <f>IF(T23=0,0,X23/T23)</f>
        <v>0.28966555249320747</v>
      </c>
    </row>
    <row r="24" spans="1:26" s="69" customFormat="1" ht="15" hidden="1" customHeight="1" outlineLevel="2" x14ac:dyDescent="0.3">
      <c r="A24" s="26"/>
      <c r="B24" s="12" t="str">
        <f>CONCATENATE("          ","6381"," - ","BANK/CREDIT CARD FEES")</f>
        <v xml:space="preserve">          6381 - BANK/CREDIT CARD FEES</v>
      </c>
      <c r="C24" s="12"/>
      <c r="D24" s="8">
        <v>89.85</v>
      </c>
      <c r="E24" s="3"/>
      <c r="F24" s="7">
        <f>IF(D$12=0,0,D24/D$12)</f>
        <v>0.20425096612866561</v>
      </c>
      <c r="G24" s="3"/>
      <c r="H24" s="8">
        <v>511.59</v>
      </c>
      <c r="I24" s="3"/>
      <c r="J24" s="7">
        <f>IF(H$12=0,0,H24/H$12)</f>
        <v>9.8572254335260112</v>
      </c>
      <c r="K24" s="3"/>
      <c r="L24" s="8">
        <f>+D24-H24</f>
        <v>-421.74</v>
      </c>
      <c r="M24" s="3"/>
      <c r="N24" s="7">
        <f>IF(H24=0,0,L24/H24)</f>
        <v>-0.82437107840262713</v>
      </c>
      <c r="O24" s="12"/>
      <c r="P24" s="8">
        <v>659.78</v>
      </c>
      <c r="Q24" s="3"/>
      <c r="R24" s="7">
        <f>IF(P$12=0,0,P24/P$12)</f>
        <v>0.42530506475172597</v>
      </c>
      <c r="S24" s="3"/>
      <c r="T24" s="8">
        <v>511.59</v>
      </c>
      <c r="U24" s="3"/>
      <c r="V24" s="7">
        <f>IF(T$12=0,0,T24/T$12)</f>
        <v>1.2904275444570563</v>
      </c>
      <c r="W24" s="3"/>
      <c r="X24" s="8">
        <f>+P24-T24</f>
        <v>148.19</v>
      </c>
      <c r="Y24" s="3"/>
      <c r="Z24" s="7">
        <f>IF(T24=0,0,X24/T24)</f>
        <v>0.28966555249320747</v>
      </c>
    </row>
    <row r="25" spans="1:26" s="68" customFormat="1" ht="15" customHeight="1" outlineLevel="1" collapsed="1" x14ac:dyDescent="0.3">
      <c r="A25" s="25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SUM(OSRRefD22_1x_0)</f>
        <v>0</v>
      </c>
      <c r="E25" s="2"/>
      <c r="F25" s="6">
        <f>IF(D$12=0,0,D25/D$12)</f>
        <v>0</v>
      </c>
      <c r="G25" s="2"/>
      <c r="H25" s="2">
        <f>SUM(OSRRefH22_1x_0)</f>
        <v>120</v>
      </c>
      <c r="I25" s="2"/>
      <c r="J25" s="6">
        <f>IF(H$12=0,0,H25/H$12)</f>
        <v>2.3121387283236996</v>
      </c>
      <c r="K25" s="2"/>
      <c r="L25" s="2">
        <f>+D25-H25</f>
        <v>-120</v>
      </c>
      <c r="M25" s="2"/>
      <c r="N25" s="6">
        <f>IF(H25=0,0,L25/H25)</f>
        <v>-1</v>
      </c>
      <c r="O25" s="14"/>
      <c r="P25" s="2">
        <f>SUM(OSRRefP22_1x_0)</f>
        <v>758.88</v>
      </c>
      <c r="Q25" s="2"/>
      <c r="R25" s="6">
        <f>IF(P$12=0,0,P25/P$12)</f>
        <v>0.48918655845704601</v>
      </c>
      <c r="S25" s="2"/>
      <c r="T25" s="2">
        <f>SUM(OSRRefT22_1x_0)</f>
        <v>120</v>
      </c>
      <c r="U25" s="2"/>
      <c r="V25" s="6">
        <f>IF(T$12=0,0,T25/T$12)</f>
        <v>0.3026863412788498</v>
      </c>
      <c r="W25" s="2"/>
      <c r="X25" s="2">
        <f>+P25-T25</f>
        <v>638.88</v>
      </c>
      <c r="Y25" s="2"/>
      <c r="Z25" s="6">
        <f>IF(T25=0,0,X25/T25)</f>
        <v>5.3239999999999998</v>
      </c>
    </row>
    <row r="26" spans="1:26" s="69" customFormat="1" ht="15" hidden="1" customHeight="1" outlineLevel="2" x14ac:dyDescent="0.3">
      <c r="A26" s="26"/>
      <c r="B26" s="12" t="str">
        <f>CONCATENATE("          ","6279"," - ","GENERAL EXPENSE")</f>
        <v xml:space="preserve">          6279 - GENERAL EXPENSE</v>
      </c>
      <c r="C26" s="12"/>
      <c r="D26" s="8"/>
      <c r="E26" s="3"/>
      <c r="F26" s="7">
        <f>IF(D$12=0,0,D26/D$12)</f>
        <v>0</v>
      </c>
      <c r="G26" s="3"/>
      <c r="H26" s="8">
        <v>120</v>
      </c>
      <c r="I26" s="3"/>
      <c r="J26" s="7">
        <f>IF(H$12=0,0,H26/H$12)</f>
        <v>2.3121387283236996</v>
      </c>
      <c r="K26" s="3"/>
      <c r="L26" s="8">
        <f>+D26-H26</f>
        <v>-120</v>
      </c>
      <c r="M26" s="3"/>
      <c r="N26" s="7">
        <f>IF(H26=0,0,L26/H26)</f>
        <v>-1</v>
      </c>
      <c r="O26" s="12"/>
      <c r="P26" s="8">
        <v>758.88</v>
      </c>
      <c r="Q26" s="3"/>
      <c r="R26" s="7">
        <f>IF(P$12=0,0,P26/P$12)</f>
        <v>0.48918655845704601</v>
      </c>
      <c r="S26" s="3"/>
      <c r="T26" s="8">
        <v>120</v>
      </c>
      <c r="U26" s="3"/>
      <c r="V26" s="7">
        <f>IF(T$12=0,0,T26/T$12)</f>
        <v>0.3026863412788498</v>
      </c>
      <c r="W26" s="3"/>
      <c r="X26" s="8">
        <f>+P26-T26</f>
        <v>638.88</v>
      </c>
      <c r="Y26" s="3"/>
      <c r="Z26" s="7">
        <f>IF(T26=0,0,X26/T26)</f>
        <v>5.3239999999999998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1">
        <f>+D20-D22+D28</f>
        <v>257.04999999999995</v>
      </c>
      <c r="E30" s="15"/>
      <c r="F30" s="23">
        <f>IF(D$12=0,0,D30/D$12)</f>
        <v>0.5843373493975903</v>
      </c>
      <c r="G30" s="15"/>
      <c r="H30" s="21">
        <f>+H20-H22+H28</f>
        <v>-603.76999999999987</v>
      </c>
      <c r="I30" s="15"/>
      <c r="J30" s="23">
        <f>IF(H$12=0,0,H30/H$12)</f>
        <v>-11.633333333333331</v>
      </c>
      <c r="K30" s="16"/>
      <c r="L30" s="21">
        <f>+D30-H30</f>
        <v>860.81999999999982</v>
      </c>
      <c r="M30" s="16"/>
      <c r="N30" s="23">
        <f>IF(H30=0,0,L30/H30)</f>
        <v>-1.4257415903406927</v>
      </c>
      <c r="O30" s="27"/>
      <c r="P30" s="21">
        <f>+P20-P22+P28</f>
        <v>100.45000000000005</v>
      </c>
      <c r="Q30" s="15"/>
      <c r="R30" s="23">
        <f>IF(P$12=0,0,P30/P$12)</f>
        <v>6.4751725960639744E-2</v>
      </c>
      <c r="S30" s="15"/>
      <c r="T30" s="21">
        <f>+T20-T22+T28</f>
        <v>82.870000000000118</v>
      </c>
      <c r="U30" s="15"/>
      <c r="V30" s="23">
        <f>IF(T$12=0,0,T30/T$12)</f>
        <v>0.20903014251481933</v>
      </c>
      <c r="W30" s="16"/>
      <c r="X30" s="21">
        <f>+P30-T30</f>
        <v>17.579999999999927</v>
      </c>
      <c r="Y30" s="16"/>
      <c r="Z30" s="23">
        <f>IF(T30=0,0,X30/T30)</f>
        <v>0.21213949559550985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>
        <v>43.1</v>
      </c>
      <c r="E32" s="5"/>
      <c r="F32" s="13">
        <f>IF(D$12=0,0,D32/D$12)</f>
        <v>9.7976812912025465E-2</v>
      </c>
      <c r="G32" s="5"/>
      <c r="H32" s="5">
        <v>11.93</v>
      </c>
      <c r="I32" s="5"/>
      <c r="J32" s="13">
        <f>IF(H$12=0,0,H32/H$12)</f>
        <v>0.22986512524084779</v>
      </c>
      <c r="K32" s="5"/>
      <c r="L32" s="5">
        <f>+D32-H32</f>
        <v>31.17</v>
      </c>
      <c r="M32" s="5"/>
      <c r="N32" s="13">
        <f>IF(H32=0,0,L32/H32)</f>
        <v>2.6127409891031017</v>
      </c>
      <c r="O32" s="11"/>
      <c r="P32" s="5">
        <v>175.74</v>
      </c>
      <c r="Q32" s="5"/>
      <c r="R32" s="13">
        <f>IF(P$12=0,0,P32/P$12)</f>
        <v>0.11328490114806197</v>
      </c>
      <c r="S32" s="5"/>
      <c r="T32" s="5">
        <v>82.94</v>
      </c>
      <c r="U32" s="5"/>
      <c r="V32" s="13">
        <f>IF(T$12=0,0,T32/T$12)</f>
        <v>0.2092067095472317</v>
      </c>
      <c r="W32" s="5"/>
      <c r="X32" s="5">
        <f>+P32-T32</f>
        <v>92.800000000000011</v>
      </c>
      <c r="Y32" s="5"/>
      <c r="Z32" s="13">
        <f>IF(T32=0,0,X32/T32)</f>
        <v>1.118881118881119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4">
        <f>+D30-D32</f>
        <v>213.94999999999996</v>
      </c>
      <c r="E34" s="15"/>
      <c r="F34" s="30">
        <f>IF(D$12=0,0,D34/D$12)</f>
        <v>0.48636053648556482</v>
      </c>
      <c r="G34" s="15"/>
      <c r="H34" s="34">
        <f>+H30-H32</f>
        <v>-615.69999999999982</v>
      </c>
      <c r="I34" s="15"/>
      <c r="J34" s="30">
        <f>IF(H$12=0,0,H34/H$12)</f>
        <v>-11.863198458574178</v>
      </c>
      <c r="K34" s="16"/>
      <c r="L34" s="34">
        <f>D34-H34</f>
        <v>829.64999999999975</v>
      </c>
      <c r="M34" s="16"/>
      <c r="N34" s="30">
        <f>IF(H34=0,0,L34/H34)</f>
        <v>-1.347490661036219</v>
      </c>
      <c r="O34" s="27"/>
      <c r="P34" s="34">
        <f>+P30-P32</f>
        <v>-75.289999999999964</v>
      </c>
      <c r="Q34" s="15"/>
      <c r="R34" s="30">
        <f>IF(P$12=0,0,P34/P$12)</f>
        <v>-4.8533175187422221E-2</v>
      </c>
      <c r="S34" s="15"/>
      <c r="T34" s="34">
        <f>+T30-T32</f>
        <v>-6.9999999999879492E-2</v>
      </c>
      <c r="U34" s="15"/>
      <c r="V34" s="30">
        <f>IF(T$12=0,0,T34/T$12)</f>
        <v>-1.7656703241235842E-4</v>
      </c>
      <c r="W34" s="16"/>
      <c r="X34" s="34">
        <f>P34-T34</f>
        <v>-75.220000000000084</v>
      </c>
      <c r="Y34" s="16"/>
      <c r="Z34" s="30">
        <f>IF(T34=0,0,X34/T34)</f>
        <v>1074.5714285732797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29">
        <f>SUM(D34:D36)</f>
        <v>213.94999999999996</v>
      </c>
      <c r="E37" s="15"/>
      <c r="F37" s="35">
        <f>IF(D$12=0,0,D37/D$12)</f>
        <v>0.48636053648556482</v>
      </c>
      <c r="G37" s="15"/>
      <c r="H37" s="29">
        <f>SUM(H34:H36)</f>
        <v>-615.69999999999982</v>
      </c>
      <c r="I37" s="15"/>
      <c r="J37" s="35">
        <f>IF(H$12=0,0,H37/H$12)</f>
        <v>-11.863198458574178</v>
      </c>
      <c r="K37" s="16"/>
      <c r="L37" s="29">
        <f>+D37-H37</f>
        <v>829.64999999999975</v>
      </c>
      <c r="M37" s="16"/>
      <c r="N37" s="35">
        <f>IF(H37=0,0,L37/H37)</f>
        <v>-1.347490661036219</v>
      </c>
      <c r="O37" s="27"/>
      <c r="P37" s="29">
        <f>SUM(P34:P36)</f>
        <v>-75.289999999999964</v>
      </c>
      <c r="Q37" s="15"/>
      <c r="R37" s="35">
        <f>IF(P$12=0,0,P37/P$12)</f>
        <v>-4.8533175187422221E-2</v>
      </c>
      <c r="S37" s="15"/>
      <c r="T37" s="29">
        <f>SUM(T34:T36)</f>
        <v>-6.9999999999879492E-2</v>
      </c>
      <c r="U37" s="15"/>
      <c r="V37" s="35">
        <f>IF(T$12=0,0,T37/T$12)</f>
        <v>-1.7656703241235842E-4</v>
      </c>
      <c r="W37" s="16"/>
      <c r="X37" s="29">
        <f>+P37-T37</f>
        <v>-75.220000000000084</v>
      </c>
      <c r="Y37" s="16"/>
      <c r="Z37" s="35">
        <f>IF(T37=0,0,X37/T37)</f>
        <v>1074.5714285732797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6">
        <v>44694.890829479169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2" t="s">
        <v>297</v>
      </c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A41" s="10"/>
      <c r="B41" s="58"/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5E55-FD0D-ED13-9E62-75CEF0F206AE}">
  <sheetPr>
    <tabColor rgb="FFFFC000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309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2023087.5300000003</v>
      </c>
      <c r="E12" s="5"/>
      <c r="F12" s="13"/>
      <c r="G12" s="5"/>
      <c r="H12" s="5">
        <f>SUM(OSRRefH13x_0)</f>
        <v>163253.20000000004</v>
      </c>
      <c r="I12" s="5"/>
      <c r="J12" s="13"/>
      <c r="K12" s="5"/>
      <c r="L12" s="5">
        <f t="shared" ref="L12:L21" si="0">+D12-H12</f>
        <v>1859834.3300000003</v>
      </c>
      <c r="M12" s="5"/>
      <c r="N12" s="13">
        <f t="shared" ref="N12:N21" si="1">IF(H12=0,0,L12/H12)</f>
        <v>11.392330012520427</v>
      </c>
      <c r="O12" s="11"/>
      <c r="P12" s="5">
        <f>SUM(OSRRefP13x_0)</f>
        <v>12316579.900000002</v>
      </c>
      <c r="Q12" s="5"/>
      <c r="R12" s="13"/>
      <c r="S12" s="5"/>
      <c r="T12" s="5">
        <f>SUM(OSRRefT13x_0)</f>
        <v>1397976.21</v>
      </c>
      <c r="U12" s="5"/>
      <c r="V12" s="13"/>
      <c r="W12" s="5"/>
      <c r="X12" s="5">
        <f t="shared" ref="X12:X21" si="2">+P12-T12</f>
        <v>10918603.690000001</v>
      </c>
      <c r="Y12" s="5"/>
      <c r="Z12" s="13">
        <f t="shared" ref="Z12:Z21" si="3">IF(T12=0,0,X12/T12)</f>
        <v>7.8102929162149346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--55113.37</f>
        <v>55113.37</v>
      </c>
      <c r="E13" s="3"/>
      <c r="F13" s="20"/>
      <c r="G13" s="3"/>
      <c r="H13" s="3">
        <f>--6552.2</f>
        <v>6552.2</v>
      </c>
      <c r="I13" s="3"/>
      <c r="J13" s="20"/>
      <c r="K13" s="3"/>
      <c r="L13" s="3">
        <f t="shared" si="0"/>
        <v>48561.170000000006</v>
      </c>
      <c r="M13" s="3"/>
      <c r="N13" s="20">
        <f t="shared" si="1"/>
        <v>7.4114297487866683</v>
      </c>
      <c r="O13" s="12"/>
      <c r="P13" s="3">
        <f>--318908.25</f>
        <v>318908.25</v>
      </c>
      <c r="Q13" s="3"/>
      <c r="R13" s="20"/>
      <c r="S13" s="3"/>
      <c r="T13" s="3">
        <f>--32121.26</f>
        <v>32121.26</v>
      </c>
      <c r="U13" s="3"/>
      <c r="V13" s="20"/>
      <c r="W13" s="3"/>
      <c r="X13" s="3">
        <f t="shared" si="2"/>
        <v>286786.99</v>
      </c>
      <c r="Y13" s="3"/>
      <c r="Z13" s="20">
        <f t="shared" si="3"/>
        <v>8.9282609088186451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--48734.68</f>
        <v>48734.68</v>
      </c>
      <c r="I14" s="3"/>
      <c r="J14" s="20"/>
      <c r="K14" s="3"/>
      <c r="L14" s="3">
        <f t="shared" si="0"/>
        <v>-48734.68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--380674.79</f>
        <v>380674.79</v>
      </c>
      <c r="U14" s="3"/>
      <c r="V14" s="20"/>
      <c r="W14" s="3"/>
      <c r="X14" s="3">
        <f t="shared" si="2"/>
        <v>-380674.79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--8084.06</f>
        <v>8084.06</v>
      </c>
      <c r="E15" s="3"/>
      <c r="F15" s="20"/>
      <c r="G15" s="3"/>
      <c r="H15" s="3">
        <f>--161.18</f>
        <v>161.18</v>
      </c>
      <c r="I15" s="3"/>
      <c r="J15" s="20"/>
      <c r="K15" s="3"/>
      <c r="L15" s="3">
        <f t="shared" si="0"/>
        <v>7922.88</v>
      </c>
      <c r="M15" s="3"/>
      <c r="N15" s="20">
        <f t="shared" si="1"/>
        <v>49.155478347189479</v>
      </c>
      <c r="O15" s="12"/>
      <c r="P15" s="3">
        <f>--28572.95</f>
        <v>28572.95</v>
      </c>
      <c r="Q15" s="3"/>
      <c r="R15" s="20"/>
      <c r="S15" s="3"/>
      <c r="T15" s="3">
        <f>--1084.9</f>
        <v>1084.9000000000001</v>
      </c>
      <c r="U15" s="3"/>
      <c r="V15" s="20"/>
      <c r="W15" s="3"/>
      <c r="X15" s="3">
        <f t="shared" si="2"/>
        <v>27488.05</v>
      </c>
      <c r="Y15" s="3"/>
      <c r="Z15" s="20">
        <f t="shared" si="3"/>
        <v>25.336943497096502</v>
      </c>
    </row>
    <row r="16" spans="1:26" s="69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--1014.83</f>
        <v>1014.83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1014.83</v>
      </c>
      <c r="M16" s="3"/>
      <c r="N16" s="20">
        <f t="shared" si="1"/>
        <v>0</v>
      </c>
      <c r="O16" s="12"/>
      <c r="P16" s="3">
        <f>--1556.1</f>
        <v>1556.1</v>
      </c>
      <c r="Q16" s="3"/>
      <c r="R16" s="20"/>
      <c r="S16" s="3"/>
      <c r="T16" s="3">
        <f>0</f>
        <v>0</v>
      </c>
      <c r="U16" s="3"/>
      <c r="V16" s="20"/>
      <c r="W16" s="3"/>
      <c r="X16" s="3">
        <f t="shared" si="2"/>
        <v>1556.1</v>
      </c>
      <c r="Y16" s="3"/>
      <c r="Z16" s="20">
        <f t="shared" si="3"/>
        <v>0</v>
      </c>
    </row>
    <row r="17" spans="1:26" s="69" customFormat="1" ht="15" hidden="1" customHeight="1" outlineLevel="1" x14ac:dyDescent="0.3">
      <c r="A17" s="42"/>
      <c r="B17" s="12" t="str">
        <f>CONCATENATE("          ","4058"," - ","TAXABLE SALES-FOOD")</f>
        <v xml:space="preserve">          4058 - TAXABLE SALES-FOOD</v>
      </c>
      <c r="C17" s="12"/>
      <c r="D17" s="3">
        <f>0</f>
        <v>0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>
        <f>--974.91</f>
        <v>974.91</v>
      </c>
      <c r="U17" s="3"/>
      <c r="V17" s="20"/>
      <c r="W17" s="3"/>
      <c r="X17" s="3">
        <f t="shared" si="2"/>
        <v>-974.91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--1941274.31</f>
        <v>1941274.31</v>
      </c>
      <c r="E18" s="3"/>
      <c r="F18" s="20"/>
      <c r="G18" s="3"/>
      <c r="H18" s="3">
        <f>--91787.27</f>
        <v>91787.27</v>
      </c>
      <c r="I18" s="3"/>
      <c r="J18" s="20"/>
      <c r="K18" s="3"/>
      <c r="L18" s="3">
        <f t="shared" si="0"/>
        <v>1849487.04</v>
      </c>
      <c r="M18" s="3"/>
      <c r="N18" s="20">
        <f t="shared" si="1"/>
        <v>20.149711828230647</v>
      </c>
      <c r="O18" s="12"/>
      <c r="P18" s="3">
        <f>--11851696.71</f>
        <v>11851696.710000001</v>
      </c>
      <c r="Q18" s="3"/>
      <c r="R18" s="20"/>
      <c r="S18" s="3"/>
      <c r="T18" s="3">
        <f>--924097.12</f>
        <v>924097.12</v>
      </c>
      <c r="U18" s="3"/>
      <c r="V18" s="20"/>
      <c r="W18" s="3"/>
      <c r="X18" s="3">
        <f t="shared" si="2"/>
        <v>10927599.590000002</v>
      </c>
      <c r="Y18" s="3"/>
      <c r="Z18" s="20">
        <f t="shared" si="3"/>
        <v>11.825163560730502</v>
      </c>
    </row>
    <row r="19" spans="1:26" s="69" customFormat="1" ht="15" hidden="1" customHeight="1" outlineLevel="1" x14ac:dyDescent="0.3">
      <c r="A19" s="42"/>
      <c r="B19" s="12" t="str">
        <f>CONCATENATE("          ","4152"," - ","NON-TAXABLE SALES-FOOD")</f>
        <v xml:space="preserve">          4152 - NON-TAXABLE SALES-FOOD</v>
      </c>
      <c r="C19" s="12"/>
      <c r="D19" s="3">
        <f>0</f>
        <v>0</v>
      </c>
      <c r="E19" s="3"/>
      <c r="F19" s="20"/>
      <c r="G19" s="3"/>
      <c r="H19" s="3">
        <f>--11580.95</f>
        <v>11580.95</v>
      </c>
      <c r="I19" s="3"/>
      <c r="J19" s="20"/>
      <c r="K19" s="3"/>
      <c r="L19" s="3">
        <f t="shared" si="0"/>
        <v>-11580.95</v>
      </c>
      <c r="M19" s="3"/>
      <c r="N19" s="20">
        <f t="shared" si="1"/>
        <v>-1</v>
      </c>
      <c r="O19" s="12"/>
      <c r="P19" s="3">
        <f>0</f>
        <v>0</v>
      </c>
      <c r="Q19" s="3"/>
      <c r="R19" s="20"/>
      <c r="S19" s="3"/>
      <c r="T19" s="3">
        <f>--11580.95</f>
        <v>11580.95</v>
      </c>
      <c r="U19" s="3"/>
      <c r="V19" s="20"/>
      <c r="W19" s="3"/>
      <c r="X19" s="3">
        <f t="shared" si="2"/>
        <v>-11580.95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--15546.35</f>
        <v>15546.35</v>
      </c>
      <c r="E20" s="3"/>
      <c r="F20" s="20"/>
      <c r="G20" s="3"/>
      <c r="H20" s="3">
        <f>--4436.92</f>
        <v>4436.92</v>
      </c>
      <c r="I20" s="3"/>
      <c r="J20" s="20"/>
      <c r="K20" s="3"/>
      <c r="L20" s="3">
        <f t="shared" si="0"/>
        <v>11109.43</v>
      </c>
      <c r="M20" s="3"/>
      <c r="N20" s="20">
        <f t="shared" si="1"/>
        <v>2.503860786311225</v>
      </c>
      <c r="O20" s="12"/>
      <c r="P20" s="3">
        <f>--112046.57</f>
        <v>112046.57</v>
      </c>
      <c r="Q20" s="3"/>
      <c r="R20" s="20"/>
      <c r="S20" s="3"/>
      <c r="T20" s="3">
        <f>--47442.28</f>
        <v>47442.28</v>
      </c>
      <c r="U20" s="3"/>
      <c r="V20" s="20"/>
      <c r="W20" s="3"/>
      <c r="X20" s="3">
        <f t="shared" si="2"/>
        <v>64604.290000000008</v>
      </c>
      <c r="Y20" s="3"/>
      <c r="Z20" s="20">
        <f t="shared" si="3"/>
        <v>1.3617450510388627</v>
      </c>
    </row>
    <row r="21" spans="1:26" s="69" customFormat="1" ht="15" hidden="1" customHeight="1" outlineLevel="1" x14ac:dyDescent="0.3">
      <c r="A21" s="42"/>
      <c r="B21" s="12" t="str">
        <f>CONCATENATE("          ","4155"," - ","NON-TAXABLE SALES-FOOD")</f>
        <v xml:space="preserve">          4155 - NON-TAXABLE SALES-FOOD</v>
      </c>
      <c r="C21" s="12"/>
      <c r="D21" s="3">
        <f>--2054.61</f>
        <v>2054.61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2054.61</v>
      </c>
      <c r="M21" s="3"/>
      <c r="N21" s="20">
        <f t="shared" si="1"/>
        <v>0</v>
      </c>
      <c r="O21" s="12"/>
      <c r="P21" s="3">
        <f>--3799.32</f>
        <v>3799.32</v>
      </c>
      <c r="Q21" s="3"/>
      <c r="R21" s="20"/>
      <c r="S21" s="3"/>
      <c r="T21" s="3">
        <f>0</f>
        <v>0</v>
      </c>
      <c r="U21" s="3"/>
      <c r="V21" s="20"/>
      <c r="W21" s="3"/>
      <c r="X21" s="3">
        <f t="shared" si="2"/>
        <v>3799.32</v>
      </c>
      <c r="Y21" s="3"/>
      <c r="Z21" s="20">
        <f t="shared" si="3"/>
        <v>0</v>
      </c>
    </row>
    <row r="22" spans="1:26" ht="15" customHeight="1" x14ac:dyDescent="0.3">
      <c r="A22" s="10"/>
      <c r="B22" s="11"/>
      <c r="C22" s="10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collapsed="1" x14ac:dyDescent="0.3">
      <c r="A23" s="11"/>
      <c r="B23" s="27" t="s">
        <v>287</v>
      </c>
      <c r="C23" s="11"/>
      <c r="D23" s="5">
        <f>SUM(OSRRefD16x_0)</f>
        <v>443045.46</v>
      </c>
      <c r="E23" s="5"/>
      <c r="F23" s="13">
        <f>IF(D$12=0,0,D23/D$12)</f>
        <v>0.21899470657109926</v>
      </c>
      <c r="G23" s="5"/>
      <c r="H23" s="5">
        <f>SUM(OSRRefH16x_0)</f>
        <v>50783.16</v>
      </c>
      <c r="I23" s="5"/>
      <c r="J23" s="13">
        <f>IF(H$12=0,0,H23/H$12)</f>
        <v>0.31106992083462981</v>
      </c>
      <c r="K23" s="5"/>
      <c r="L23" s="5">
        <f>+D23-H23</f>
        <v>392262.30000000005</v>
      </c>
      <c r="M23" s="5"/>
      <c r="N23" s="13">
        <f>IF(H23=0,0,L23/H23)</f>
        <v>7.7242593804717945</v>
      </c>
      <c r="O23" s="11"/>
      <c r="P23" s="5">
        <f>SUM(OSRRefP16x_0)</f>
        <v>3103980.99</v>
      </c>
      <c r="Q23" s="5"/>
      <c r="R23" s="13">
        <f>IF(P$12=0,0,P23/P$12)</f>
        <v>0.25201647009166883</v>
      </c>
      <c r="S23" s="5"/>
      <c r="T23" s="5">
        <f>SUM(OSRRefT16x_0)</f>
        <v>429410.48</v>
      </c>
      <c r="U23" s="5"/>
      <c r="V23" s="13">
        <f>IF(T$12=0,0,T23/T$12)</f>
        <v>0.30716579933788718</v>
      </c>
      <c r="W23" s="5"/>
      <c r="X23" s="5">
        <f>+P23-T23</f>
        <v>2674570.5100000002</v>
      </c>
      <c r="Y23" s="5"/>
      <c r="Z23" s="13">
        <f>IF(T23=0,0,X23/T23)</f>
        <v>6.2284705068213526</v>
      </c>
    </row>
    <row r="24" spans="1:26" s="69" customFormat="1" ht="15" hidden="1" customHeight="1" outlineLevel="1" x14ac:dyDescent="0.3">
      <c r="A24" s="42"/>
      <c r="B24" s="12" t="str">
        <f>CONCATENATE("          ","5053"," - ","PURCHASES @ COST-FOOD")</f>
        <v xml:space="preserve">          5053 - PURCHASES @ COST-FOOD</v>
      </c>
      <c r="C24" s="12"/>
      <c r="D24" s="3">
        <v>422423.33</v>
      </c>
      <c r="E24" s="3"/>
      <c r="F24" s="20">
        <f>IF(D$12=0,0,D24/D$12)</f>
        <v>0.20880131172574623</v>
      </c>
      <c r="G24" s="3"/>
      <c r="H24" s="3">
        <v>50154.23</v>
      </c>
      <c r="I24" s="3"/>
      <c r="J24" s="20">
        <f>IF(H$12=0,0,H24/H$12)</f>
        <v>0.30721743892309611</v>
      </c>
      <c r="K24" s="3"/>
      <c r="L24" s="3">
        <f>+D24-H24</f>
        <v>372269.10000000003</v>
      </c>
      <c r="M24" s="3"/>
      <c r="N24" s="20">
        <f>IF(H24=0,0,L24/H24)</f>
        <v>7.4224865978403018</v>
      </c>
      <c r="O24" s="12"/>
      <c r="P24" s="3">
        <v>3078065.68</v>
      </c>
      <c r="Q24" s="3"/>
      <c r="R24" s="20">
        <f>IF(P$12=0,0,P24/P$12)</f>
        <v>0.24991237055994739</v>
      </c>
      <c r="S24" s="3"/>
      <c r="T24" s="3">
        <v>427806.17</v>
      </c>
      <c r="U24" s="3"/>
      <c r="V24" s="20">
        <f>IF(T$12=0,0,T24/T$12)</f>
        <v>0.30601820470178098</v>
      </c>
      <c r="W24" s="3"/>
      <c r="X24" s="3">
        <f>+P24-T24</f>
        <v>2650259.5100000002</v>
      </c>
      <c r="Y24" s="3"/>
      <c r="Z24" s="20">
        <f>IF(T24=0,0,X24/T24)</f>
        <v>6.1950006705139398</v>
      </c>
    </row>
    <row r="25" spans="1:26" s="69" customFormat="1" ht="15" hidden="1" customHeight="1" outlineLevel="1" x14ac:dyDescent="0.3">
      <c r="A25" s="42"/>
      <c r="B25" s="12" t="str">
        <f>CONCATENATE("          ","5059"," - ","PURCHASES @ COST-FOOD")</f>
        <v xml:space="preserve">          5059 - PURCHASES @ COST-FOOD</v>
      </c>
      <c r="C25" s="12"/>
      <c r="D25" s="3">
        <v>20622.13</v>
      </c>
      <c r="E25" s="3"/>
      <c r="F25" s="20">
        <f>IF(D$12=0,0,D25/D$12)</f>
        <v>1.0193394845353032E-2</v>
      </c>
      <c r="G25" s="3"/>
      <c r="H25" s="3">
        <v>628.92999999999995</v>
      </c>
      <c r="I25" s="3"/>
      <c r="J25" s="20">
        <f>IF(H$12=0,0,H25/H$12)</f>
        <v>3.8524819115337392E-3</v>
      </c>
      <c r="K25" s="3"/>
      <c r="L25" s="3">
        <f>+D25-H25</f>
        <v>19993.2</v>
      </c>
      <c r="M25" s="3"/>
      <c r="N25" s="20">
        <f>IF(H25=0,0,L25/H25)</f>
        <v>31.789229325998129</v>
      </c>
      <c r="O25" s="12"/>
      <c r="P25" s="3">
        <v>25915.31</v>
      </c>
      <c r="Q25" s="3"/>
      <c r="R25" s="20">
        <f>IF(P$12=0,0,P25/P$12)</f>
        <v>2.1040995317214641E-3</v>
      </c>
      <c r="S25" s="3"/>
      <c r="T25" s="3">
        <v>1604.31</v>
      </c>
      <c r="U25" s="3"/>
      <c r="V25" s="20">
        <f>IF(T$12=0,0,T25/T$12)</f>
        <v>1.1475946361061465E-3</v>
      </c>
      <c r="W25" s="3"/>
      <c r="X25" s="3">
        <f>+P25-T25</f>
        <v>24311</v>
      </c>
      <c r="Y25" s="3"/>
      <c r="Z25" s="20">
        <f>IF(T25=0,0,X25/T25)</f>
        <v>15.15355511091996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288</v>
      </c>
      <c r="C27" s="28"/>
      <c r="D27" s="21">
        <f>D12-D23</f>
        <v>1580042.0700000003</v>
      </c>
      <c r="E27" s="15"/>
      <c r="F27" s="23">
        <f>IF(D$12=0,0,D27/D$12)</f>
        <v>0.78100529342890079</v>
      </c>
      <c r="G27" s="15"/>
      <c r="H27" s="21">
        <f>H12-H23</f>
        <v>112470.04000000004</v>
      </c>
      <c r="I27" s="15"/>
      <c r="J27" s="23">
        <f>IF(H$12=0,0,H27/H$12)</f>
        <v>0.68893007916537019</v>
      </c>
      <c r="K27" s="16"/>
      <c r="L27" s="21">
        <f>+D27-H27</f>
        <v>1467572.0300000003</v>
      </c>
      <c r="M27" s="16"/>
      <c r="N27" s="23">
        <f>IF(H27=0,0,L27/H27)</f>
        <v>13.048559687539898</v>
      </c>
      <c r="O27" s="27"/>
      <c r="P27" s="21">
        <f>P12-P23</f>
        <v>9212598.910000002</v>
      </c>
      <c r="Q27" s="15"/>
      <c r="R27" s="23">
        <f>IF(P$12=0,0,P27/P$12)</f>
        <v>0.74798352990833117</v>
      </c>
      <c r="S27" s="15"/>
      <c r="T27" s="21">
        <f>T12-T23</f>
        <v>968565.73</v>
      </c>
      <c r="U27" s="15"/>
      <c r="V27" s="23">
        <f>IF(T$12=0,0,T27/T$12)</f>
        <v>0.69283420066211288</v>
      </c>
      <c r="W27" s="16"/>
      <c r="X27" s="21">
        <f>+P27-T27</f>
        <v>8244033.1800000016</v>
      </c>
      <c r="Y27" s="16"/>
      <c r="Z27" s="23">
        <f>IF(T27=0,0,X27/T27)</f>
        <v>8.5115887591851944</v>
      </c>
    </row>
    <row r="28" spans="1:26" ht="15" customHeight="1" x14ac:dyDescent="0.3">
      <c r="A28" s="10"/>
      <c r="B28" s="11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x14ac:dyDescent="0.3">
      <c r="A29" s="11"/>
      <c r="B29" s="27" t="s">
        <v>289</v>
      </c>
      <c r="C29" s="11"/>
      <c r="D29" s="22" cm="1">
        <f t="array" ref="D29">SUM(OSRRefD22x_0)</f>
        <v>863888.94</v>
      </c>
      <c r="E29" s="22"/>
      <c r="F29" s="32">
        <f t="shared" ref="F29:F60" si="4">IF(D$12=0,0,D29/D$12)</f>
        <v>0.4270151079424625</v>
      </c>
      <c r="G29" s="22"/>
      <c r="H29" s="22" cm="1">
        <f t="array" ref="H29">SUM(OSRRefH22x_0)</f>
        <v>367637.8600000001</v>
      </c>
      <c r="I29" s="22"/>
      <c r="J29" s="32">
        <f t="shared" ref="J29:J60" si="5">IF(H$12=0,0,H29/H$12)</f>
        <v>2.2519488745090448</v>
      </c>
      <c r="K29" s="5"/>
      <c r="L29" s="22">
        <f t="shared" ref="L29:L60" si="6">+D29-H29</f>
        <v>496251.07999999984</v>
      </c>
      <c r="M29" s="5"/>
      <c r="N29" s="32">
        <f t="shared" ref="N29:N60" si="7">IF(H29=0,0,L29/H29)</f>
        <v>1.3498367115943926</v>
      </c>
      <c r="O29" s="11"/>
      <c r="P29" s="22" cm="1">
        <f t="array" ref="P29">SUM(OSRRefP22x_0)</f>
        <v>6653869.8499999987</v>
      </c>
      <c r="Q29" s="22"/>
      <c r="R29" s="32">
        <f t="shared" ref="R29:R60" si="8">IF(P$12=0,0,P29/P$12)</f>
        <v>0.54023681119463995</v>
      </c>
      <c r="S29" s="22"/>
      <c r="T29" s="22" cm="1">
        <f t="array" ref="T29">SUM(OSRRefT22x_0)</f>
        <v>3381388.5999999996</v>
      </c>
      <c r="U29" s="22"/>
      <c r="V29" s="32">
        <f t="shared" ref="V29:V60" si="9">IF(T$12=0,0,T29/T$12)</f>
        <v>2.4187740648319043</v>
      </c>
      <c r="W29" s="5"/>
      <c r="X29" s="22">
        <f t="shared" ref="X29:X60" si="10">+P29-T29</f>
        <v>3272481.2499999991</v>
      </c>
      <c r="Y29" s="5"/>
      <c r="Z29" s="32">
        <f t="shared" ref="Z29:Z60" si="11">IF(T29=0,0,X29/T29)</f>
        <v>0.96779212244342439</v>
      </c>
    </row>
    <row r="30" spans="1:26" s="68" customFormat="1" ht="15" customHeight="1" outlineLevel="1" collapsed="1" x14ac:dyDescent="0.3">
      <c r="A30" s="25"/>
      <c r="B30" s="14" t="str">
        <f>CONCATENATE("     ","*Benefits                                         ")</f>
        <v xml:space="preserve">     *Benefits                                         </v>
      </c>
      <c r="C30" s="14"/>
      <c r="D30" s="2">
        <f>SUM(OSRRefD22_0x_0)</f>
        <v>131911.00999999998</v>
      </c>
      <c r="E30" s="2"/>
      <c r="F30" s="6">
        <f t="shared" si="4"/>
        <v>6.5202818980353239E-2</v>
      </c>
      <c r="G30" s="2"/>
      <c r="H30" s="2">
        <f>SUM(OSRRefH22_0x_0)</f>
        <v>104829.08</v>
      </c>
      <c r="I30" s="2"/>
      <c r="J30" s="6">
        <f t="shared" si="5"/>
        <v>0.64212572862277728</v>
      </c>
      <c r="K30" s="2"/>
      <c r="L30" s="2">
        <f t="shared" si="6"/>
        <v>27081.929999999978</v>
      </c>
      <c r="M30" s="2"/>
      <c r="N30" s="6">
        <f t="shared" si="7"/>
        <v>0.25834367715523193</v>
      </c>
      <c r="O30" s="14"/>
      <c r="P30" s="2">
        <f>SUM(OSRRefP22_0x_0)</f>
        <v>1181449.9700000002</v>
      </c>
      <c r="Q30" s="2"/>
      <c r="R30" s="6">
        <f t="shared" si="8"/>
        <v>9.5923542054072983E-2</v>
      </c>
      <c r="S30" s="2"/>
      <c r="T30" s="2">
        <f>SUM(OSRRefT22_0x_0)</f>
        <v>982045.63000000012</v>
      </c>
      <c r="U30" s="2"/>
      <c r="V30" s="6">
        <f t="shared" si="9"/>
        <v>0.70247663942721894</v>
      </c>
      <c r="W30" s="2"/>
      <c r="X30" s="2">
        <f t="shared" si="10"/>
        <v>199404.34000000008</v>
      </c>
      <c r="Y30" s="2"/>
      <c r="Z30" s="6">
        <f t="shared" si="11"/>
        <v>0.20304997436829902</v>
      </c>
    </row>
    <row r="31" spans="1:26" s="69" customFormat="1" ht="15" hidden="1" customHeight="1" outlineLevel="2" x14ac:dyDescent="0.3">
      <c r="A31" s="26"/>
      <c r="B31" s="12" t="str">
        <f>CONCATENATE("          ","6111"," - ","F.I.C.A.")</f>
        <v xml:space="preserve">          6111 - F.I.C.A.</v>
      </c>
      <c r="C31" s="12"/>
      <c r="D31" s="8">
        <v>24355.09</v>
      </c>
      <c r="E31" s="3"/>
      <c r="F31" s="7">
        <f t="shared" si="4"/>
        <v>1.2038574524751282E-2</v>
      </c>
      <c r="G31" s="3"/>
      <c r="H31" s="8">
        <v>14541.6</v>
      </c>
      <c r="I31" s="3"/>
      <c r="J31" s="7">
        <f t="shared" si="5"/>
        <v>8.9073904830043127E-2</v>
      </c>
      <c r="K31" s="3"/>
      <c r="L31" s="8">
        <f t="shared" si="6"/>
        <v>9813.49</v>
      </c>
      <c r="M31" s="3"/>
      <c r="N31" s="7">
        <f t="shared" si="7"/>
        <v>0.67485627441271934</v>
      </c>
      <c r="O31" s="12"/>
      <c r="P31" s="8">
        <v>170952.44</v>
      </c>
      <c r="Q31" s="3"/>
      <c r="R31" s="7">
        <f t="shared" si="8"/>
        <v>1.3879862866801195E-2</v>
      </c>
      <c r="S31" s="3"/>
      <c r="T31" s="8">
        <v>107773.3</v>
      </c>
      <c r="U31" s="3"/>
      <c r="V31" s="7">
        <f t="shared" si="9"/>
        <v>7.7092370548995259E-2</v>
      </c>
      <c r="W31" s="3"/>
      <c r="X31" s="8">
        <f t="shared" si="10"/>
        <v>63179.14</v>
      </c>
      <c r="Y31" s="3"/>
      <c r="Z31" s="7">
        <f t="shared" si="11"/>
        <v>0.5862225616177662</v>
      </c>
    </row>
    <row r="32" spans="1:26" s="69" customFormat="1" ht="15" hidden="1" customHeight="1" outlineLevel="2" x14ac:dyDescent="0.3">
      <c r="A32" s="26"/>
      <c r="B32" s="12" t="str">
        <f>CONCATENATE("          ","6112"," - ","COMPENSATION INSURANCE")</f>
        <v xml:space="preserve">          6112 - COMPENSATION INSURANCE</v>
      </c>
      <c r="C32" s="12"/>
      <c r="D32" s="8">
        <v>11031.17</v>
      </c>
      <c r="E32" s="3"/>
      <c r="F32" s="7">
        <f t="shared" si="4"/>
        <v>5.4526409937389105E-3</v>
      </c>
      <c r="G32" s="3"/>
      <c r="H32" s="8">
        <v>5039.95</v>
      </c>
      <c r="I32" s="3"/>
      <c r="J32" s="7">
        <f t="shared" si="5"/>
        <v>3.0871982907532583E-2</v>
      </c>
      <c r="K32" s="3"/>
      <c r="L32" s="8">
        <f t="shared" si="6"/>
        <v>5991.22</v>
      </c>
      <c r="M32" s="3"/>
      <c r="N32" s="7">
        <f t="shared" si="7"/>
        <v>1.1887459200984138</v>
      </c>
      <c r="O32" s="12"/>
      <c r="P32" s="8">
        <v>99190.83</v>
      </c>
      <c r="Q32" s="3"/>
      <c r="R32" s="7">
        <f t="shared" si="8"/>
        <v>8.0534394129980827E-3</v>
      </c>
      <c r="S32" s="3"/>
      <c r="T32" s="8">
        <v>55789.98</v>
      </c>
      <c r="U32" s="3"/>
      <c r="V32" s="7">
        <f t="shared" si="9"/>
        <v>3.9907674823736812E-2</v>
      </c>
      <c r="W32" s="3"/>
      <c r="X32" s="8">
        <f t="shared" si="10"/>
        <v>43400.85</v>
      </c>
      <c r="Y32" s="3"/>
      <c r="Z32" s="7">
        <f t="shared" si="11"/>
        <v>0.77793270404470471</v>
      </c>
    </row>
    <row r="33" spans="1:26" s="69" customFormat="1" ht="15" hidden="1" customHeight="1" outlineLevel="2" x14ac:dyDescent="0.3">
      <c r="A33" s="26"/>
      <c r="B33" s="12" t="str">
        <f>CONCATENATE("          ","6113"," - ","GROUP INSURANCE")</f>
        <v xml:space="preserve">          6113 - GROUP INSURANCE</v>
      </c>
      <c r="C33" s="12"/>
      <c r="D33" s="8">
        <v>51599.519999999997</v>
      </c>
      <c r="E33" s="3"/>
      <c r="F33" s="7">
        <f t="shared" si="4"/>
        <v>2.5505332436110657E-2</v>
      </c>
      <c r="G33" s="3"/>
      <c r="H33" s="8">
        <v>53408.89</v>
      </c>
      <c r="I33" s="3"/>
      <c r="J33" s="7">
        <f t="shared" si="5"/>
        <v>0.32715370969757401</v>
      </c>
      <c r="K33" s="3"/>
      <c r="L33" s="8">
        <f t="shared" si="6"/>
        <v>-1809.3700000000026</v>
      </c>
      <c r="M33" s="3"/>
      <c r="N33" s="7">
        <f t="shared" si="7"/>
        <v>-3.3877693395238183E-2</v>
      </c>
      <c r="O33" s="12"/>
      <c r="P33" s="8">
        <v>547158.53</v>
      </c>
      <c r="Q33" s="3"/>
      <c r="R33" s="7">
        <f t="shared" si="8"/>
        <v>4.4424550844670764E-2</v>
      </c>
      <c r="S33" s="3"/>
      <c r="T33" s="8">
        <v>543838.42000000004</v>
      </c>
      <c r="U33" s="3"/>
      <c r="V33" s="7">
        <f t="shared" si="9"/>
        <v>0.38901836534113843</v>
      </c>
      <c r="W33" s="3"/>
      <c r="X33" s="8">
        <f t="shared" si="10"/>
        <v>3320.109999999986</v>
      </c>
      <c r="Y33" s="3"/>
      <c r="Z33" s="7">
        <f t="shared" si="11"/>
        <v>6.1049566891577568E-3</v>
      </c>
    </row>
    <row r="34" spans="1:26" s="69" customFormat="1" ht="15" hidden="1" customHeight="1" outlineLevel="2" x14ac:dyDescent="0.3">
      <c r="A34" s="26"/>
      <c r="B34" s="12" t="str">
        <f>CONCATENATE("          ","6114"," - ","STATE UNEMPLOYMENT INSURANCE")</f>
        <v xml:space="preserve">          6114 - STATE UNEMPLOYMENT INSURANCE</v>
      </c>
      <c r="C34" s="12"/>
      <c r="D34" s="8">
        <v>826.79</v>
      </c>
      <c r="E34" s="3"/>
      <c r="F34" s="7">
        <f t="shared" si="4"/>
        <v>4.0867732499937846E-4</v>
      </c>
      <c r="G34" s="3"/>
      <c r="H34" s="8">
        <v>347.65</v>
      </c>
      <c r="I34" s="3"/>
      <c r="J34" s="7">
        <f t="shared" si="5"/>
        <v>2.1295141534744795E-3</v>
      </c>
      <c r="K34" s="3"/>
      <c r="L34" s="8">
        <f t="shared" si="6"/>
        <v>479.14</v>
      </c>
      <c r="M34" s="3"/>
      <c r="N34" s="7">
        <f t="shared" si="7"/>
        <v>1.3782252265209263</v>
      </c>
      <c r="O34" s="12"/>
      <c r="P34" s="8">
        <v>7475.84</v>
      </c>
      <c r="Q34" s="3"/>
      <c r="R34" s="7">
        <f t="shared" si="8"/>
        <v>6.0697369405284321E-4</v>
      </c>
      <c r="S34" s="3"/>
      <c r="T34" s="8">
        <v>3956.47</v>
      </c>
      <c r="U34" s="3"/>
      <c r="V34" s="7">
        <f t="shared" si="9"/>
        <v>2.8301411509713743E-3</v>
      </c>
      <c r="W34" s="3"/>
      <c r="X34" s="8">
        <f t="shared" si="10"/>
        <v>3519.3700000000003</v>
      </c>
      <c r="Y34" s="3"/>
      <c r="Z34" s="7">
        <f t="shared" si="11"/>
        <v>0.8895227311214291</v>
      </c>
    </row>
    <row r="35" spans="1:26" s="69" customFormat="1" ht="15" hidden="1" customHeight="1" outlineLevel="2" x14ac:dyDescent="0.3">
      <c r="A35" s="26"/>
      <c r="B35" s="12" t="str">
        <f>CONCATENATE("          ","6115"," - ","P.E.R.S.")</f>
        <v xml:space="preserve">          6115 - P.E.R.S.</v>
      </c>
      <c r="C35" s="12"/>
      <c r="D35" s="8">
        <v>9806.4599999999991</v>
      </c>
      <c r="E35" s="3"/>
      <c r="F35" s="7">
        <f t="shared" si="4"/>
        <v>4.8472742056790783E-3</v>
      </c>
      <c r="G35" s="3"/>
      <c r="H35" s="8">
        <v>6315.19</v>
      </c>
      <c r="I35" s="3"/>
      <c r="J35" s="7">
        <f t="shared" si="5"/>
        <v>3.8683407124638282E-2</v>
      </c>
      <c r="K35" s="3"/>
      <c r="L35" s="8">
        <f t="shared" si="6"/>
        <v>3491.2699999999995</v>
      </c>
      <c r="M35" s="3"/>
      <c r="N35" s="7">
        <f t="shared" si="7"/>
        <v>0.5528368901014854</v>
      </c>
      <c r="O35" s="12"/>
      <c r="P35" s="8">
        <v>77741.990000000005</v>
      </c>
      <c r="Q35" s="3"/>
      <c r="R35" s="7">
        <f t="shared" si="8"/>
        <v>6.3119787011652476E-3</v>
      </c>
      <c r="S35" s="3"/>
      <c r="T35" s="8">
        <v>72169.67</v>
      </c>
      <c r="U35" s="3"/>
      <c r="V35" s="7">
        <f t="shared" si="9"/>
        <v>5.1624390661125771E-2</v>
      </c>
      <c r="W35" s="3"/>
      <c r="X35" s="8">
        <f t="shared" si="10"/>
        <v>5572.320000000007</v>
      </c>
      <c r="Y35" s="3"/>
      <c r="Z35" s="7">
        <f t="shared" si="11"/>
        <v>7.7211382565557068E-2</v>
      </c>
    </row>
    <row r="36" spans="1:26" s="69" customFormat="1" ht="15" hidden="1" customHeight="1" outlineLevel="2" x14ac:dyDescent="0.3">
      <c r="A36" s="26"/>
      <c r="B36" s="12" t="str">
        <f>CONCATENATE("          ","6117"," - ","RETIREMENT STAFF HOURLY")</f>
        <v xml:space="preserve">          6117 - RETIREMENT STAFF HOURLY</v>
      </c>
      <c r="C36" s="12"/>
      <c r="D36" s="8">
        <v>1515.22</v>
      </c>
      <c r="E36" s="3"/>
      <c r="F36" s="7">
        <f t="shared" si="4"/>
        <v>7.4896413404317702E-4</v>
      </c>
      <c r="G36" s="3"/>
      <c r="H36" s="8">
        <v>1408.97</v>
      </c>
      <c r="I36" s="3"/>
      <c r="J36" s="7">
        <f t="shared" si="5"/>
        <v>8.6305812075965407E-3</v>
      </c>
      <c r="K36" s="3"/>
      <c r="L36" s="8">
        <f t="shared" si="6"/>
        <v>106.25</v>
      </c>
      <c r="M36" s="3"/>
      <c r="N36" s="7">
        <f t="shared" si="7"/>
        <v>7.5409696444920751E-2</v>
      </c>
      <c r="O36" s="12"/>
      <c r="P36" s="8">
        <v>17074.93</v>
      </c>
      <c r="Q36" s="3"/>
      <c r="R36" s="7">
        <f t="shared" si="8"/>
        <v>1.3863369651830049E-3</v>
      </c>
      <c r="S36" s="3"/>
      <c r="T36" s="8">
        <v>15402.89</v>
      </c>
      <c r="U36" s="3"/>
      <c r="V36" s="7">
        <f t="shared" si="9"/>
        <v>1.1017991500728042E-2</v>
      </c>
      <c r="W36" s="3"/>
      <c r="X36" s="8">
        <f t="shared" si="10"/>
        <v>1672.0400000000009</v>
      </c>
      <c r="Y36" s="3"/>
      <c r="Z36" s="7">
        <f t="shared" si="11"/>
        <v>0.10855365454145299</v>
      </c>
    </row>
    <row r="37" spans="1:26" s="69" customFormat="1" ht="15" hidden="1" customHeight="1" outlineLevel="2" x14ac:dyDescent="0.3">
      <c r="A37" s="26"/>
      <c r="B37" s="12" t="str">
        <f>CONCATENATE("          ","6118"," - ","VACATION")</f>
        <v xml:space="preserve">          6118 - VACATION</v>
      </c>
      <c r="C37" s="12"/>
      <c r="D37" s="8">
        <v>15047.48</v>
      </c>
      <c r="E37" s="3"/>
      <c r="F37" s="7">
        <f t="shared" si="4"/>
        <v>7.4378788741780236E-3</v>
      </c>
      <c r="G37" s="3"/>
      <c r="H37" s="8">
        <v>12746.94</v>
      </c>
      <c r="I37" s="3"/>
      <c r="J37" s="7">
        <f t="shared" si="5"/>
        <v>7.8080797191111703E-2</v>
      </c>
      <c r="K37" s="3"/>
      <c r="L37" s="8">
        <f t="shared" si="6"/>
        <v>2300.5399999999991</v>
      </c>
      <c r="M37" s="3"/>
      <c r="N37" s="7">
        <f t="shared" si="7"/>
        <v>0.18047782448179711</v>
      </c>
      <c r="O37" s="12"/>
      <c r="P37" s="8">
        <v>117529.77</v>
      </c>
      <c r="Q37" s="3"/>
      <c r="R37" s="7">
        <f t="shared" si="8"/>
        <v>9.5424030822062848E-3</v>
      </c>
      <c r="S37" s="3"/>
      <c r="T37" s="8">
        <v>94119.75</v>
      </c>
      <c r="U37" s="3"/>
      <c r="V37" s="7">
        <f t="shared" si="9"/>
        <v>6.7325716508437577E-2</v>
      </c>
      <c r="W37" s="3"/>
      <c r="X37" s="8">
        <f t="shared" si="10"/>
        <v>23410.020000000004</v>
      </c>
      <c r="Y37" s="3"/>
      <c r="Z37" s="7">
        <f t="shared" si="11"/>
        <v>0.24872590503055952</v>
      </c>
    </row>
    <row r="38" spans="1:26" s="69" customFormat="1" ht="15" hidden="1" customHeight="1" outlineLevel="2" x14ac:dyDescent="0.3">
      <c r="A38" s="26"/>
      <c r="B38" s="12" t="str">
        <f>CONCATENATE("          ","6119"," - ","SICK LEAVE")</f>
        <v xml:space="preserve">          6119 - SICK LEAVE</v>
      </c>
      <c r="C38" s="12"/>
      <c r="D38" s="8">
        <v>11874.59</v>
      </c>
      <c r="E38" s="3"/>
      <c r="F38" s="7">
        <f t="shared" si="4"/>
        <v>5.8695384277317941E-3</v>
      </c>
      <c r="G38" s="3"/>
      <c r="H38" s="8">
        <v>8187.45</v>
      </c>
      <c r="I38" s="3"/>
      <c r="J38" s="7">
        <f t="shared" si="5"/>
        <v>5.0151850009678207E-2</v>
      </c>
      <c r="K38" s="3"/>
      <c r="L38" s="8">
        <f t="shared" si="6"/>
        <v>3687.1400000000003</v>
      </c>
      <c r="M38" s="3"/>
      <c r="N38" s="7">
        <f t="shared" si="7"/>
        <v>0.45034046009441286</v>
      </c>
      <c r="O38" s="12"/>
      <c r="P38" s="8">
        <v>94356.02</v>
      </c>
      <c r="Q38" s="3"/>
      <c r="R38" s="7">
        <f t="shared" si="8"/>
        <v>7.6608945637579133E-3</v>
      </c>
      <c r="S38" s="3"/>
      <c r="T38" s="8">
        <v>60931.89</v>
      </c>
      <c r="U38" s="3"/>
      <c r="V38" s="7">
        <f t="shared" si="9"/>
        <v>4.3585784625047377E-2</v>
      </c>
      <c r="W38" s="3"/>
      <c r="X38" s="8">
        <f t="shared" si="10"/>
        <v>33424.130000000005</v>
      </c>
      <c r="Y38" s="3"/>
      <c r="Z38" s="7">
        <f t="shared" si="11"/>
        <v>0.54854904385864289</v>
      </c>
    </row>
    <row r="39" spans="1:26" s="69" customFormat="1" ht="15" hidden="1" customHeight="1" outlineLevel="2" x14ac:dyDescent="0.3">
      <c r="A39" s="26"/>
      <c r="B39" s="12" t="str">
        <f>CONCATENATE("          ","6156"," - ","EMPLOYEE MEALS")</f>
        <v xml:space="preserve">          6156 - EMPLOYEE MEALS</v>
      </c>
      <c r="C39" s="12"/>
      <c r="D39" s="8">
        <v>5854.69</v>
      </c>
      <c r="E39" s="3"/>
      <c r="F39" s="7">
        <f t="shared" si="4"/>
        <v>2.8939380591209512E-3</v>
      </c>
      <c r="G39" s="3"/>
      <c r="H39" s="8">
        <v>2832.44</v>
      </c>
      <c r="I39" s="3"/>
      <c r="J39" s="7">
        <f t="shared" si="5"/>
        <v>1.7349981501128306E-2</v>
      </c>
      <c r="K39" s="3"/>
      <c r="L39" s="8">
        <f t="shared" si="6"/>
        <v>3022.2499999999995</v>
      </c>
      <c r="M39" s="3"/>
      <c r="N39" s="7">
        <f t="shared" si="7"/>
        <v>1.067012893477002</v>
      </c>
      <c r="O39" s="12"/>
      <c r="P39" s="8">
        <v>49969.62</v>
      </c>
      <c r="Q39" s="3"/>
      <c r="R39" s="7">
        <f t="shared" si="8"/>
        <v>4.0571019232376344E-3</v>
      </c>
      <c r="S39" s="3"/>
      <c r="T39" s="8">
        <v>28063.26</v>
      </c>
      <c r="U39" s="3"/>
      <c r="V39" s="7">
        <f t="shared" si="9"/>
        <v>2.0074204267038279E-2</v>
      </c>
      <c r="W39" s="3"/>
      <c r="X39" s="8">
        <f t="shared" si="10"/>
        <v>21906.360000000004</v>
      </c>
      <c r="Y39" s="3"/>
      <c r="Z39" s="7">
        <f t="shared" si="11"/>
        <v>0.78060638714105224</v>
      </c>
    </row>
    <row r="40" spans="1:26" s="68" customFormat="1" ht="15" customHeight="1" outlineLevel="1" collapsed="1" x14ac:dyDescent="0.3">
      <c r="A40" s="25"/>
      <c r="B40" s="14" t="str">
        <f>CONCATENATE("     ","*Payroll                                          ")</f>
        <v xml:space="preserve">     *Payroll                                          </v>
      </c>
      <c r="C40" s="14"/>
      <c r="D40" s="2">
        <f>SUM(OSRRefD22_1x_0)</f>
        <v>411498.98</v>
      </c>
      <c r="E40" s="2"/>
      <c r="F40" s="6">
        <f t="shared" si="4"/>
        <v>0.20340147121563243</v>
      </c>
      <c r="G40" s="2"/>
      <c r="H40" s="2">
        <f>SUM(OSRRefH22_1x_0)</f>
        <v>148922.57000000004</v>
      </c>
      <c r="I40" s="2"/>
      <c r="J40" s="6">
        <f t="shared" si="5"/>
        <v>0.9122183822430433</v>
      </c>
      <c r="K40" s="2"/>
      <c r="L40" s="2">
        <f t="shared" si="6"/>
        <v>262576.40999999992</v>
      </c>
      <c r="M40" s="2"/>
      <c r="N40" s="6">
        <f t="shared" si="7"/>
        <v>1.7631740440686718</v>
      </c>
      <c r="O40" s="14"/>
      <c r="P40" s="2">
        <f>SUM(OSRRefP22_1x_0)</f>
        <v>3110254.4899999998</v>
      </c>
      <c r="Q40" s="2"/>
      <c r="R40" s="6">
        <f t="shared" si="8"/>
        <v>0.25252582415350538</v>
      </c>
      <c r="S40" s="2"/>
      <c r="T40" s="2">
        <f>SUM(OSRRefT22_1x_0)</f>
        <v>1361148.74</v>
      </c>
      <c r="U40" s="2"/>
      <c r="V40" s="6">
        <f t="shared" si="9"/>
        <v>0.97365658318320025</v>
      </c>
      <c r="W40" s="2"/>
      <c r="X40" s="2">
        <f t="shared" si="10"/>
        <v>1749105.7499999998</v>
      </c>
      <c r="Y40" s="2"/>
      <c r="Z40" s="6">
        <f t="shared" si="11"/>
        <v>1.2850217603698475</v>
      </c>
    </row>
    <row r="41" spans="1:26" s="69" customFormat="1" ht="15" hidden="1" customHeight="1" outlineLevel="2" x14ac:dyDescent="0.3">
      <c r="A41" s="26"/>
      <c r="B41" s="12" t="str">
        <f>CONCATENATE("          ","6001"," - ","ADMINISTRATIVE SALARIES")</f>
        <v xml:space="preserve">          6001 - ADMINISTRATIVE SALARIES</v>
      </c>
      <c r="C41" s="12"/>
      <c r="D41" s="8">
        <v>22337.87</v>
      </c>
      <c r="E41" s="3"/>
      <c r="F41" s="7">
        <f t="shared" si="4"/>
        <v>1.1041474809545189E-2</v>
      </c>
      <c r="G41" s="3"/>
      <c r="H41" s="8">
        <v>22796.34</v>
      </c>
      <c r="I41" s="3"/>
      <c r="J41" s="7">
        <f t="shared" si="5"/>
        <v>0.13963793665300278</v>
      </c>
      <c r="K41" s="3"/>
      <c r="L41" s="8">
        <f t="shared" si="6"/>
        <v>-458.47000000000116</v>
      </c>
      <c r="M41" s="3"/>
      <c r="N41" s="7">
        <f t="shared" si="7"/>
        <v>-2.0111561768248815E-2</v>
      </c>
      <c r="O41" s="12"/>
      <c r="P41" s="8">
        <v>207211.59</v>
      </c>
      <c r="Q41" s="3"/>
      <c r="R41" s="7">
        <f t="shared" si="8"/>
        <v>1.6823792942714556E-2</v>
      </c>
      <c r="S41" s="3"/>
      <c r="T41" s="8">
        <v>202220.49</v>
      </c>
      <c r="U41" s="3"/>
      <c r="V41" s="7">
        <f t="shared" si="9"/>
        <v>0.1446523113580023</v>
      </c>
      <c r="W41" s="3"/>
      <c r="X41" s="8">
        <f t="shared" si="10"/>
        <v>4991.1000000000058</v>
      </c>
      <c r="Y41" s="3"/>
      <c r="Z41" s="7">
        <f t="shared" si="11"/>
        <v>2.4681475156152603E-2</v>
      </c>
    </row>
    <row r="42" spans="1:26" s="69" customFormat="1" ht="15" hidden="1" customHeight="1" outlineLevel="2" x14ac:dyDescent="0.3">
      <c r="A42" s="26"/>
      <c r="B42" s="12" t="str">
        <f>CONCATENATE("          ","6002"," - ","STAFF SALARIES")</f>
        <v xml:space="preserve">          6002 - STAFF SALARIES</v>
      </c>
      <c r="C42" s="12"/>
      <c r="D42" s="8">
        <v>64469.78</v>
      </c>
      <c r="E42" s="3"/>
      <c r="F42" s="7">
        <f t="shared" si="4"/>
        <v>3.1867024557261737E-2</v>
      </c>
      <c r="G42" s="3"/>
      <c r="H42" s="8">
        <v>45634.07</v>
      </c>
      <c r="I42" s="3"/>
      <c r="J42" s="7">
        <f t="shared" si="5"/>
        <v>0.27952940585544411</v>
      </c>
      <c r="K42" s="3"/>
      <c r="L42" s="8">
        <f t="shared" si="6"/>
        <v>18835.71</v>
      </c>
      <c r="M42" s="3"/>
      <c r="N42" s="7">
        <f t="shared" si="7"/>
        <v>0.41275542593505243</v>
      </c>
      <c r="O42" s="12"/>
      <c r="P42" s="8">
        <v>604123.36</v>
      </c>
      <c r="Q42" s="3"/>
      <c r="R42" s="7">
        <f t="shared" si="8"/>
        <v>4.9049603453634065E-2</v>
      </c>
      <c r="S42" s="3"/>
      <c r="T42" s="8">
        <v>440215.93</v>
      </c>
      <c r="U42" s="3"/>
      <c r="V42" s="7">
        <f t="shared" si="9"/>
        <v>0.31489515118429662</v>
      </c>
      <c r="W42" s="3"/>
      <c r="X42" s="8">
        <f t="shared" si="10"/>
        <v>163907.43</v>
      </c>
      <c r="Y42" s="3"/>
      <c r="Z42" s="7">
        <f t="shared" si="11"/>
        <v>0.37233416337296105</v>
      </c>
    </row>
    <row r="43" spans="1:26" s="69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8">
        <v>127503.52</v>
      </c>
      <c r="E43" s="3"/>
      <c r="F43" s="7">
        <f t="shared" si="4"/>
        <v>6.3024223178321889E-2</v>
      </c>
      <c r="G43" s="3"/>
      <c r="H43" s="8">
        <v>70096.23</v>
      </c>
      <c r="I43" s="3"/>
      <c r="J43" s="7">
        <f t="shared" si="5"/>
        <v>0.42937124662793735</v>
      </c>
      <c r="K43" s="3"/>
      <c r="L43" s="8">
        <f t="shared" si="6"/>
        <v>57407.290000000008</v>
      </c>
      <c r="M43" s="3"/>
      <c r="N43" s="7">
        <f t="shared" si="7"/>
        <v>0.81897828171358167</v>
      </c>
      <c r="O43" s="12"/>
      <c r="P43" s="8">
        <v>892119.43</v>
      </c>
      <c r="Q43" s="3"/>
      <c r="R43" s="7">
        <f t="shared" si="8"/>
        <v>7.2432399029863787E-2</v>
      </c>
      <c r="S43" s="3"/>
      <c r="T43" s="8">
        <v>491027.52</v>
      </c>
      <c r="U43" s="3"/>
      <c r="V43" s="7">
        <f t="shared" si="9"/>
        <v>0.3512416852930566</v>
      </c>
      <c r="W43" s="3"/>
      <c r="X43" s="8">
        <f t="shared" si="10"/>
        <v>401091.91000000003</v>
      </c>
      <c r="Y43" s="3"/>
      <c r="Z43" s="7">
        <f t="shared" si="11"/>
        <v>0.81684201732725692</v>
      </c>
    </row>
    <row r="44" spans="1:26" s="69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>
        <v>61801.19</v>
      </c>
      <c r="E44" s="3"/>
      <c r="F44" s="7">
        <f t="shared" si="4"/>
        <v>3.05479565681471E-2</v>
      </c>
      <c r="G44" s="3"/>
      <c r="H44" s="8">
        <v>10996.89</v>
      </c>
      <c r="I44" s="3"/>
      <c r="J44" s="7">
        <f t="shared" si="5"/>
        <v>6.7360946064150634E-2</v>
      </c>
      <c r="K44" s="3"/>
      <c r="L44" s="8">
        <f t="shared" si="6"/>
        <v>50804.3</v>
      </c>
      <c r="M44" s="3"/>
      <c r="N44" s="7">
        <f t="shared" si="7"/>
        <v>4.6198788930324852</v>
      </c>
      <c r="O44" s="12"/>
      <c r="P44" s="8">
        <v>488567.51</v>
      </c>
      <c r="Q44" s="3"/>
      <c r="R44" s="7">
        <f t="shared" si="8"/>
        <v>3.9667465641172017E-2</v>
      </c>
      <c r="S44" s="3"/>
      <c r="T44" s="8">
        <v>103265.12</v>
      </c>
      <c r="U44" s="3"/>
      <c r="V44" s="7">
        <f t="shared" si="9"/>
        <v>7.3867580336005864E-2</v>
      </c>
      <c r="W44" s="3"/>
      <c r="X44" s="8">
        <f t="shared" si="10"/>
        <v>385302.39</v>
      </c>
      <c r="Y44" s="3"/>
      <c r="Z44" s="7">
        <f t="shared" si="11"/>
        <v>3.7311958771751783</v>
      </c>
    </row>
    <row r="45" spans="1:26" s="69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8">
        <v>3639.92</v>
      </c>
      <c r="E45" s="3"/>
      <c r="F45" s="7">
        <f t="shared" si="4"/>
        <v>1.7991905669054267E-3</v>
      </c>
      <c r="G45" s="3"/>
      <c r="H45" s="8">
        <v>847.56</v>
      </c>
      <c r="I45" s="3"/>
      <c r="J45" s="7">
        <f t="shared" si="5"/>
        <v>5.1916899638108152E-3</v>
      </c>
      <c r="K45" s="3"/>
      <c r="L45" s="8">
        <f t="shared" si="6"/>
        <v>2792.36</v>
      </c>
      <c r="M45" s="3"/>
      <c r="N45" s="7">
        <f t="shared" si="7"/>
        <v>3.2945868139128796</v>
      </c>
      <c r="O45" s="12"/>
      <c r="P45" s="8">
        <v>7203.72</v>
      </c>
      <c r="Q45" s="3"/>
      <c r="R45" s="7">
        <f t="shared" si="8"/>
        <v>5.8487989835554908E-4</v>
      </c>
      <c r="S45" s="3"/>
      <c r="T45" s="8">
        <v>2174.52</v>
      </c>
      <c r="U45" s="3"/>
      <c r="V45" s="7">
        <f t="shared" si="9"/>
        <v>1.555477113591225E-3</v>
      </c>
      <c r="W45" s="3"/>
      <c r="X45" s="8">
        <f t="shared" si="10"/>
        <v>5029.2000000000007</v>
      </c>
      <c r="Y45" s="3"/>
      <c r="Z45" s="7">
        <f t="shared" si="11"/>
        <v>2.3127862700733957</v>
      </c>
    </row>
    <row r="46" spans="1:26" s="69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8">
        <v>72375.240000000005</v>
      </c>
      <c r="E46" s="3"/>
      <c r="F46" s="7">
        <f t="shared" si="4"/>
        <v>3.5774645894831841E-2</v>
      </c>
      <c r="G46" s="3"/>
      <c r="H46" s="8">
        <v>-1448.52</v>
      </c>
      <c r="I46" s="3"/>
      <c r="J46" s="7">
        <f t="shared" si="5"/>
        <v>-8.8728429213026129E-3</v>
      </c>
      <c r="K46" s="3"/>
      <c r="L46" s="8">
        <f t="shared" si="6"/>
        <v>73823.760000000009</v>
      </c>
      <c r="M46" s="3"/>
      <c r="N46" s="7">
        <f t="shared" si="7"/>
        <v>-50.964957335763408</v>
      </c>
      <c r="O46" s="12"/>
      <c r="P46" s="8">
        <v>681262.77</v>
      </c>
      <c r="Q46" s="3"/>
      <c r="R46" s="7">
        <f t="shared" si="8"/>
        <v>5.5312657858859006E-2</v>
      </c>
      <c r="S46" s="3"/>
      <c r="T46" s="8">
        <v>111614.28</v>
      </c>
      <c r="U46" s="3"/>
      <c r="V46" s="7">
        <f t="shared" si="9"/>
        <v>7.9839899421464411E-2</v>
      </c>
      <c r="W46" s="3"/>
      <c r="X46" s="8">
        <f t="shared" si="10"/>
        <v>569648.49</v>
      </c>
      <c r="Y46" s="3"/>
      <c r="Z46" s="7">
        <f t="shared" si="11"/>
        <v>5.1037240933686983</v>
      </c>
    </row>
    <row r="47" spans="1:26" s="69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8">
        <v>59371.46</v>
      </c>
      <c r="E47" s="3"/>
      <c r="F47" s="7">
        <f t="shared" si="4"/>
        <v>2.9346955640619263E-2</v>
      </c>
      <c r="G47" s="3"/>
      <c r="H47" s="8"/>
      <c r="I47" s="3"/>
      <c r="J47" s="7">
        <f t="shared" si="5"/>
        <v>0</v>
      </c>
      <c r="K47" s="3"/>
      <c r="L47" s="8">
        <f t="shared" si="6"/>
        <v>59371.46</v>
      </c>
      <c r="M47" s="3"/>
      <c r="N47" s="7">
        <f t="shared" si="7"/>
        <v>0</v>
      </c>
      <c r="O47" s="12"/>
      <c r="P47" s="8">
        <v>229766.11</v>
      </c>
      <c r="Q47" s="3"/>
      <c r="R47" s="7">
        <f t="shared" si="8"/>
        <v>1.8655025328906439E-2</v>
      </c>
      <c r="S47" s="3"/>
      <c r="T47" s="8">
        <v>10630.88</v>
      </c>
      <c r="U47" s="3"/>
      <c r="V47" s="7">
        <f t="shared" si="9"/>
        <v>7.6044784767832349E-3</v>
      </c>
      <c r="W47" s="3"/>
      <c r="X47" s="8">
        <f t="shared" si="10"/>
        <v>219135.22999999998</v>
      </c>
      <c r="Y47" s="3"/>
      <c r="Z47" s="7">
        <f t="shared" si="11"/>
        <v>20.613084711707778</v>
      </c>
    </row>
    <row r="48" spans="1:26" s="68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811.15</v>
      </c>
      <c r="E48" s="2"/>
      <c r="F48" s="6">
        <f t="shared" si="4"/>
        <v>4.009465670523904E-4</v>
      </c>
      <c r="G48" s="2"/>
      <c r="H48" s="2">
        <f>SUM(OSRRefH22_2x_0)</f>
        <v>190.89</v>
      </c>
      <c r="I48" s="2"/>
      <c r="J48" s="6">
        <f t="shared" si="5"/>
        <v>1.1692879527016925E-3</v>
      </c>
      <c r="K48" s="2"/>
      <c r="L48" s="2">
        <f t="shared" si="6"/>
        <v>620.26</v>
      </c>
      <c r="M48" s="2"/>
      <c r="N48" s="6">
        <f t="shared" si="7"/>
        <v>3.2493058829692494</v>
      </c>
      <c r="O48" s="14"/>
      <c r="P48" s="2">
        <f>SUM(OSRRefP22_2x_0)</f>
        <v>5979.42</v>
      </c>
      <c r="Q48" s="2"/>
      <c r="R48" s="6">
        <f t="shared" si="8"/>
        <v>4.8547730364660721E-4</v>
      </c>
      <c r="S48" s="2"/>
      <c r="T48" s="2">
        <f>SUM(OSRRefT22_2x_0)</f>
        <v>2009.08</v>
      </c>
      <c r="U48" s="2"/>
      <c r="V48" s="6">
        <f t="shared" si="9"/>
        <v>1.4371346133279334E-3</v>
      </c>
      <c r="W48" s="2"/>
      <c r="X48" s="2">
        <f t="shared" si="10"/>
        <v>3970.34</v>
      </c>
      <c r="Y48" s="2"/>
      <c r="Z48" s="6">
        <f t="shared" si="11"/>
        <v>1.9761980608039502</v>
      </c>
    </row>
    <row r="49" spans="1:26" s="69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>
        <v>811.15</v>
      </c>
      <c r="E49" s="3"/>
      <c r="F49" s="7">
        <f t="shared" si="4"/>
        <v>4.009465670523904E-4</v>
      </c>
      <c r="G49" s="3"/>
      <c r="H49" s="8">
        <v>190.89</v>
      </c>
      <c r="I49" s="3"/>
      <c r="J49" s="7">
        <f t="shared" si="5"/>
        <v>1.1692879527016925E-3</v>
      </c>
      <c r="K49" s="3"/>
      <c r="L49" s="8">
        <f t="shared" si="6"/>
        <v>620.26</v>
      </c>
      <c r="M49" s="3"/>
      <c r="N49" s="7">
        <f t="shared" si="7"/>
        <v>3.2493058829692494</v>
      </c>
      <c r="O49" s="12"/>
      <c r="P49" s="8">
        <v>5979.42</v>
      </c>
      <c r="Q49" s="3"/>
      <c r="R49" s="7">
        <f t="shared" si="8"/>
        <v>4.8547730364660721E-4</v>
      </c>
      <c r="S49" s="3"/>
      <c r="T49" s="8">
        <v>2009.08</v>
      </c>
      <c r="U49" s="3"/>
      <c r="V49" s="7">
        <f t="shared" si="9"/>
        <v>1.4371346133279334E-3</v>
      </c>
      <c r="W49" s="3"/>
      <c r="X49" s="8">
        <f t="shared" si="10"/>
        <v>3970.34</v>
      </c>
      <c r="Y49" s="3"/>
      <c r="Z49" s="7">
        <f t="shared" si="11"/>
        <v>1.9761980608039502</v>
      </c>
    </row>
    <row r="50" spans="1:26" s="68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10</v>
      </c>
      <c r="E50" s="2"/>
      <c r="F50" s="6">
        <f t="shared" si="4"/>
        <v>4.9429398638031245E-6</v>
      </c>
      <c r="G50" s="2"/>
      <c r="H50" s="2">
        <f>SUM(OSRRefH22_3x_0)</f>
        <v>0.57999999999999996</v>
      </c>
      <c r="I50" s="2"/>
      <c r="J50" s="6">
        <f t="shared" si="5"/>
        <v>3.5527634374088826E-6</v>
      </c>
      <c r="K50" s="2"/>
      <c r="L50" s="2">
        <f t="shared" si="6"/>
        <v>9.42</v>
      </c>
      <c r="M50" s="2"/>
      <c r="N50" s="6">
        <f t="shared" si="7"/>
        <v>16.241379310344829</v>
      </c>
      <c r="O50" s="14"/>
      <c r="P50" s="2">
        <f>SUM(OSRRefP22_3x_0)</f>
        <v>-34.72</v>
      </c>
      <c r="Q50" s="2"/>
      <c r="R50" s="6">
        <f t="shared" si="8"/>
        <v>-2.8189643782524393E-6</v>
      </c>
      <c r="S50" s="2"/>
      <c r="T50" s="2">
        <f>SUM(OSRRefT22_3x_0)</f>
        <v>62.52</v>
      </c>
      <c r="U50" s="2"/>
      <c r="V50" s="6">
        <f t="shared" si="9"/>
        <v>4.4721791081122905E-5</v>
      </c>
      <c r="W50" s="2"/>
      <c r="X50" s="2">
        <f t="shared" si="10"/>
        <v>-97.240000000000009</v>
      </c>
      <c r="Y50" s="2"/>
      <c r="Z50" s="6">
        <f t="shared" si="11"/>
        <v>-1.5553422904670506</v>
      </c>
    </row>
    <row r="51" spans="1:26" s="69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>
        <v>10</v>
      </c>
      <c r="E51" s="3"/>
      <c r="F51" s="7">
        <f t="shared" si="4"/>
        <v>4.9429398638031245E-6</v>
      </c>
      <c r="G51" s="3"/>
      <c r="H51" s="8">
        <v>0.57999999999999996</v>
      </c>
      <c r="I51" s="3"/>
      <c r="J51" s="7">
        <f t="shared" si="5"/>
        <v>3.5527634374088826E-6</v>
      </c>
      <c r="K51" s="3"/>
      <c r="L51" s="8">
        <f t="shared" si="6"/>
        <v>9.42</v>
      </c>
      <c r="M51" s="3"/>
      <c r="N51" s="7">
        <f t="shared" si="7"/>
        <v>16.241379310344829</v>
      </c>
      <c r="O51" s="12"/>
      <c r="P51" s="8">
        <v>-34.72</v>
      </c>
      <c r="Q51" s="3"/>
      <c r="R51" s="7">
        <f t="shared" si="8"/>
        <v>-2.8189643782524393E-6</v>
      </c>
      <c r="S51" s="3"/>
      <c r="T51" s="8">
        <v>62.52</v>
      </c>
      <c r="U51" s="3"/>
      <c r="V51" s="7">
        <f t="shared" si="9"/>
        <v>4.4721791081122905E-5</v>
      </c>
      <c r="W51" s="3"/>
      <c r="X51" s="8">
        <f t="shared" si="10"/>
        <v>-97.240000000000009</v>
      </c>
      <c r="Y51" s="3"/>
      <c r="Z51" s="7">
        <f t="shared" si="11"/>
        <v>-1.5553422904670506</v>
      </c>
    </row>
    <row r="52" spans="1:26" s="68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7250.43</v>
      </c>
      <c r="E52" s="2"/>
      <c r="F52" s="6">
        <f t="shared" si="4"/>
        <v>3.5838439476714085E-3</v>
      </c>
      <c r="G52" s="2"/>
      <c r="H52" s="2">
        <f>SUM(OSRRefH22_4x_0)</f>
        <v>1044.54</v>
      </c>
      <c r="I52" s="2"/>
      <c r="J52" s="6">
        <f t="shared" si="5"/>
        <v>6.3982819326053007E-3</v>
      </c>
      <c r="K52" s="2"/>
      <c r="L52" s="2">
        <f t="shared" si="6"/>
        <v>6205.89</v>
      </c>
      <c r="M52" s="2"/>
      <c r="N52" s="6">
        <f t="shared" si="7"/>
        <v>5.9412660118329601</v>
      </c>
      <c r="O52" s="14"/>
      <c r="P52" s="2">
        <f>SUM(OSRRefP22_4x_0)</f>
        <v>47419.22</v>
      </c>
      <c r="Q52" s="2"/>
      <c r="R52" s="6">
        <f t="shared" si="8"/>
        <v>3.8500314523189989E-3</v>
      </c>
      <c r="S52" s="2"/>
      <c r="T52" s="2">
        <f>SUM(OSRRefT22_4x_0)</f>
        <v>6669.39</v>
      </c>
      <c r="U52" s="2"/>
      <c r="V52" s="6">
        <f t="shared" si="9"/>
        <v>4.7707464206418792E-3</v>
      </c>
      <c r="W52" s="2"/>
      <c r="X52" s="2">
        <f t="shared" si="10"/>
        <v>40749.83</v>
      </c>
      <c r="Y52" s="2"/>
      <c r="Z52" s="6">
        <f t="shared" si="11"/>
        <v>6.1099785737526222</v>
      </c>
    </row>
    <row r="53" spans="1:26" s="69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7250.43</v>
      </c>
      <c r="E53" s="3"/>
      <c r="F53" s="7">
        <f t="shared" si="4"/>
        <v>3.5838439476714085E-3</v>
      </c>
      <c r="G53" s="3"/>
      <c r="H53" s="8">
        <v>1044.54</v>
      </c>
      <c r="I53" s="3"/>
      <c r="J53" s="7">
        <f t="shared" si="5"/>
        <v>6.3982819326053007E-3</v>
      </c>
      <c r="K53" s="3"/>
      <c r="L53" s="8">
        <f t="shared" si="6"/>
        <v>6205.89</v>
      </c>
      <c r="M53" s="3"/>
      <c r="N53" s="7">
        <f t="shared" si="7"/>
        <v>5.9412660118329601</v>
      </c>
      <c r="O53" s="12"/>
      <c r="P53" s="8">
        <v>47419.22</v>
      </c>
      <c r="Q53" s="3"/>
      <c r="R53" s="7">
        <f t="shared" si="8"/>
        <v>3.8500314523189989E-3</v>
      </c>
      <c r="S53" s="3"/>
      <c r="T53" s="8">
        <v>6669.39</v>
      </c>
      <c r="U53" s="3"/>
      <c r="V53" s="7">
        <f t="shared" si="9"/>
        <v>4.7707464206418792E-3</v>
      </c>
      <c r="W53" s="3"/>
      <c r="X53" s="8">
        <f t="shared" si="10"/>
        <v>40749.83</v>
      </c>
      <c r="Y53" s="3"/>
      <c r="Z53" s="7">
        <f t="shared" si="11"/>
        <v>6.1099785737526222</v>
      </c>
    </row>
    <row r="54" spans="1:26" s="68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36837.760000000002</v>
      </c>
      <c r="E54" s="2"/>
      <c r="F54" s="6">
        <f t="shared" si="4"/>
        <v>1.8208683239721218E-2</v>
      </c>
      <c r="G54" s="2"/>
      <c r="H54" s="2">
        <f>SUM(OSRRefH22_5x_0)</f>
        <v>37479.26</v>
      </c>
      <c r="I54" s="2"/>
      <c r="J54" s="6">
        <f t="shared" si="5"/>
        <v>0.22957749067093319</v>
      </c>
      <c r="K54" s="2"/>
      <c r="L54" s="2">
        <f t="shared" si="6"/>
        <v>-641.5</v>
      </c>
      <c r="M54" s="2"/>
      <c r="N54" s="6">
        <f t="shared" si="7"/>
        <v>-1.7116133029307409E-2</v>
      </c>
      <c r="O54" s="14"/>
      <c r="P54" s="2">
        <f>SUM(OSRRefP22_5x_0)</f>
        <v>338229.82</v>
      </c>
      <c r="Q54" s="2"/>
      <c r="R54" s="6">
        <f t="shared" si="8"/>
        <v>2.7461342576115627E-2</v>
      </c>
      <c r="S54" s="2"/>
      <c r="T54" s="2">
        <f>SUM(OSRRefT22_5x_0)</f>
        <v>377087.68</v>
      </c>
      <c r="U54" s="2"/>
      <c r="V54" s="6">
        <f t="shared" si="9"/>
        <v>0.26973826686220936</v>
      </c>
      <c r="W54" s="2"/>
      <c r="X54" s="2">
        <f t="shared" si="10"/>
        <v>-38857.859999999986</v>
      </c>
      <c r="Y54" s="2"/>
      <c r="Z54" s="6">
        <f t="shared" si="11"/>
        <v>-0.10304728067488174</v>
      </c>
    </row>
    <row r="55" spans="1:26" s="69" customFormat="1" ht="15" hidden="1" customHeight="1" outlineLevel="2" x14ac:dyDescent="0.3">
      <c r="A55" s="26"/>
      <c r="B55" s="12" t="str">
        <f>CONCATENATE("          ","6321"," - ","BUILDING DEPRECIATION")</f>
        <v xml:space="preserve">          6321 - BUILDING DEPRECIATION</v>
      </c>
      <c r="C55" s="12"/>
      <c r="D55" s="8">
        <v>23539.4</v>
      </c>
      <c r="E55" s="3"/>
      <c r="F55" s="7">
        <f t="shared" si="4"/>
        <v>1.1635383863000727E-2</v>
      </c>
      <c r="G55" s="3"/>
      <c r="H55" s="8">
        <v>23583.49</v>
      </c>
      <c r="I55" s="3"/>
      <c r="J55" s="7">
        <f t="shared" si="5"/>
        <v>0.14445958792844488</v>
      </c>
      <c r="K55" s="3"/>
      <c r="L55" s="8">
        <f t="shared" si="6"/>
        <v>-44.090000000000146</v>
      </c>
      <c r="M55" s="3"/>
      <c r="N55" s="7">
        <f t="shared" si="7"/>
        <v>-1.8695282165616769E-3</v>
      </c>
      <c r="O55" s="12"/>
      <c r="P55" s="8">
        <v>235482.14</v>
      </c>
      <c r="Q55" s="3"/>
      <c r="R55" s="7">
        <f t="shared" si="8"/>
        <v>1.9119117637518834E-2</v>
      </c>
      <c r="S55" s="3"/>
      <c r="T55" s="8">
        <v>236619.09</v>
      </c>
      <c r="U55" s="3"/>
      <c r="V55" s="7">
        <f t="shared" si="9"/>
        <v>0.16925830948153259</v>
      </c>
      <c r="W55" s="3"/>
      <c r="X55" s="8">
        <f t="shared" si="10"/>
        <v>-1136.9499999999825</v>
      </c>
      <c r="Y55" s="3"/>
      <c r="Z55" s="7">
        <f t="shared" si="11"/>
        <v>-4.8049800208427081E-3</v>
      </c>
    </row>
    <row r="56" spans="1:26" s="69" customFormat="1" ht="15" hidden="1" customHeight="1" outlineLevel="2" x14ac:dyDescent="0.3">
      <c r="A56" s="26"/>
      <c r="B56" s="12" t="str">
        <f>CONCATENATE("          ","6322"," - ","EQUIPMENT DEPRECIATION EXPENSE")</f>
        <v xml:space="preserve">          6322 - EQUIPMENT DEPRECIATION EXPENSE</v>
      </c>
      <c r="C56" s="12"/>
      <c r="D56" s="8">
        <v>13298.36</v>
      </c>
      <c r="E56" s="3"/>
      <c r="F56" s="7">
        <f t="shared" si="4"/>
        <v>6.5732993767204919E-3</v>
      </c>
      <c r="G56" s="3"/>
      <c r="H56" s="8">
        <v>13895.77</v>
      </c>
      <c r="I56" s="3"/>
      <c r="J56" s="7">
        <f t="shared" si="5"/>
        <v>8.5117902742488344E-2</v>
      </c>
      <c r="K56" s="3"/>
      <c r="L56" s="8">
        <f t="shared" si="6"/>
        <v>-597.40999999999985</v>
      </c>
      <c r="M56" s="3"/>
      <c r="N56" s="7">
        <f t="shared" si="7"/>
        <v>-4.2992219934555612E-2</v>
      </c>
      <c r="O56" s="12"/>
      <c r="P56" s="8">
        <v>102747.68</v>
      </c>
      <c r="Q56" s="3"/>
      <c r="R56" s="7">
        <f t="shared" si="8"/>
        <v>8.3422249385967911E-3</v>
      </c>
      <c r="S56" s="3"/>
      <c r="T56" s="8">
        <v>140468.59</v>
      </c>
      <c r="U56" s="3"/>
      <c r="V56" s="7">
        <f t="shared" si="9"/>
        <v>0.10047995738067675</v>
      </c>
      <c r="W56" s="3"/>
      <c r="X56" s="8">
        <f t="shared" si="10"/>
        <v>-37720.910000000003</v>
      </c>
      <c r="Y56" s="3"/>
      <c r="Z56" s="7">
        <f t="shared" si="11"/>
        <v>-0.26853626138056919</v>
      </c>
    </row>
    <row r="57" spans="1:26" s="68" customFormat="1" ht="15" customHeight="1" outlineLevel="1" collapsed="1" x14ac:dyDescent="0.3">
      <c r="A57" s="25"/>
      <c r="B57" s="14" t="str">
        <f>CONCATENATE("     ","Donations                                         ")</f>
        <v xml:space="preserve">     Donations                                         </v>
      </c>
      <c r="C57" s="14"/>
      <c r="D57" s="2">
        <f>SUM(OSRRefD22_6x_0)</f>
        <v>9656.14</v>
      </c>
      <c r="E57" s="2"/>
      <c r="F57" s="6">
        <f t="shared" si="4"/>
        <v>4.7729719336463894E-3</v>
      </c>
      <c r="G57" s="2"/>
      <c r="H57" s="2">
        <f>SUM(OSRRefH22_6x_0)</f>
        <v>7325.88</v>
      </c>
      <c r="I57" s="2"/>
      <c r="J57" s="6">
        <f t="shared" si="5"/>
        <v>4.487434243249136E-2</v>
      </c>
      <c r="K57" s="2"/>
      <c r="L57" s="2">
        <f t="shared" si="6"/>
        <v>2330.2599999999993</v>
      </c>
      <c r="M57" s="2"/>
      <c r="N57" s="6">
        <f t="shared" si="7"/>
        <v>0.31808601833499855</v>
      </c>
      <c r="O57" s="14"/>
      <c r="P57" s="2">
        <f>SUM(OSRRefP22_6x_0)</f>
        <v>66691.27</v>
      </c>
      <c r="Q57" s="2"/>
      <c r="R57" s="6">
        <f t="shared" si="8"/>
        <v>5.4147556011064392E-3</v>
      </c>
      <c r="S57" s="2"/>
      <c r="T57" s="2">
        <f>SUM(OSRRefT22_6x_0)</f>
        <v>58305.64</v>
      </c>
      <c r="U57" s="2"/>
      <c r="V57" s="6">
        <f t="shared" si="9"/>
        <v>4.1707176118540676E-2</v>
      </c>
      <c r="W57" s="2"/>
      <c r="X57" s="2">
        <f t="shared" si="10"/>
        <v>8385.6300000000047</v>
      </c>
      <c r="Y57" s="2"/>
      <c r="Z57" s="6">
        <f t="shared" si="11"/>
        <v>0.14382193557947404</v>
      </c>
    </row>
    <row r="58" spans="1:26" s="69" customFormat="1" ht="15" hidden="1" customHeight="1" outlineLevel="2" x14ac:dyDescent="0.3">
      <c r="A58" s="26"/>
      <c r="B58" s="12" t="str">
        <f>CONCATENATE("          ","6399"," - ","DONATION-ON CAMPUS")</f>
        <v xml:space="preserve">          6399 - DONATION-ON CAMPUS</v>
      </c>
      <c r="C58" s="12"/>
      <c r="D58" s="8">
        <v>9656.14</v>
      </c>
      <c r="E58" s="3"/>
      <c r="F58" s="7">
        <f t="shared" si="4"/>
        <v>4.7729719336463894E-3</v>
      </c>
      <c r="G58" s="3"/>
      <c r="H58" s="8">
        <v>7325.88</v>
      </c>
      <c r="I58" s="3"/>
      <c r="J58" s="7">
        <f t="shared" si="5"/>
        <v>4.487434243249136E-2</v>
      </c>
      <c r="K58" s="3"/>
      <c r="L58" s="8">
        <f t="shared" si="6"/>
        <v>2330.2599999999993</v>
      </c>
      <c r="M58" s="3"/>
      <c r="N58" s="7">
        <f t="shared" si="7"/>
        <v>0.31808601833499855</v>
      </c>
      <c r="O58" s="12"/>
      <c r="P58" s="8">
        <v>66691.27</v>
      </c>
      <c r="Q58" s="3"/>
      <c r="R58" s="7">
        <f t="shared" si="8"/>
        <v>5.4147556011064392E-3</v>
      </c>
      <c r="S58" s="3"/>
      <c r="T58" s="8">
        <v>58305.64</v>
      </c>
      <c r="U58" s="3"/>
      <c r="V58" s="7">
        <f t="shared" si="9"/>
        <v>4.1707176118540676E-2</v>
      </c>
      <c r="W58" s="3"/>
      <c r="X58" s="8">
        <f t="shared" si="10"/>
        <v>8385.6300000000047</v>
      </c>
      <c r="Y58" s="3"/>
      <c r="Z58" s="7">
        <f t="shared" si="11"/>
        <v>0.14382193557947404</v>
      </c>
    </row>
    <row r="59" spans="1:26" s="68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SUM(OSRRefD22_7x_0)</f>
        <v>61.45</v>
      </c>
      <c r="E59" s="2"/>
      <c r="F59" s="6">
        <f t="shared" si="4"/>
        <v>3.0374365463070198E-5</v>
      </c>
      <c r="G59" s="2"/>
      <c r="H59" s="2">
        <f>SUM(OSRRefH22_7x_0)</f>
        <v>0</v>
      </c>
      <c r="I59" s="2"/>
      <c r="J59" s="6">
        <f t="shared" si="5"/>
        <v>0</v>
      </c>
      <c r="K59" s="2"/>
      <c r="L59" s="2">
        <f t="shared" si="6"/>
        <v>61.45</v>
      </c>
      <c r="M59" s="2"/>
      <c r="N59" s="6">
        <f t="shared" si="7"/>
        <v>0</v>
      </c>
      <c r="O59" s="14"/>
      <c r="P59" s="2">
        <f>SUM(OSRRefP22_7x_0)</f>
        <v>702.03</v>
      </c>
      <c r="Q59" s="2"/>
      <c r="R59" s="6">
        <f t="shared" si="8"/>
        <v>5.6998777720753458E-5</v>
      </c>
      <c r="S59" s="2"/>
      <c r="T59" s="2">
        <f>SUM(OSRRefT22_7x_0)</f>
        <v>10</v>
      </c>
      <c r="U59" s="2"/>
      <c r="V59" s="6">
        <f t="shared" si="9"/>
        <v>7.1531975497637407E-6</v>
      </c>
      <c r="W59" s="2"/>
      <c r="X59" s="2">
        <f t="shared" si="10"/>
        <v>692.03</v>
      </c>
      <c r="Y59" s="2"/>
      <c r="Z59" s="6">
        <f t="shared" si="11"/>
        <v>69.203000000000003</v>
      </c>
    </row>
    <row r="60" spans="1:26" s="69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8">
        <v>61.45</v>
      </c>
      <c r="E60" s="3"/>
      <c r="F60" s="7">
        <f t="shared" si="4"/>
        <v>3.0374365463070198E-5</v>
      </c>
      <c r="G60" s="3"/>
      <c r="H60" s="8"/>
      <c r="I60" s="3"/>
      <c r="J60" s="7">
        <f t="shared" si="5"/>
        <v>0</v>
      </c>
      <c r="K60" s="3"/>
      <c r="L60" s="8">
        <f t="shared" si="6"/>
        <v>61.45</v>
      </c>
      <c r="M60" s="3"/>
      <c r="N60" s="7">
        <f t="shared" si="7"/>
        <v>0</v>
      </c>
      <c r="O60" s="12"/>
      <c r="P60" s="8">
        <v>702.03</v>
      </c>
      <c r="Q60" s="3"/>
      <c r="R60" s="7">
        <f t="shared" si="8"/>
        <v>5.6998777720753458E-5</v>
      </c>
      <c r="S60" s="3"/>
      <c r="T60" s="8">
        <v>10</v>
      </c>
      <c r="U60" s="3"/>
      <c r="V60" s="7">
        <f t="shared" si="9"/>
        <v>7.1531975497637407E-6</v>
      </c>
      <c r="W60" s="3"/>
      <c r="X60" s="8">
        <f t="shared" si="10"/>
        <v>692.03</v>
      </c>
      <c r="Y60" s="3"/>
      <c r="Z60" s="7">
        <f t="shared" si="11"/>
        <v>69.203000000000003</v>
      </c>
    </row>
    <row r="61" spans="1:26" s="68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SUM(OSRRefD22_8x_0)</f>
        <v>3155.89</v>
      </c>
      <c r="E61" s="2"/>
      <c r="F61" s="6">
        <f t="shared" ref="F61:F92" si="12">IF(D$12=0,0,D61/D$12)</f>
        <v>1.5599374486777642E-3</v>
      </c>
      <c r="G61" s="2"/>
      <c r="H61" s="2">
        <f>SUM(OSRRefH22_8x_0)</f>
        <v>1490.85</v>
      </c>
      <c r="I61" s="2"/>
      <c r="J61" s="6">
        <f t="shared" ref="J61:J92" si="13">IF(H$12=0,0,H61/H$12)</f>
        <v>9.1321333976914359E-3</v>
      </c>
      <c r="K61" s="2"/>
      <c r="L61" s="2">
        <f t="shared" ref="L61:L92" si="14">+D61-H61</f>
        <v>1665.04</v>
      </c>
      <c r="M61" s="2"/>
      <c r="N61" s="6">
        <f t="shared" ref="N61:N92" si="15">IF(H61=0,0,L61/H61)</f>
        <v>1.1168393869269209</v>
      </c>
      <c r="O61" s="14"/>
      <c r="P61" s="2">
        <f>SUM(OSRRefP22_8x_0)</f>
        <v>20798.599999999999</v>
      </c>
      <c r="Q61" s="2"/>
      <c r="R61" s="6">
        <f t="shared" ref="R61:R92" si="16">IF(P$12=0,0,P61/P$12)</f>
        <v>1.6886668351820619E-3</v>
      </c>
      <c r="S61" s="2"/>
      <c r="T61" s="2">
        <f>SUM(OSRRefT22_8x_0)</f>
        <v>10929</v>
      </c>
      <c r="U61" s="2"/>
      <c r="V61" s="6">
        <f t="shared" ref="V61:V92" si="17">IF(T$12=0,0,T61/T$12)</f>
        <v>7.8177296021367925E-3</v>
      </c>
      <c r="W61" s="2"/>
      <c r="X61" s="2">
        <f t="shared" ref="X61:X92" si="18">+P61-T61</f>
        <v>9869.5999999999985</v>
      </c>
      <c r="Y61" s="2"/>
      <c r="Z61" s="6">
        <f t="shared" ref="Z61:Z92" si="19">IF(T61=0,0,X61/T61)</f>
        <v>0.90306523927166238</v>
      </c>
    </row>
    <row r="62" spans="1:26" s="69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8">
        <v>3155.89</v>
      </c>
      <c r="E62" s="3"/>
      <c r="F62" s="7">
        <f t="shared" si="12"/>
        <v>1.5599374486777642E-3</v>
      </c>
      <c r="G62" s="3"/>
      <c r="H62" s="8">
        <v>1490.85</v>
      </c>
      <c r="I62" s="3"/>
      <c r="J62" s="7">
        <f t="shared" si="13"/>
        <v>9.1321333976914359E-3</v>
      </c>
      <c r="K62" s="3"/>
      <c r="L62" s="8">
        <f t="shared" si="14"/>
        <v>1665.04</v>
      </c>
      <c r="M62" s="3"/>
      <c r="N62" s="7">
        <f t="shared" si="15"/>
        <v>1.1168393869269209</v>
      </c>
      <c r="O62" s="12"/>
      <c r="P62" s="8">
        <v>20798.599999999999</v>
      </c>
      <c r="Q62" s="3"/>
      <c r="R62" s="7">
        <f t="shared" si="16"/>
        <v>1.6886668351820619E-3</v>
      </c>
      <c r="S62" s="3"/>
      <c r="T62" s="8">
        <v>10929</v>
      </c>
      <c r="U62" s="3"/>
      <c r="V62" s="7">
        <f t="shared" si="17"/>
        <v>7.8177296021367925E-3</v>
      </c>
      <c r="W62" s="3"/>
      <c r="X62" s="8">
        <f t="shared" si="18"/>
        <v>9869.5999999999985</v>
      </c>
      <c r="Y62" s="3"/>
      <c r="Z62" s="7">
        <f t="shared" si="19"/>
        <v>0.90306523927166238</v>
      </c>
    </row>
    <row r="63" spans="1:26" s="68" customFormat="1" ht="15" customHeight="1" outlineLevel="1" collapsed="1" x14ac:dyDescent="0.3">
      <c r="A63" s="25"/>
      <c r="B63" s="14" t="str">
        <f>CONCATENATE("     ","Freight out/Postage                               ")</f>
        <v xml:space="preserve">     Freight out/Postage                               </v>
      </c>
      <c r="C63" s="14"/>
      <c r="D63" s="2">
        <f>SUM(OSRRefD22_9x_0)</f>
        <v>0</v>
      </c>
      <c r="E63" s="2"/>
      <c r="F63" s="6">
        <f t="shared" si="12"/>
        <v>0</v>
      </c>
      <c r="G63" s="2"/>
      <c r="H63" s="2">
        <f>SUM(OSRRefH22_9x_0)</f>
        <v>2.96</v>
      </c>
      <c r="I63" s="2"/>
      <c r="J63" s="6">
        <f t="shared" si="13"/>
        <v>1.8131344439190162E-5</v>
      </c>
      <c r="K63" s="2"/>
      <c r="L63" s="2">
        <f t="shared" si="14"/>
        <v>-2.96</v>
      </c>
      <c r="M63" s="2"/>
      <c r="N63" s="6">
        <f t="shared" si="15"/>
        <v>-1</v>
      </c>
      <c r="O63" s="14"/>
      <c r="P63" s="2">
        <f>SUM(OSRRefP22_9x_0)</f>
        <v>0</v>
      </c>
      <c r="Q63" s="2"/>
      <c r="R63" s="6">
        <f t="shared" si="16"/>
        <v>0</v>
      </c>
      <c r="S63" s="2"/>
      <c r="T63" s="2">
        <f>SUM(OSRRefT22_9x_0)</f>
        <v>-2.4500000000000002</v>
      </c>
      <c r="U63" s="2"/>
      <c r="V63" s="6">
        <f t="shared" si="17"/>
        <v>-1.7525333996921166E-6</v>
      </c>
      <c r="W63" s="2"/>
      <c r="X63" s="2">
        <f t="shared" si="18"/>
        <v>2.4500000000000002</v>
      </c>
      <c r="Y63" s="2"/>
      <c r="Z63" s="6">
        <f t="shared" si="19"/>
        <v>-1</v>
      </c>
    </row>
    <row r="64" spans="1:26" s="69" customFormat="1" ht="15" hidden="1" customHeight="1" outlineLevel="2" x14ac:dyDescent="0.3">
      <c r="A64" s="26"/>
      <c r="B64" s="12" t="str">
        <f>CONCATENATE("          ","6307"," - ","POSTAGE")</f>
        <v xml:space="preserve">          6307 - POSTAGE</v>
      </c>
      <c r="C64" s="12"/>
      <c r="D64" s="8"/>
      <c r="E64" s="3"/>
      <c r="F64" s="7">
        <f t="shared" si="12"/>
        <v>0</v>
      </c>
      <c r="G64" s="3"/>
      <c r="H64" s="8">
        <v>2.96</v>
      </c>
      <c r="I64" s="3"/>
      <c r="J64" s="7">
        <f t="shared" si="13"/>
        <v>1.8131344439190162E-5</v>
      </c>
      <c r="K64" s="3"/>
      <c r="L64" s="8">
        <f t="shared" si="14"/>
        <v>-2.96</v>
      </c>
      <c r="M64" s="3"/>
      <c r="N64" s="7">
        <f t="shared" si="15"/>
        <v>-1</v>
      </c>
      <c r="O64" s="12"/>
      <c r="P64" s="8"/>
      <c r="Q64" s="3"/>
      <c r="R64" s="7">
        <f t="shared" si="16"/>
        <v>0</v>
      </c>
      <c r="S64" s="3"/>
      <c r="T64" s="8">
        <v>-2.4500000000000002</v>
      </c>
      <c r="U64" s="3"/>
      <c r="V64" s="7">
        <f t="shared" si="17"/>
        <v>-1.7525333996921166E-6</v>
      </c>
      <c r="W64" s="3"/>
      <c r="X64" s="8">
        <f t="shared" si="18"/>
        <v>2.4500000000000002</v>
      </c>
      <c r="Y64" s="3"/>
      <c r="Z64" s="7">
        <f t="shared" si="19"/>
        <v>-1</v>
      </c>
    </row>
    <row r="65" spans="1:26" s="68" customFormat="1" ht="15" customHeight="1" outlineLevel="1" collapsed="1" x14ac:dyDescent="0.3">
      <c r="A65" s="25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SUM(OSRRefD22_10x_0)</f>
        <v>4704.83</v>
      </c>
      <c r="E65" s="2"/>
      <c r="F65" s="6">
        <f t="shared" si="12"/>
        <v>2.3255691759416853E-3</v>
      </c>
      <c r="G65" s="2"/>
      <c r="H65" s="2">
        <f>SUM(OSRRefH22_10x_0)</f>
        <v>224</v>
      </c>
      <c r="I65" s="2"/>
      <c r="J65" s="6">
        <f t="shared" si="13"/>
        <v>1.3721017413441203E-3</v>
      </c>
      <c r="K65" s="2"/>
      <c r="L65" s="2">
        <f t="shared" si="14"/>
        <v>4480.83</v>
      </c>
      <c r="M65" s="2"/>
      <c r="N65" s="6">
        <f t="shared" si="15"/>
        <v>20.003705357142856</v>
      </c>
      <c r="O65" s="14"/>
      <c r="P65" s="2">
        <f>SUM(OSRRefP22_10x_0)</f>
        <v>39143.35</v>
      </c>
      <c r="Q65" s="2"/>
      <c r="R65" s="6">
        <f t="shared" si="16"/>
        <v>3.1781022262519477E-3</v>
      </c>
      <c r="S65" s="2"/>
      <c r="T65" s="2">
        <f>SUM(OSRRefT22_10x_0)</f>
        <v>15244.23</v>
      </c>
      <c r="U65" s="2"/>
      <c r="V65" s="6">
        <f t="shared" si="17"/>
        <v>1.090449886840349E-2</v>
      </c>
      <c r="W65" s="2"/>
      <c r="X65" s="2">
        <f t="shared" si="18"/>
        <v>23899.119999999999</v>
      </c>
      <c r="Y65" s="2"/>
      <c r="Z65" s="6">
        <f t="shared" si="19"/>
        <v>1.5677485842184222</v>
      </c>
    </row>
    <row r="66" spans="1:26" s="69" customFormat="1" ht="15" hidden="1" customHeight="1" outlineLevel="2" x14ac:dyDescent="0.3">
      <c r="A66" s="26"/>
      <c r="B66" s="12" t="str">
        <f>CONCATENATE("          ","6279"," - ","GENERAL EXPENSE")</f>
        <v xml:space="preserve">          6279 - GENERAL EXPENSE</v>
      </c>
      <c r="C66" s="12"/>
      <c r="D66" s="8">
        <v>4704.83</v>
      </c>
      <c r="E66" s="3"/>
      <c r="F66" s="7">
        <f t="shared" si="12"/>
        <v>2.3255691759416853E-3</v>
      </c>
      <c r="G66" s="3"/>
      <c r="H66" s="8">
        <v>224</v>
      </c>
      <c r="I66" s="3"/>
      <c r="J66" s="7">
        <f t="shared" si="13"/>
        <v>1.3721017413441203E-3</v>
      </c>
      <c r="K66" s="3"/>
      <c r="L66" s="8">
        <f t="shared" si="14"/>
        <v>4480.83</v>
      </c>
      <c r="M66" s="3"/>
      <c r="N66" s="7">
        <f t="shared" si="15"/>
        <v>20.003705357142856</v>
      </c>
      <c r="O66" s="12"/>
      <c r="P66" s="8">
        <v>39143.35</v>
      </c>
      <c r="Q66" s="3"/>
      <c r="R66" s="7">
        <f t="shared" si="16"/>
        <v>3.1781022262519477E-3</v>
      </c>
      <c r="S66" s="3"/>
      <c r="T66" s="8">
        <v>15244.23</v>
      </c>
      <c r="U66" s="3"/>
      <c r="V66" s="7">
        <f t="shared" si="17"/>
        <v>1.090449886840349E-2</v>
      </c>
      <c r="W66" s="3"/>
      <c r="X66" s="8">
        <f t="shared" si="18"/>
        <v>23899.119999999999</v>
      </c>
      <c r="Y66" s="3"/>
      <c r="Z66" s="7">
        <f t="shared" si="19"/>
        <v>1.5677485842184222</v>
      </c>
    </row>
    <row r="67" spans="1:26" s="68" customFormat="1" ht="15" customHeight="1" outlineLevel="1" collapsed="1" x14ac:dyDescent="0.3">
      <c r="A67" s="25"/>
      <c r="B67" s="14" t="str">
        <f>CONCATENATE("     ","Insurance                                         ")</f>
        <v xml:space="preserve">     Insurance                                         </v>
      </c>
      <c r="C67" s="14"/>
      <c r="D67" s="2">
        <f>SUM(OSRRefD22_11x_0)</f>
        <v>5761.42</v>
      </c>
      <c r="E67" s="2"/>
      <c r="F67" s="6">
        <f t="shared" si="12"/>
        <v>2.8478352590112594E-3</v>
      </c>
      <c r="G67" s="2"/>
      <c r="H67" s="2">
        <f>SUM(OSRRefH22_11x_0)</f>
        <v>4246.03</v>
      </c>
      <c r="I67" s="2"/>
      <c r="J67" s="6">
        <f t="shared" si="13"/>
        <v>2.6008862307140067E-2</v>
      </c>
      <c r="K67" s="2"/>
      <c r="L67" s="2">
        <f t="shared" si="14"/>
        <v>1515.3900000000003</v>
      </c>
      <c r="M67" s="2"/>
      <c r="N67" s="6">
        <f t="shared" si="15"/>
        <v>0.35689573554591003</v>
      </c>
      <c r="O67" s="14"/>
      <c r="P67" s="2">
        <f>SUM(OSRRefP22_11x_0)</f>
        <v>64497.21</v>
      </c>
      <c r="Q67" s="2"/>
      <c r="R67" s="6">
        <f t="shared" si="16"/>
        <v>5.2366168630952484E-3</v>
      </c>
      <c r="S67" s="2"/>
      <c r="T67" s="2">
        <f>SUM(OSRRefT22_11x_0)</f>
        <v>48572.3</v>
      </c>
      <c r="U67" s="2"/>
      <c r="V67" s="6">
        <f t="shared" si="17"/>
        <v>3.4744725734638937E-2</v>
      </c>
      <c r="W67" s="2"/>
      <c r="X67" s="2">
        <f t="shared" si="18"/>
        <v>15924.909999999996</v>
      </c>
      <c r="Y67" s="2"/>
      <c r="Z67" s="6">
        <f t="shared" si="19"/>
        <v>0.32785991192510949</v>
      </c>
    </row>
    <row r="68" spans="1:26" s="69" customFormat="1" ht="15" hidden="1" customHeight="1" outlineLevel="2" x14ac:dyDescent="0.3">
      <c r="A68" s="26"/>
      <c r="B68" s="12" t="str">
        <f>CONCATENATE("          ","6314"," - ","LIABILITY INSURANCE")</f>
        <v xml:space="preserve">          6314 - LIABILITY INSURANCE</v>
      </c>
      <c r="C68" s="12"/>
      <c r="D68" s="8">
        <v>5761.42</v>
      </c>
      <c r="E68" s="3"/>
      <c r="F68" s="7">
        <f t="shared" si="12"/>
        <v>2.8478352590112594E-3</v>
      </c>
      <c r="G68" s="3"/>
      <c r="H68" s="8">
        <v>4246.03</v>
      </c>
      <c r="I68" s="3"/>
      <c r="J68" s="7">
        <f t="shared" si="13"/>
        <v>2.6008862307140067E-2</v>
      </c>
      <c r="K68" s="3"/>
      <c r="L68" s="8">
        <f t="shared" si="14"/>
        <v>1515.3900000000003</v>
      </c>
      <c r="M68" s="3"/>
      <c r="N68" s="7">
        <f t="shared" si="15"/>
        <v>0.35689573554591003</v>
      </c>
      <c r="O68" s="12"/>
      <c r="P68" s="8">
        <v>64497.21</v>
      </c>
      <c r="Q68" s="3"/>
      <c r="R68" s="7">
        <f t="shared" si="16"/>
        <v>5.2366168630952484E-3</v>
      </c>
      <c r="S68" s="3"/>
      <c r="T68" s="8">
        <v>48572.3</v>
      </c>
      <c r="U68" s="3"/>
      <c r="V68" s="7">
        <f t="shared" si="17"/>
        <v>3.4744725734638937E-2</v>
      </c>
      <c r="W68" s="3"/>
      <c r="X68" s="8">
        <f t="shared" si="18"/>
        <v>15924.909999999996</v>
      </c>
      <c r="Y68" s="3"/>
      <c r="Z68" s="7">
        <f t="shared" si="19"/>
        <v>0.32785991192510949</v>
      </c>
    </row>
    <row r="69" spans="1:26" s="68" customFormat="1" ht="15" customHeight="1" outlineLevel="1" collapsed="1" x14ac:dyDescent="0.3">
      <c r="A69" s="25"/>
      <c r="B69" s="14" t="str">
        <f>CONCATENATE("     ","Interest                                          ")</f>
        <v xml:space="preserve">     Interest                                          </v>
      </c>
      <c r="C69" s="14"/>
      <c r="D69" s="2">
        <f>SUM(OSRRefD22_12x_0)</f>
        <v>5629</v>
      </c>
      <c r="E69" s="2"/>
      <c r="F69" s="6">
        <f t="shared" si="12"/>
        <v>2.7823808493347784E-3</v>
      </c>
      <c r="G69" s="2"/>
      <c r="H69" s="2">
        <f>SUM(OSRRefH22_12x_0)</f>
        <v>5967</v>
      </c>
      <c r="I69" s="2"/>
      <c r="J69" s="6">
        <f t="shared" si="13"/>
        <v>3.6550585225894494E-2</v>
      </c>
      <c r="K69" s="2"/>
      <c r="L69" s="2">
        <f t="shared" si="14"/>
        <v>-338</v>
      </c>
      <c r="M69" s="2"/>
      <c r="N69" s="6">
        <f t="shared" si="15"/>
        <v>-5.6644880174291937E-2</v>
      </c>
      <c r="O69" s="14"/>
      <c r="P69" s="2">
        <f>SUM(OSRRefP22_12x_0)</f>
        <v>70392</v>
      </c>
      <c r="Q69" s="2"/>
      <c r="R69" s="6">
        <f t="shared" si="16"/>
        <v>5.7152229410698651E-3</v>
      </c>
      <c r="S69" s="2"/>
      <c r="T69" s="2">
        <f>SUM(OSRRefT22_12x_0)</f>
        <v>73070.149999999994</v>
      </c>
      <c r="U69" s="2"/>
      <c r="V69" s="6">
        <f t="shared" si="17"/>
        <v>5.2268521794086892E-2</v>
      </c>
      <c r="W69" s="2"/>
      <c r="X69" s="2">
        <f t="shared" si="18"/>
        <v>-2678.1499999999942</v>
      </c>
      <c r="Y69" s="2"/>
      <c r="Z69" s="6">
        <f t="shared" si="19"/>
        <v>-3.66517654609987E-2</v>
      </c>
    </row>
    <row r="70" spans="1:26" s="69" customFormat="1" ht="15" hidden="1" customHeight="1" outlineLevel="2" x14ac:dyDescent="0.3">
      <c r="A70" s="26"/>
      <c r="B70" s="12" t="str">
        <f>CONCATENATE("          ","6401"," - ","INTEREST EXPENSE")</f>
        <v xml:space="preserve">          6401 - INTEREST EXPENSE</v>
      </c>
      <c r="C70" s="12"/>
      <c r="D70" s="8">
        <v>5629</v>
      </c>
      <c r="E70" s="3"/>
      <c r="F70" s="7">
        <f t="shared" si="12"/>
        <v>2.7823808493347784E-3</v>
      </c>
      <c r="G70" s="3"/>
      <c r="H70" s="8">
        <v>5967</v>
      </c>
      <c r="I70" s="3"/>
      <c r="J70" s="7">
        <f t="shared" si="13"/>
        <v>3.6550585225894494E-2</v>
      </c>
      <c r="K70" s="3"/>
      <c r="L70" s="8">
        <f t="shared" si="14"/>
        <v>-338</v>
      </c>
      <c r="M70" s="3"/>
      <c r="N70" s="7">
        <f t="shared" si="15"/>
        <v>-5.6644880174291937E-2</v>
      </c>
      <c r="O70" s="12"/>
      <c r="P70" s="8">
        <v>70392</v>
      </c>
      <c r="Q70" s="3"/>
      <c r="R70" s="7">
        <f t="shared" si="16"/>
        <v>5.7152229410698651E-3</v>
      </c>
      <c r="S70" s="3"/>
      <c r="T70" s="8">
        <v>73070.149999999994</v>
      </c>
      <c r="U70" s="3"/>
      <c r="V70" s="7">
        <f t="shared" si="17"/>
        <v>5.2268521794086892E-2</v>
      </c>
      <c r="W70" s="3"/>
      <c r="X70" s="8">
        <f t="shared" si="18"/>
        <v>-2678.1499999999942</v>
      </c>
      <c r="Y70" s="3"/>
      <c r="Z70" s="7">
        <f t="shared" si="19"/>
        <v>-3.66517654609987E-2</v>
      </c>
    </row>
    <row r="71" spans="1:26" s="68" customFormat="1" ht="15" customHeight="1" outlineLevel="1" collapsed="1" x14ac:dyDescent="0.3">
      <c r="A71" s="25"/>
      <c r="B71" s="14" t="str">
        <f>CONCATENATE("     ","R/H Commissions                                   ")</f>
        <v xml:space="preserve">     R/H Commissions                                   </v>
      </c>
      <c r="C71" s="14"/>
      <c r="D71" s="2">
        <f>SUM(OSRRefD22_13x_0)</f>
        <v>135508.24</v>
      </c>
      <c r="E71" s="2"/>
      <c r="F71" s="6">
        <f t="shared" si="12"/>
        <v>6.69809081369801E-2</v>
      </c>
      <c r="G71" s="2"/>
      <c r="H71" s="2">
        <f>SUM(OSRRefH22_13x_0)</f>
        <v>6627.19</v>
      </c>
      <c r="I71" s="2"/>
      <c r="J71" s="6">
        <f t="shared" si="13"/>
        <v>4.0594548835796163E-2</v>
      </c>
      <c r="K71" s="2"/>
      <c r="L71" s="2">
        <f t="shared" si="14"/>
        <v>128881.04999999999</v>
      </c>
      <c r="M71" s="2"/>
      <c r="N71" s="6">
        <f t="shared" si="15"/>
        <v>19.447314774436826</v>
      </c>
      <c r="O71" s="14"/>
      <c r="P71" s="2">
        <f>SUM(OSRRefP22_13x_0)</f>
        <v>856200.41</v>
      </c>
      <c r="Q71" s="2"/>
      <c r="R71" s="6">
        <f t="shared" si="16"/>
        <v>6.9516084574744647E-2</v>
      </c>
      <c r="S71" s="2"/>
      <c r="T71" s="2">
        <f>SUM(OSRRefT22_13x_0)</f>
        <v>65639.789999999994</v>
      </c>
      <c r="U71" s="2"/>
      <c r="V71" s="6">
        <f t="shared" si="17"/>
        <v>4.6953438499500642E-2</v>
      </c>
      <c r="W71" s="2"/>
      <c r="X71" s="2">
        <f t="shared" si="18"/>
        <v>790560.62</v>
      </c>
      <c r="Y71" s="2"/>
      <c r="Z71" s="6">
        <f t="shared" si="19"/>
        <v>12.043923662766137</v>
      </c>
    </row>
    <row r="72" spans="1:26" s="69" customFormat="1" ht="15" hidden="1" customHeight="1" outlineLevel="2" x14ac:dyDescent="0.3">
      <c r="A72" s="26"/>
      <c r="B72" s="12" t="str">
        <f>CONCATENATE("          ","6387"," - ","COMMISSION DUE HOUSING")</f>
        <v xml:space="preserve">          6387 - COMMISSION DUE HOUSING</v>
      </c>
      <c r="C72" s="12"/>
      <c r="D72" s="8">
        <v>135508.24</v>
      </c>
      <c r="E72" s="3"/>
      <c r="F72" s="7">
        <f t="shared" si="12"/>
        <v>6.69809081369801E-2</v>
      </c>
      <c r="G72" s="3"/>
      <c r="H72" s="8">
        <v>6627.19</v>
      </c>
      <c r="I72" s="3"/>
      <c r="J72" s="7">
        <f t="shared" si="13"/>
        <v>4.0594548835796163E-2</v>
      </c>
      <c r="K72" s="3"/>
      <c r="L72" s="8">
        <f t="shared" si="14"/>
        <v>128881.04999999999</v>
      </c>
      <c r="M72" s="3"/>
      <c r="N72" s="7">
        <f t="shared" si="15"/>
        <v>19.447314774436826</v>
      </c>
      <c r="O72" s="12"/>
      <c r="P72" s="8">
        <v>856200.41</v>
      </c>
      <c r="Q72" s="3"/>
      <c r="R72" s="7">
        <f t="shared" si="16"/>
        <v>6.9516084574744647E-2</v>
      </c>
      <c r="S72" s="3"/>
      <c r="T72" s="8">
        <v>65639.789999999994</v>
      </c>
      <c r="U72" s="3"/>
      <c r="V72" s="7">
        <f t="shared" si="17"/>
        <v>4.6953438499500642E-2</v>
      </c>
      <c r="W72" s="3"/>
      <c r="X72" s="8">
        <f t="shared" si="18"/>
        <v>790560.62</v>
      </c>
      <c r="Y72" s="3"/>
      <c r="Z72" s="7">
        <f t="shared" si="19"/>
        <v>12.043923662766137</v>
      </c>
    </row>
    <row r="73" spans="1:26" s="68" customFormat="1" ht="15" customHeight="1" outlineLevel="1" collapsed="1" x14ac:dyDescent="0.3">
      <c r="A73" s="25"/>
      <c r="B73" s="14" t="str">
        <f>CONCATENATE("     ","Rent                                              ")</f>
        <v xml:space="preserve">     Rent                                              </v>
      </c>
      <c r="C73" s="14"/>
      <c r="D73" s="2">
        <f>SUM(OSRRefD22_14x_0)</f>
        <v>1850</v>
      </c>
      <c r="E73" s="2"/>
      <c r="F73" s="6">
        <f t="shared" si="12"/>
        <v>9.1444387480357791E-4</v>
      </c>
      <c r="G73" s="2"/>
      <c r="H73" s="2">
        <f>SUM(OSRRefH22_14x_0)</f>
        <v>1850</v>
      </c>
      <c r="I73" s="2"/>
      <c r="J73" s="6">
        <f t="shared" si="13"/>
        <v>1.1332090274493851E-2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SUM(OSRRefP22_14x_0)</f>
        <v>18500</v>
      </c>
      <c r="Q73" s="2"/>
      <c r="R73" s="6">
        <f t="shared" si="16"/>
        <v>1.502040351315384E-3</v>
      </c>
      <c r="S73" s="2"/>
      <c r="T73" s="2">
        <f>SUM(OSRRefT22_14x_0)</f>
        <v>12950</v>
      </c>
      <c r="U73" s="2"/>
      <c r="V73" s="6">
        <f t="shared" si="17"/>
        <v>9.2633908269440443E-3</v>
      </c>
      <c r="W73" s="2"/>
      <c r="X73" s="2">
        <f t="shared" si="18"/>
        <v>5550</v>
      </c>
      <c r="Y73" s="2"/>
      <c r="Z73" s="6">
        <f t="shared" si="19"/>
        <v>0.42857142857142855</v>
      </c>
    </row>
    <row r="74" spans="1:26" s="69" customFormat="1" ht="15" hidden="1" customHeight="1" outlineLevel="2" x14ac:dyDescent="0.3">
      <c r="A74" s="26"/>
      <c r="B74" s="12" t="str">
        <f>CONCATENATE("          ","6273"," - ","RENT")</f>
        <v xml:space="preserve">          6273 - RENT</v>
      </c>
      <c r="C74" s="12"/>
      <c r="D74" s="8">
        <v>1850</v>
      </c>
      <c r="E74" s="3"/>
      <c r="F74" s="7">
        <f t="shared" si="12"/>
        <v>9.1444387480357791E-4</v>
      </c>
      <c r="G74" s="3"/>
      <c r="H74" s="8">
        <v>1850</v>
      </c>
      <c r="I74" s="3"/>
      <c r="J74" s="7">
        <f t="shared" si="13"/>
        <v>1.1332090274493851E-2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18500</v>
      </c>
      <c r="Q74" s="3"/>
      <c r="R74" s="7">
        <f t="shared" si="16"/>
        <v>1.502040351315384E-3</v>
      </c>
      <c r="S74" s="3"/>
      <c r="T74" s="8">
        <v>12950</v>
      </c>
      <c r="U74" s="3"/>
      <c r="V74" s="7">
        <f t="shared" si="17"/>
        <v>9.2633908269440443E-3</v>
      </c>
      <c r="W74" s="3"/>
      <c r="X74" s="8">
        <f t="shared" si="18"/>
        <v>5550</v>
      </c>
      <c r="Y74" s="3"/>
      <c r="Z74" s="7">
        <f t="shared" si="19"/>
        <v>0.42857142857142855</v>
      </c>
    </row>
    <row r="75" spans="1:26" s="68" customFormat="1" ht="15" customHeight="1" outlineLevel="1" collapsed="1" x14ac:dyDescent="0.3">
      <c r="A75" s="25"/>
      <c r="B75" s="14" t="str">
        <f>CONCATENATE("     ","Repair and Maintenance                            ")</f>
        <v xml:space="preserve">     Repair and Maintenance                            </v>
      </c>
      <c r="C75" s="14"/>
      <c r="D75" s="2">
        <f>SUM(OSRRefD22_15x_0)</f>
        <v>21930.02</v>
      </c>
      <c r="E75" s="2"/>
      <c r="F75" s="6">
        <f t="shared" si="12"/>
        <v>1.083987700719998E-2</v>
      </c>
      <c r="G75" s="2"/>
      <c r="H75" s="2">
        <f>SUM(OSRRefH22_15x_0)</f>
        <v>5613.52</v>
      </c>
      <c r="I75" s="2"/>
      <c r="J75" s="6">
        <f t="shared" si="13"/>
        <v>3.4385359674419851E-2</v>
      </c>
      <c r="K75" s="2"/>
      <c r="L75" s="2">
        <f t="shared" si="14"/>
        <v>16316.5</v>
      </c>
      <c r="M75" s="2"/>
      <c r="N75" s="6">
        <f t="shared" si="15"/>
        <v>2.9066432470179135</v>
      </c>
      <c r="O75" s="14"/>
      <c r="P75" s="2">
        <f>SUM(OSRRefP22_15x_0)</f>
        <v>130647.35999999999</v>
      </c>
      <c r="Q75" s="2"/>
      <c r="R75" s="6">
        <f t="shared" si="16"/>
        <v>1.0607438189882563E-2</v>
      </c>
      <c r="S75" s="2"/>
      <c r="T75" s="2">
        <f>SUM(OSRRefT22_15x_0)</f>
        <v>66468.639999999999</v>
      </c>
      <c r="U75" s="2"/>
      <c r="V75" s="6">
        <f t="shared" si="17"/>
        <v>4.7546331278412818E-2</v>
      </c>
      <c r="W75" s="2"/>
      <c r="X75" s="2">
        <f t="shared" si="18"/>
        <v>64178.719999999987</v>
      </c>
      <c r="Y75" s="2"/>
      <c r="Z75" s="6">
        <f t="shared" si="19"/>
        <v>0.96554886635261361</v>
      </c>
    </row>
    <row r="76" spans="1:26" s="69" customFormat="1" ht="15" hidden="1" customHeight="1" outlineLevel="2" x14ac:dyDescent="0.3">
      <c r="A76" s="26"/>
      <c r="B76" s="12" t="str">
        <f>CONCATENATE("          ","6371"," - ","COMPUTER SOFTWARE MAINTENANCE")</f>
        <v xml:space="preserve">          6371 - COMPUTER SOFTWARE MAINTENANCE</v>
      </c>
      <c r="C76" s="12"/>
      <c r="D76" s="8">
        <v>12466.19</v>
      </c>
      <c r="E76" s="3"/>
      <c r="F76" s="7">
        <f t="shared" si="12"/>
        <v>6.1619627500743871E-3</v>
      </c>
      <c r="G76" s="3"/>
      <c r="H76" s="8">
        <v>3500</v>
      </c>
      <c r="I76" s="3"/>
      <c r="J76" s="7">
        <f t="shared" si="13"/>
        <v>2.143908970850188E-2</v>
      </c>
      <c r="K76" s="3"/>
      <c r="L76" s="8">
        <f t="shared" si="14"/>
        <v>8966.19</v>
      </c>
      <c r="M76" s="3"/>
      <c r="N76" s="7">
        <f t="shared" si="15"/>
        <v>2.5617685714285714</v>
      </c>
      <c r="O76" s="12"/>
      <c r="P76" s="8">
        <v>51567.06</v>
      </c>
      <c r="Q76" s="3"/>
      <c r="R76" s="7">
        <f t="shared" si="16"/>
        <v>4.1868002658757555E-3</v>
      </c>
      <c r="S76" s="3"/>
      <c r="T76" s="8">
        <v>18202.27</v>
      </c>
      <c r="U76" s="3"/>
      <c r="V76" s="7">
        <f t="shared" si="17"/>
        <v>1.3020443316413804E-2</v>
      </c>
      <c r="W76" s="3"/>
      <c r="X76" s="8">
        <f t="shared" si="18"/>
        <v>33364.789999999994</v>
      </c>
      <c r="Y76" s="3"/>
      <c r="Z76" s="7">
        <f t="shared" si="19"/>
        <v>1.833001598152318</v>
      </c>
    </row>
    <row r="77" spans="1:26" s="69" customFormat="1" ht="15" hidden="1" customHeight="1" outlineLevel="2" x14ac:dyDescent="0.3">
      <c r="A77" s="26"/>
      <c r="B77" s="12" t="str">
        <f>CONCATENATE("          ","6372"," - ","COMPUTER HARDWARE MAINTENANCE")</f>
        <v xml:space="preserve">          6372 - COMPUTER HARDWARE MAINTENANCE</v>
      </c>
      <c r="C77" s="12"/>
      <c r="D77" s="8"/>
      <c r="E77" s="3"/>
      <c r="F77" s="7">
        <f t="shared" si="12"/>
        <v>0</v>
      </c>
      <c r="G77" s="3"/>
      <c r="H77" s="8"/>
      <c r="I77" s="3"/>
      <c r="J77" s="7">
        <f t="shared" si="13"/>
        <v>0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/>
      <c r="Q77" s="3"/>
      <c r="R77" s="7">
        <f t="shared" si="16"/>
        <v>0</v>
      </c>
      <c r="S77" s="3"/>
      <c r="T77" s="8">
        <v>100</v>
      </c>
      <c r="U77" s="3"/>
      <c r="V77" s="7">
        <f t="shared" si="17"/>
        <v>7.153197549763741E-5</v>
      </c>
      <c r="W77" s="3"/>
      <c r="X77" s="8">
        <f t="shared" si="18"/>
        <v>-100</v>
      </c>
      <c r="Y77" s="3"/>
      <c r="Z77" s="7">
        <f t="shared" si="19"/>
        <v>-1</v>
      </c>
    </row>
    <row r="78" spans="1:26" s="69" customFormat="1" ht="15" hidden="1" customHeight="1" outlineLevel="2" x14ac:dyDescent="0.3">
      <c r="A78" s="26"/>
      <c r="B78" s="12" t="str">
        <f>CONCATENATE("          ","6373"," - ","MAINTENANCE CONTRACTS")</f>
        <v xml:space="preserve">          6373 - MAINTENANCE CONTRACTS</v>
      </c>
      <c r="C78" s="12"/>
      <c r="D78" s="8">
        <v>0.32</v>
      </c>
      <c r="E78" s="3"/>
      <c r="F78" s="7">
        <f t="shared" si="12"/>
        <v>1.5817407564169996E-7</v>
      </c>
      <c r="G78" s="3"/>
      <c r="H78" s="8">
        <v>12.34</v>
      </c>
      <c r="I78" s="3"/>
      <c r="J78" s="7">
        <f t="shared" si="13"/>
        <v>7.5588104857975203E-5</v>
      </c>
      <c r="K78" s="3"/>
      <c r="L78" s="8">
        <f t="shared" si="14"/>
        <v>-12.02</v>
      </c>
      <c r="M78" s="3"/>
      <c r="N78" s="7">
        <f t="shared" si="15"/>
        <v>-0.97406807131280382</v>
      </c>
      <c r="O78" s="12"/>
      <c r="P78" s="8">
        <v>21015.67</v>
      </c>
      <c r="Q78" s="3"/>
      <c r="R78" s="7">
        <f t="shared" si="16"/>
        <v>1.7062910459420635E-3</v>
      </c>
      <c r="S78" s="3"/>
      <c r="T78" s="8">
        <v>21463.21</v>
      </c>
      <c r="U78" s="3"/>
      <c r="V78" s="7">
        <f t="shared" si="17"/>
        <v>1.5353058118206461E-2</v>
      </c>
      <c r="W78" s="3"/>
      <c r="X78" s="8">
        <f t="shared" si="18"/>
        <v>-447.54000000000087</v>
      </c>
      <c r="Y78" s="3"/>
      <c r="Z78" s="7">
        <f t="shared" si="19"/>
        <v>-2.0851494254587311E-2</v>
      </c>
    </row>
    <row r="79" spans="1:26" s="69" customFormat="1" ht="15" hidden="1" customHeight="1" outlineLevel="2" x14ac:dyDescent="0.3">
      <c r="A79" s="26"/>
      <c r="B79" s="12" t="str">
        <f>CONCATENATE("          ","6375"," - ","OUTSIDE REPAIRS &amp; MAINTENANCE")</f>
        <v xml:space="preserve">          6375 - OUTSIDE REPAIRS &amp; MAINTENANCE</v>
      </c>
      <c r="C79" s="12"/>
      <c r="D79" s="8">
        <v>9463.51</v>
      </c>
      <c r="E79" s="3"/>
      <c r="F79" s="7">
        <f t="shared" si="12"/>
        <v>4.6777560830499505E-3</v>
      </c>
      <c r="G79" s="3"/>
      <c r="H79" s="8">
        <v>2101.1799999999998</v>
      </c>
      <c r="I79" s="3"/>
      <c r="J79" s="7">
        <f t="shared" si="13"/>
        <v>1.2870681861059993E-2</v>
      </c>
      <c r="K79" s="3"/>
      <c r="L79" s="8">
        <f t="shared" si="14"/>
        <v>7362.33</v>
      </c>
      <c r="M79" s="3"/>
      <c r="N79" s="7">
        <f t="shared" si="15"/>
        <v>3.5039025690326389</v>
      </c>
      <c r="O79" s="12"/>
      <c r="P79" s="8">
        <v>58064.63</v>
      </c>
      <c r="Q79" s="3"/>
      <c r="R79" s="7">
        <f t="shared" si="16"/>
        <v>4.7143468780647445E-3</v>
      </c>
      <c r="S79" s="3"/>
      <c r="T79" s="8">
        <v>26703.16</v>
      </c>
      <c r="U79" s="3"/>
      <c r="V79" s="7">
        <f t="shared" si="17"/>
        <v>1.9101297868294911E-2</v>
      </c>
      <c r="W79" s="3"/>
      <c r="X79" s="8">
        <f t="shared" si="18"/>
        <v>31361.469999999998</v>
      </c>
      <c r="Y79" s="3"/>
      <c r="Z79" s="7">
        <f t="shared" si="19"/>
        <v>1.1744478930583495</v>
      </c>
    </row>
    <row r="80" spans="1:26" s="68" customFormat="1" ht="15" customHeight="1" outlineLevel="1" collapsed="1" x14ac:dyDescent="0.3">
      <c r="A80" s="25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2">
        <f>SUM(OSRRefD22_16x_0)</f>
        <v>1845.35</v>
      </c>
      <c r="E80" s="2"/>
      <c r="F80" s="6">
        <f t="shared" si="12"/>
        <v>9.1214540776690949E-4</v>
      </c>
      <c r="G80" s="2"/>
      <c r="H80" s="2">
        <f>SUM(OSRRefH22_16x_0)</f>
        <v>0</v>
      </c>
      <c r="I80" s="2"/>
      <c r="J80" s="6">
        <f t="shared" si="13"/>
        <v>0</v>
      </c>
      <c r="K80" s="2"/>
      <c r="L80" s="2">
        <f t="shared" si="14"/>
        <v>1845.35</v>
      </c>
      <c r="M80" s="2"/>
      <c r="N80" s="6">
        <f t="shared" si="15"/>
        <v>0</v>
      </c>
      <c r="O80" s="14"/>
      <c r="P80" s="2">
        <f>SUM(OSRRefP22_16x_0)</f>
        <v>6063.06</v>
      </c>
      <c r="Q80" s="2"/>
      <c r="R80" s="6">
        <f t="shared" si="16"/>
        <v>4.9226814986195956E-4</v>
      </c>
      <c r="S80" s="2"/>
      <c r="T80" s="2">
        <f>SUM(OSRRefT22_16x_0)</f>
        <v>0</v>
      </c>
      <c r="U80" s="2"/>
      <c r="V80" s="6">
        <f t="shared" si="17"/>
        <v>0</v>
      </c>
      <c r="W80" s="2"/>
      <c r="X80" s="2">
        <f t="shared" si="18"/>
        <v>6063.06</v>
      </c>
      <c r="Y80" s="2"/>
      <c r="Z80" s="6">
        <f t="shared" si="19"/>
        <v>0</v>
      </c>
    </row>
    <row r="81" spans="1:26" s="69" customFormat="1" ht="15" hidden="1" customHeight="1" outlineLevel="2" x14ac:dyDescent="0.3">
      <c r="A81" s="26"/>
      <c r="B81" s="12" t="str">
        <f>CONCATENATE("          ","6254"," - ","ROYALTY &amp; COMMISSIONS")</f>
        <v xml:space="preserve">          6254 - ROYALTY &amp; COMMISSIONS</v>
      </c>
      <c r="C81" s="12"/>
      <c r="D81" s="8">
        <v>1845.35</v>
      </c>
      <c r="E81" s="3"/>
      <c r="F81" s="7">
        <f t="shared" si="12"/>
        <v>9.1214540776690949E-4</v>
      </c>
      <c r="G81" s="3"/>
      <c r="H81" s="8"/>
      <c r="I81" s="3"/>
      <c r="J81" s="7">
        <f t="shared" si="13"/>
        <v>0</v>
      </c>
      <c r="K81" s="3"/>
      <c r="L81" s="8">
        <f t="shared" si="14"/>
        <v>1845.35</v>
      </c>
      <c r="M81" s="3"/>
      <c r="N81" s="7">
        <f t="shared" si="15"/>
        <v>0</v>
      </c>
      <c r="O81" s="12"/>
      <c r="P81" s="8">
        <v>6063.06</v>
      </c>
      <c r="Q81" s="3"/>
      <c r="R81" s="7">
        <f t="shared" si="16"/>
        <v>4.9226814986195956E-4</v>
      </c>
      <c r="S81" s="3"/>
      <c r="T81" s="8"/>
      <c r="U81" s="3"/>
      <c r="V81" s="7">
        <f t="shared" si="17"/>
        <v>0</v>
      </c>
      <c r="W81" s="3"/>
      <c r="X81" s="8">
        <f t="shared" si="18"/>
        <v>6063.06</v>
      </c>
      <c r="Y81" s="3"/>
      <c r="Z81" s="7">
        <f t="shared" si="19"/>
        <v>0</v>
      </c>
    </row>
    <row r="82" spans="1:26" s="68" customFormat="1" ht="15" customHeight="1" outlineLevel="1" collapsed="1" x14ac:dyDescent="0.3">
      <c r="A82" s="25"/>
      <c r="B82" s="14" t="str">
        <f>CONCATENATE("     ","Services                                          ")</f>
        <v xml:space="preserve">     Services                                          </v>
      </c>
      <c r="C82" s="14"/>
      <c r="D82" s="2">
        <f>SUM(OSRRefD22_17x_0)</f>
        <v>27470.12</v>
      </c>
      <c r="E82" s="2"/>
      <c r="F82" s="6">
        <f t="shared" si="12"/>
        <v>1.3578315121145547E-2</v>
      </c>
      <c r="G82" s="2"/>
      <c r="H82" s="2">
        <f>SUM(OSRRefH22_17x_0)</f>
        <v>23614.69</v>
      </c>
      <c r="I82" s="2"/>
      <c r="J82" s="6">
        <f t="shared" si="13"/>
        <v>0.14465070209956063</v>
      </c>
      <c r="K82" s="2"/>
      <c r="L82" s="2">
        <f t="shared" si="14"/>
        <v>3855.4300000000003</v>
      </c>
      <c r="M82" s="2"/>
      <c r="N82" s="6">
        <f t="shared" si="15"/>
        <v>0.16326405301107066</v>
      </c>
      <c r="O82" s="14"/>
      <c r="P82" s="2">
        <f>SUM(OSRRefP22_17x_0)</f>
        <v>243769.96999999997</v>
      </c>
      <c r="Q82" s="2"/>
      <c r="R82" s="6">
        <f t="shared" si="16"/>
        <v>1.9792017912375167E-2</v>
      </c>
      <c r="S82" s="2"/>
      <c r="T82" s="2">
        <f>SUM(OSRRefT22_17x_0)</f>
        <v>172266.55</v>
      </c>
      <c r="U82" s="2"/>
      <c r="V82" s="6">
        <f t="shared" si="17"/>
        <v>0.12322566633662528</v>
      </c>
      <c r="W82" s="2"/>
      <c r="X82" s="2">
        <f t="shared" si="18"/>
        <v>71503.419999999984</v>
      </c>
      <c r="Y82" s="2"/>
      <c r="Z82" s="6">
        <f t="shared" si="19"/>
        <v>0.41507431361456992</v>
      </c>
    </row>
    <row r="83" spans="1:26" s="69" customFormat="1" ht="15" hidden="1" customHeight="1" outlineLevel="2" x14ac:dyDescent="0.3">
      <c r="A83" s="26"/>
      <c r="B83" s="12" t="str">
        <f>CONCATENATE("          ","6282"," - ","JANITORIAL/EXTERMINATOR EXPENS")</f>
        <v xml:space="preserve">          6282 - JANITORIAL/EXTERMINATOR EXPENS</v>
      </c>
      <c r="C83" s="12"/>
      <c r="D83" s="8">
        <v>2452.8000000000002</v>
      </c>
      <c r="E83" s="3"/>
      <c r="F83" s="7">
        <f t="shared" si="12"/>
        <v>1.2124042897936303E-3</v>
      </c>
      <c r="G83" s="3"/>
      <c r="H83" s="8">
        <v>4056.96</v>
      </c>
      <c r="I83" s="3"/>
      <c r="J83" s="7">
        <f t="shared" si="13"/>
        <v>2.4850722681086797E-2</v>
      </c>
      <c r="K83" s="3"/>
      <c r="L83" s="8">
        <f t="shared" si="14"/>
        <v>-1604.1599999999999</v>
      </c>
      <c r="M83" s="3"/>
      <c r="N83" s="7">
        <f t="shared" si="15"/>
        <v>-0.39540937056318026</v>
      </c>
      <c r="O83" s="12"/>
      <c r="P83" s="8">
        <v>28001.93</v>
      </c>
      <c r="Q83" s="3"/>
      <c r="R83" s="7">
        <f t="shared" si="16"/>
        <v>2.2735150689031777E-3</v>
      </c>
      <c r="S83" s="3"/>
      <c r="T83" s="8">
        <v>24556.98</v>
      </c>
      <c r="U83" s="3"/>
      <c r="V83" s="7">
        <f t="shared" si="17"/>
        <v>1.7566092916559719E-2</v>
      </c>
      <c r="W83" s="3"/>
      <c r="X83" s="8">
        <f t="shared" si="18"/>
        <v>3444.9500000000007</v>
      </c>
      <c r="Y83" s="3"/>
      <c r="Z83" s="7">
        <f t="shared" si="19"/>
        <v>0.14028394370969072</v>
      </c>
    </row>
    <row r="84" spans="1:26" s="69" customFormat="1" ht="15" hidden="1" customHeight="1" outlineLevel="2" x14ac:dyDescent="0.3">
      <c r="A84" s="26"/>
      <c r="B84" s="12" t="str">
        <f>CONCATENATE("          ","6284"," - ","TRASH REMOVAL EXPENSE")</f>
        <v xml:space="preserve">          6284 - TRASH REMOVAL EXPENSE</v>
      </c>
      <c r="C84" s="12"/>
      <c r="D84" s="8"/>
      <c r="E84" s="3"/>
      <c r="F84" s="7">
        <f t="shared" si="12"/>
        <v>0</v>
      </c>
      <c r="G84" s="3"/>
      <c r="H84" s="8">
        <v>5369</v>
      </c>
      <c r="I84" s="3"/>
      <c r="J84" s="7">
        <f t="shared" si="13"/>
        <v>3.2887563612841883E-2</v>
      </c>
      <c r="K84" s="3"/>
      <c r="L84" s="8">
        <f t="shared" si="14"/>
        <v>-5369</v>
      </c>
      <c r="M84" s="3"/>
      <c r="N84" s="7">
        <f t="shared" si="15"/>
        <v>-1</v>
      </c>
      <c r="O84" s="12"/>
      <c r="P84" s="8"/>
      <c r="Q84" s="3"/>
      <c r="R84" s="7">
        <f t="shared" si="16"/>
        <v>0</v>
      </c>
      <c r="S84" s="3"/>
      <c r="T84" s="8">
        <v>26294.75</v>
      </c>
      <c r="U84" s="3"/>
      <c r="V84" s="7">
        <f t="shared" si="17"/>
        <v>1.8809154127165013E-2</v>
      </c>
      <c r="W84" s="3"/>
      <c r="X84" s="8">
        <f t="shared" si="18"/>
        <v>-26294.75</v>
      </c>
      <c r="Y84" s="3"/>
      <c r="Z84" s="7">
        <f t="shared" si="19"/>
        <v>-1</v>
      </c>
    </row>
    <row r="85" spans="1:26" s="69" customFormat="1" ht="15" hidden="1" customHeight="1" outlineLevel="2" x14ac:dyDescent="0.3">
      <c r="A85" s="26"/>
      <c r="B85" s="12" t="str">
        <f>CONCATENATE("          ","6285"," - ","JANITORIAL SERVICES")</f>
        <v xml:space="preserve">          6285 - JANITORIAL SERVICES</v>
      </c>
      <c r="C85" s="12"/>
      <c r="D85" s="8">
        <v>18546.52</v>
      </c>
      <c r="E85" s="3"/>
      <c r="F85" s="7">
        <f t="shared" si="12"/>
        <v>9.1674333042821923E-3</v>
      </c>
      <c r="G85" s="3"/>
      <c r="H85" s="8">
        <v>12282.71</v>
      </c>
      <c r="I85" s="3"/>
      <c r="J85" s="7">
        <f t="shared" si="13"/>
        <v>7.5237177586718038E-2</v>
      </c>
      <c r="K85" s="3"/>
      <c r="L85" s="8">
        <f t="shared" si="14"/>
        <v>6263.8100000000013</v>
      </c>
      <c r="M85" s="3"/>
      <c r="N85" s="7">
        <f t="shared" si="15"/>
        <v>0.50996970538260711</v>
      </c>
      <c r="O85" s="12"/>
      <c r="P85" s="8">
        <v>181395.09</v>
      </c>
      <c r="Q85" s="3"/>
      <c r="R85" s="7">
        <f t="shared" si="16"/>
        <v>1.4727715930296524E-2</v>
      </c>
      <c r="S85" s="3"/>
      <c r="T85" s="8">
        <v>105922.44</v>
      </c>
      <c r="U85" s="3"/>
      <c r="V85" s="7">
        <f t="shared" si="17"/>
        <v>7.576841382729968E-2</v>
      </c>
      <c r="W85" s="3"/>
      <c r="X85" s="8">
        <f t="shared" si="18"/>
        <v>75472.649999999994</v>
      </c>
      <c r="Y85" s="3"/>
      <c r="Z85" s="7">
        <f t="shared" si="19"/>
        <v>0.71252748709338642</v>
      </c>
    </row>
    <row r="86" spans="1:26" s="69" customFormat="1" ht="15" hidden="1" customHeight="1" outlineLevel="2" x14ac:dyDescent="0.3">
      <c r="A86" s="26"/>
      <c r="B86" s="12" t="str">
        <f>CONCATENATE("          ","6286"," - ","LAUNDRY EXPENSE")</f>
        <v xml:space="preserve">          6286 - LAUNDRY EXPENSE</v>
      </c>
      <c r="C86" s="12"/>
      <c r="D86" s="8">
        <v>6470.8</v>
      </c>
      <c r="E86" s="3"/>
      <c r="F86" s="7">
        <f t="shared" si="12"/>
        <v>3.1984775270697255E-3</v>
      </c>
      <c r="G86" s="3"/>
      <c r="H86" s="8">
        <v>1906.02</v>
      </c>
      <c r="I86" s="3"/>
      <c r="J86" s="7">
        <f t="shared" si="13"/>
        <v>1.167523821891393E-2</v>
      </c>
      <c r="K86" s="3"/>
      <c r="L86" s="8">
        <f t="shared" si="14"/>
        <v>4564.7800000000007</v>
      </c>
      <c r="M86" s="3"/>
      <c r="N86" s="7">
        <f t="shared" si="15"/>
        <v>2.3949276502869856</v>
      </c>
      <c r="O86" s="12"/>
      <c r="P86" s="8">
        <v>34372.949999999997</v>
      </c>
      <c r="Q86" s="3"/>
      <c r="R86" s="7">
        <f t="shared" si="16"/>
        <v>2.7907869131754662E-3</v>
      </c>
      <c r="S86" s="3"/>
      <c r="T86" s="8">
        <v>15492.38</v>
      </c>
      <c r="U86" s="3"/>
      <c r="V86" s="7">
        <f t="shared" si="17"/>
        <v>1.1082005465600878E-2</v>
      </c>
      <c r="W86" s="3"/>
      <c r="X86" s="8">
        <f t="shared" si="18"/>
        <v>18880.57</v>
      </c>
      <c r="Y86" s="3"/>
      <c r="Z86" s="7">
        <f t="shared" si="19"/>
        <v>1.2187004191738133</v>
      </c>
    </row>
    <row r="87" spans="1:26" s="68" customFormat="1" ht="15" customHeight="1" outlineLevel="1" collapsed="1" x14ac:dyDescent="0.3">
      <c r="A87" s="25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2">
        <f>SUM(OSRRefD22_18x_0)</f>
        <v>560.5</v>
      </c>
      <c r="E87" s="2"/>
      <c r="F87" s="6">
        <f t="shared" si="12"/>
        <v>2.7705177936616508E-4</v>
      </c>
      <c r="G87" s="2"/>
      <c r="H87" s="2">
        <f>SUM(OSRRefH22_18x_0)</f>
        <v>0</v>
      </c>
      <c r="I87" s="2"/>
      <c r="J87" s="6">
        <f t="shared" si="13"/>
        <v>0</v>
      </c>
      <c r="K87" s="2"/>
      <c r="L87" s="2">
        <f t="shared" si="14"/>
        <v>560.5</v>
      </c>
      <c r="M87" s="2"/>
      <c r="N87" s="6">
        <f t="shared" si="15"/>
        <v>0</v>
      </c>
      <c r="O87" s="14"/>
      <c r="P87" s="2">
        <f>SUM(OSRRefP22_18x_0)</f>
        <v>6407.4</v>
      </c>
      <c r="Q87" s="2"/>
      <c r="R87" s="6">
        <f t="shared" si="16"/>
        <v>5.2022558632530756E-4</v>
      </c>
      <c r="S87" s="2"/>
      <c r="T87" s="2">
        <f>SUM(OSRRefT22_18x_0)</f>
        <v>1711.08</v>
      </c>
      <c r="U87" s="2"/>
      <c r="V87" s="6">
        <f t="shared" si="17"/>
        <v>1.2239693263449741E-3</v>
      </c>
      <c r="W87" s="2"/>
      <c r="X87" s="2">
        <f t="shared" si="18"/>
        <v>4696.32</v>
      </c>
      <c r="Y87" s="2"/>
      <c r="Z87" s="6">
        <f t="shared" si="19"/>
        <v>2.7446525001753277</v>
      </c>
    </row>
    <row r="88" spans="1:26" s="69" customFormat="1" ht="15" hidden="1" customHeight="1" outlineLevel="2" x14ac:dyDescent="0.3">
      <c r="A88" s="26"/>
      <c r="B88" s="12" t="str">
        <f>CONCATENATE("          ","6258"," - ","MEMBERSHIP DUES")</f>
        <v xml:space="preserve">          6258 - MEMBERSHIP DUES</v>
      </c>
      <c r="C88" s="12"/>
      <c r="D88" s="8"/>
      <c r="E88" s="3"/>
      <c r="F88" s="7">
        <f t="shared" si="12"/>
        <v>0</v>
      </c>
      <c r="G88" s="3"/>
      <c r="H88" s="8"/>
      <c r="I88" s="3"/>
      <c r="J88" s="7">
        <f t="shared" si="13"/>
        <v>0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/>
      <c r="Q88" s="3"/>
      <c r="R88" s="7">
        <f t="shared" si="16"/>
        <v>0</v>
      </c>
      <c r="S88" s="3"/>
      <c r="T88" s="8">
        <v>795</v>
      </c>
      <c r="U88" s="3"/>
      <c r="V88" s="7">
        <f t="shared" si="17"/>
        <v>5.6867920520621736E-4</v>
      </c>
      <c r="W88" s="3"/>
      <c r="X88" s="8">
        <f t="shared" si="18"/>
        <v>-795</v>
      </c>
      <c r="Y88" s="3"/>
      <c r="Z88" s="7">
        <f t="shared" si="19"/>
        <v>-1</v>
      </c>
    </row>
    <row r="89" spans="1:26" s="69" customFormat="1" ht="15" hidden="1" customHeight="1" outlineLevel="2" x14ac:dyDescent="0.3">
      <c r="A89" s="26"/>
      <c r="B89" s="12" t="str">
        <f>CONCATENATE("          ","6275"," - ","SUBSCRIPTIONS")</f>
        <v xml:space="preserve">          6275 - SUBSCRIPTIONS</v>
      </c>
      <c r="C89" s="12"/>
      <c r="D89" s="8">
        <v>560.5</v>
      </c>
      <c r="E89" s="3"/>
      <c r="F89" s="7">
        <f t="shared" si="12"/>
        <v>2.7705177936616508E-4</v>
      </c>
      <c r="G89" s="3"/>
      <c r="H89" s="8"/>
      <c r="I89" s="3"/>
      <c r="J89" s="7">
        <f t="shared" si="13"/>
        <v>0</v>
      </c>
      <c r="K89" s="3"/>
      <c r="L89" s="8">
        <f t="shared" si="14"/>
        <v>560.5</v>
      </c>
      <c r="M89" s="3"/>
      <c r="N89" s="7">
        <f t="shared" si="15"/>
        <v>0</v>
      </c>
      <c r="O89" s="12"/>
      <c r="P89" s="8">
        <v>6407.4</v>
      </c>
      <c r="Q89" s="3"/>
      <c r="R89" s="7">
        <f t="shared" si="16"/>
        <v>5.2022558632530756E-4</v>
      </c>
      <c r="S89" s="3"/>
      <c r="T89" s="8">
        <v>916.08</v>
      </c>
      <c r="U89" s="3"/>
      <c r="V89" s="7">
        <f t="shared" si="17"/>
        <v>6.5529012113875679E-4</v>
      </c>
      <c r="W89" s="3"/>
      <c r="X89" s="8">
        <f t="shared" si="18"/>
        <v>5491.32</v>
      </c>
      <c r="Y89" s="3"/>
      <c r="Z89" s="7">
        <f t="shared" si="19"/>
        <v>5.9943673041655741</v>
      </c>
    </row>
    <row r="90" spans="1:26" s="68" customFormat="1" ht="15" customHeight="1" outlineLevel="1" collapsed="1" x14ac:dyDescent="0.3">
      <c r="A90" s="25"/>
      <c r="B90" s="14" t="str">
        <f>CONCATENATE("     ","Supplies                                          ")</f>
        <v xml:space="preserve">     Supplies                                          </v>
      </c>
      <c r="C90" s="14"/>
      <c r="D90" s="2">
        <f>SUM(OSRRefD22_19x_0)</f>
        <v>46112.7</v>
      </c>
      <c r="E90" s="2"/>
      <c r="F90" s="6">
        <f t="shared" si="12"/>
        <v>2.2793230305759429E-2</v>
      </c>
      <c r="G90" s="2"/>
      <c r="H90" s="2">
        <f>SUM(OSRRefH22_19x_0)</f>
        <v>13903.92</v>
      </c>
      <c r="I90" s="2"/>
      <c r="J90" s="6">
        <f t="shared" si="13"/>
        <v>8.5167825194238128E-2</v>
      </c>
      <c r="K90" s="2"/>
      <c r="L90" s="2">
        <f t="shared" si="14"/>
        <v>32208.78</v>
      </c>
      <c r="M90" s="2"/>
      <c r="N90" s="6">
        <f t="shared" si="15"/>
        <v>2.3165251238499645</v>
      </c>
      <c r="O90" s="14"/>
      <c r="P90" s="2">
        <f>SUM(OSRRefP22_19x_0)</f>
        <v>342794.40000000008</v>
      </c>
      <c r="Q90" s="2"/>
      <c r="R90" s="6">
        <f t="shared" si="16"/>
        <v>2.7831947081348452E-2</v>
      </c>
      <c r="S90" s="2"/>
      <c r="T90" s="2">
        <f>SUM(OSRRefT22_19x_0)</f>
        <v>112712.56000000001</v>
      </c>
      <c r="U90" s="2"/>
      <c r="V90" s="6">
        <f t="shared" si="17"/>
        <v>8.0625520801959866E-2</v>
      </c>
      <c r="W90" s="2"/>
      <c r="X90" s="2">
        <f t="shared" si="18"/>
        <v>230081.84000000008</v>
      </c>
      <c r="Y90" s="2"/>
      <c r="Z90" s="6">
        <f t="shared" si="19"/>
        <v>2.0413150051777729</v>
      </c>
    </row>
    <row r="91" spans="1:26" s="69" customFormat="1" ht="15" hidden="1" customHeight="1" outlineLevel="2" x14ac:dyDescent="0.3">
      <c r="A91" s="26"/>
      <c r="B91" s="12" t="str">
        <f>CONCATENATE("          ","6234"," - ","EXPENDABLE SUPPLIES &amp; EQUIPMEN")</f>
        <v xml:space="preserve">          6234 - EXPENDABLE SUPPLIES &amp; EQUIPMEN</v>
      </c>
      <c r="C91" s="12"/>
      <c r="D91" s="8">
        <v>175.34</v>
      </c>
      <c r="E91" s="3"/>
      <c r="F91" s="7">
        <f t="shared" si="12"/>
        <v>8.6669507571923978E-5</v>
      </c>
      <c r="G91" s="3"/>
      <c r="H91" s="8">
        <v>26.25</v>
      </c>
      <c r="I91" s="3"/>
      <c r="J91" s="7">
        <f t="shared" si="13"/>
        <v>1.6079317281376409E-4</v>
      </c>
      <c r="K91" s="3"/>
      <c r="L91" s="8">
        <f t="shared" si="14"/>
        <v>149.09</v>
      </c>
      <c r="M91" s="3"/>
      <c r="N91" s="7">
        <f t="shared" si="15"/>
        <v>5.679619047619048</v>
      </c>
      <c r="O91" s="12"/>
      <c r="P91" s="8">
        <v>678.82</v>
      </c>
      <c r="Q91" s="3"/>
      <c r="R91" s="7">
        <f t="shared" si="16"/>
        <v>5.5114326015130217E-5</v>
      </c>
      <c r="S91" s="3"/>
      <c r="T91" s="8">
        <v>337.16</v>
      </c>
      <c r="U91" s="3"/>
      <c r="V91" s="7">
        <f t="shared" si="17"/>
        <v>2.4117720858783429E-4</v>
      </c>
      <c r="W91" s="3"/>
      <c r="X91" s="8">
        <f t="shared" si="18"/>
        <v>341.66</v>
      </c>
      <c r="Y91" s="3"/>
      <c r="Z91" s="7">
        <f t="shared" si="19"/>
        <v>1.01334677897734</v>
      </c>
    </row>
    <row r="92" spans="1:26" s="69" customFormat="1" ht="15" hidden="1" customHeight="1" outlineLevel="2" x14ac:dyDescent="0.3">
      <c r="A92" s="26"/>
      <c r="B92" s="12" t="str">
        <f>CONCATENATE("          ","6235"," - ","COVID-19 EXPENSES")</f>
        <v xml:space="preserve">          6235 - COVID-19 EXPENSES</v>
      </c>
      <c r="C92" s="12"/>
      <c r="D92" s="8"/>
      <c r="E92" s="3"/>
      <c r="F92" s="7">
        <f t="shared" si="12"/>
        <v>0</v>
      </c>
      <c r="G92" s="3"/>
      <c r="H92" s="8">
        <v>2986.65</v>
      </c>
      <c r="I92" s="3"/>
      <c r="J92" s="7">
        <f t="shared" si="13"/>
        <v>1.8294587793684897E-2</v>
      </c>
      <c r="K92" s="3"/>
      <c r="L92" s="8">
        <f t="shared" si="14"/>
        <v>-2986.65</v>
      </c>
      <c r="M92" s="3"/>
      <c r="N92" s="7">
        <f t="shared" si="15"/>
        <v>-1</v>
      </c>
      <c r="O92" s="12"/>
      <c r="P92" s="8">
        <v>777.84</v>
      </c>
      <c r="Q92" s="3"/>
      <c r="R92" s="7">
        <f t="shared" si="16"/>
        <v>6.3153895506332875E-5</v>
      </c>
      <c r="S92" s="3"/>
      <c r="T92" s="8">
        <v>63438.06</v>
      </c>
      <c r="U92" s="3"/>
      <c r="V92" s="7">
        <f t="shared" si="17"/>
        <v>4.5378497535376511E-2</v>
      </c>
      <c r="W92" s="3"/>
      <c r="X92" s="8">
        <f t="shared" si="18"/>
        <v>-62660.22</v>
      </c>
      <c r="Y92" s="3"/>
      <c r="Z92" s="7">
        <f t="shared" si="19"/>
        <v>-0.98773859099726569</v>
      </c>
    </row>
    <row r="93" spans="1:26" s="69" customFormat="1" ht="15" hidden="1" customHeight="1" outlineLevel="2" x14ac:dyDescent="0.3">
      <c r="A93" s="26"/>
      <c r="B93" s="12" t="str">
        <f>CONCATENATE("          ","6237"," - ","JANITORIAL SUPPLIES")</f>
        <v xml:space="preserve">          6237 - JANITORIAL SUPPLIES</v>
      </c>
      <c r="C93" s="12"/>
      <c r="D93" s="8">
        <v>23907.66</v>
      </c>
      <c r="E93" s="3"/>
      <c r="F93" s="7">
        <f t="shared" ref="F93:F109" si="20">IF(D$12=0,0,D93/D$12)</f>
        <v>1.1817412566425141E-2</v>
      </c>
      <c r="G93" s="3"/>
      <c r="H93" s="8">
        <v>1902.43</v>
      </c>
      <c r="I93" s="3"/>
      <c r="J93" s="7">
        <f t="shared" ref="J93:J109" si="21">IF(H$12=0,0,H93/H$12)</f>
        <v>1.165324783832721E-2</v>
      </c>
      <c r="K93" s="3"/>
      <c r="L93" s="8">
        <f t="shared" ref="L93:L109" si="22">+D93-H93</f>
        <v>22005.23</v>
      </c>
      <c r="M93" s="3"/>
      <c r="N93" s="7">
        <f t="shared" ref="N93:N109" si="23">IF(H93=0,0,L93/H93)</f>
        <v>11.566906535325872</v>
      </c>
      <c r="O93" s="12"/>
      <c r="P93" s="8">
        <v>79728.08</v>
      </c>
      <c r="Q93" s="3"/>
      <c r="R93" s="7">
        <f t="shared" ref="R93:R109" si="24">IF(P$12=0,0,P93/P$12)</f>
        <v>6.4732320698865425E-3</v>
      </c>
      <c r="S93" s="3"/>
      <c r="T93" s="8">
        <v>22100.63</v>
      </c>
      <c r="U93" s="3"/>
      <c r="V93" s="7">
        <f t="shared" ref="V93:V109" si="25">IF(T$12=0,0,T93/T$12)</f>
        <v>1.5809017236423504E-2</v>
      </c>
      <c r="W93" s="3"/>
      <c r="X93" s="8">
        <f t="shared" ref="X93:X109" si="26">+P93-T93</f>
        <v>57627.45</v>
      </c>
      <c r="Y93" s="3"/>
      <c r="Z93" s="7">
        <f t="shared" ref="Z93:Z109" si="27">IF(T93=0,0,X93/T93)</f>
        <v>2.607502591555082</v>
      </c>
    </row>
    <row r="94" spans="1:26" s="69" customFormat="1" ht="15" hidden="1" customHeight="1" outlineLevel="2" x14ac:dyDescent="0.3">
      <c r="A94" s="26"/>
      <c r="B94" s="12" t="str">
        <f>CONCATENATE("          ","6239"," - ","KITCHEN SUPPLIES")</f>
        <v xml:space="preserve">          6239 - KITCHEN SUPPLIES</v>
      </c>
      <c r="C94" s="12"/>
      <c r="D94" s="8">
        <v>8107.13</v>
      </c>
      <c r="E94" s="3"/>
      <c r="F94" s="7">
        <f t="shared" si="20"/>
        <v>4.0073056058034223E-3</v>
      </c>
      <c r="G94" s="3"/>
      <c r="H94" s="8">
        <v>160.30000000000001</v>
      </c>
      <c r="I94" s="3"/>
      <c r="J94" s="7">
        <f t="shared" si="21"/>
        <v>9.8191030864938612E-4</v>
      </c>
      <c r="K94" s="3"/>
      <c r="L94" s="8">
        <f t="shared" si="22"/>
        <v>7946.83</v>
      </c>
      <c r="M94" s="3"/>
      <c r="N94" s="7">
        <f t="shared" si="23"/>
        <v>49.574734872114782</v>
      </c>
      <c r="O94" s="12"/>
      <c r="P94" s="8">
        <v>44626</v>
      </c>
      <c r="Q94" s="3"/>
      <c r="R94" s="7">
        <f t="shared" si="24"/>
        <v>3.6232460928540718E-3</v>
      </c>
      <c r="S94" s="3"/>
      <c r="T94" s="8">
        <v>7267.21</v>
      </c>
      <c r="U94" s="3"/>
      <c r="V94" s="7">
        <f t="shared" si="25"/>
        <v>5.1983788765618552E-3</v>
      </c>
      <c r="W94" s="3"/>
      <c r="X94" s="8">
        <f t="shared" si="26"/>
        <v>37358.79</v>
      </c>
      <c r="Y94" s="3"/>
      <c r="Z94" s="7">
        <f t="shared" si="27"/>
        <v>5.1407335139620294</v>
      </c>
    </row>
    <row r="95" spans="1:26" s="69" customFormat="1" ht="15" hidden="1" customHeight="1" outlineLevel="2" x14ac:dyDescent="0.3">
      <c r="A95" s="26"/>
      <c r="B95" s="12" t="str">
        <f>CONCATENATE("          ","6241"," - ","OFFICE EXPENSE")</f>
        <v xml:space="preserve">          6241 - OFFICE EXPENSE</v>
      </c>
      <c r="C95" s="12"/>
      <c r="D95" s="8">
        <v>102.34</v>
      </c>
      <c r="E95" s="3"/>
      <c r="F95" s="7">
        <f t="shared" si="20"/>
        <v>5.0586046566161171E-5</v>
      </c>
      <c r="G95" s="3"/>
      <c r="H95" s="8">
        <v>1699</v>
      </c>
      <c r="I95" s="3"/>
      <c r="J95" s="7">
        <f t="shared" si="21"/>
        <v>1.0407146689927056E-2</v>
      </c>
      <c r="K95" s="3"/>
      <c r="L95" s="8">
        <f t="shared" si="22"/>
        <v>-1596.66</v>
      </c>
      <c r="M95" s="3"/>
      <c r="N95" s="7">
        <f t="shared" si="23"/>
        <v>-0.93976456739258396</v>
      </c>
      <c r="O95" s="12"/>
      <c r="P95" s="8">
        <v>24574.74</v>
      </c>
      <c r="Q95" s="3"/>
      <c r="R95" s="7">
        <f t="shared" si="24"/>
        <v>1.9952568163829308E-3</v>
      </c>
      <c r="S95" s="3"/>
      <c r="T95" s="8">
        <v>-20562.34</v>
      </c>
      <c r="U95" s="3"/>
      <c r="V95" s="7">
        <f t="shared" si="25"/>
        <v>-1.4708648010540896E-2</v>
      </c>
      <c r="W95" s="3"/>
      <c r="X95" s="8">
        <f t="shared" si="26"/>
        <v>45137.08</v>
      </c>
      <c r="Y95" s="3"/>
      <c r="Z95" s="7">
        <f t="shared" si="27"/>
        <v>-2.19513343325711</v>
      </c>
    </row>
    <row r="96" spans="1:26" s="69" customFormat="1" ht="15" hidden="1" customHeight="1" outlineLevel="2" x14ac:dyDescent="0.3">
      <c r="A96" s="26"/>
      <c r="B96" s="12" t="str">
        <f>CONCATENATE("          ","6243"," - ","PAPER SUPPLIES")</f>
        <v xml:space="preserve">          6243 - PAPER SUPPLIES</v>
      </c>
      <c r="C96" s="12"/>
      <c r="D96" s="8">
        <v>13725.13</v>
      </c>
      <c r="E96" s="3"/>
      <c r="F96" s="7">
        <f t="shared" si="20"/>
        <v>6.7842492212880166E-3</v>
      </c>
      <c r="G96" s="3"/>
      <c r="H96" s="8">
        <v>7129.29</v>
      </c>
      <c r="I96" s="3"/>
      <c r="J96" s="7">
        <f t="shared" si="21"/>
        <v>4.3670139390835819E-2</v>
      </c>
      <c r="K96" s="3"/>
      <c r="L96" s="8">
        <f t="shared" si="22"/>
        <v>6595.8399999999992</v>
      </c>
      <c r="M96" s="3"/>
      <c r="N96" s="7">
        <f t="shared" si="23"/>
        <v>0.92517487716168079</v>
      </c>
      <c r="O96" s="12"/>
      <c r="P96" s="8">
        <v>179154.94</v>
      </c>
      <c r="Q96" s="3"/>
      <c r="R96" s="7">
        <f t="shared" si="24"/>
        <v>1.4545835082026299E-2</v>
      </c>
      <c r="S96" s="3"/>
      <c r="T96" s="8">
        <v>35631.25</v>
      </c>
      <c r="U96" s="3"/>
      <c r="V96" s="7">
        <f t="shared" si="25"/>
        <v>2.5487737019501928E-2</v>
      </c>
      <c r="W96" s="3"/>
      <c r="X96" s="8">
        <f t="shared" si="26"/>
        <v>143523.69</v>
      </c>
      <c r="Y96" s="3"/>
      <c r="Z96" s="7">
        <f t="shared" si="27"/>
        <v>4.028028486230486</v>
      </c>
    </row>
    <row r="97" spans="1:26" s="69" customFormat="1" ht="15" hidden="1" customHeight="1" outlineLevel="2" x14ac:dyDescent="0.3">
      <c r="A97" s="26"/>
      <c r="B97" s="12" t="str">
        <f>CONCATENATE("          ","6245"," - ","PRINTING")</f>
        <v xml:space="preserve">          6245 - PRINTING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1071</v>
      </c>
      <c r="Q97" s="3"/>
      <c r="R97" s="7">
        <f t="shared" si="24"/>
        <v>8.695595763560952E-5</v>
      </c>
      <c r="S97" s="3"/>
      <c r="T97" s="8"/>
      <c r="U97" s="3"/>
      <c r="V97" s="7">
        <f t="shared" si="25"/>
        <v>0</v>
      </c>
      <c r="W97" s="3"/>
      <c r="X97" s="8">
        <f t="shared" si="26"/>
        <v>1071</v>
      </c>
      <c r="Y97" s="3"/>
      <c r="Z97" s="7">
        <f t="shared" si="27"/>
        <v>0</v>
      </c>
    </row>
    <row r="98" spans="1:26" s="69" customFormat="1" ht="15" hidden="1" customHeight="1" outlineLevel="2" x14ac:dyDescent="0.3">
      <c r="A98" s="26"/>
      <c r="B98" s="12" t="str">
        <f>CONCATENATE("          ","6247"," - ","STORE SUPPLIES")</f>
        <v xml:space="preserve">          6247 - STORE SUPPLIES</v>
      </c>
      <c r="C98" s="12"/>
      <c r="D98" s="8">
        <v>-103.35</v>
      </c>
      <c r="E98" s="3"/>
      <c r="F98" s="7">
        <f t="shared" si="20"/>
        <v>-5.1085283492405288E-5</v>
      </c>
      <c r="G98" s="3"/>
      <c r="H98" s="8"/>
      <c r="I98" s="3"/>
      <c r="J98" s="7">
        <f t="shared" si="21"/>
        <v>0</v>
      </c>
      <c r="K98" s="3"/>
      <c r="L98" s="8">
        <f t="shared" si="22"/>
        <v>-103.35</v>
      </c>
      <c r="M98" s="3"/>
      <c r="N98" s="7">
        <f t="shared" si="23"/>
        <v>0</v>
      </c>
      <c r="O98" s="12"/>
      <c r="P98" s="8">
        <v>2651.14</v>
      </c>
      <c r="Q98" s="3"/>
      <c r="R98" s="7">
        <f t="shared" si="24"/>
        <v>2.1524968956682523E-4</v>
      </c>
      <c r="S98" s="3"/>
      <c r="T98" s="8"/>
      <c r="U98" s="3"/>
      <c r="V98" s="7">
        <f t="shared" si="25"/>
        <v>0</v>
      </c>
      <c r="W98" s="3"/>
      <c r="X98" s="8">
        <f t="shared" si="26"/>
        <v>2651.14</v>
      </c>
      <c r="Y98" s="3"/>
      <c r="Z98" s="7">
        <f t="shared" si="27"/>
        <v>0</v>
      </c>
    </row>
    <row r="99" spans="1:26" s="69" customFormat="1" ht="15" hidden="1" customHeight="1" outlineLevel="2" x14ac:dyDescent="0.3">
      <c r="A99" s="26"/>
      <c r="B99" s="12" t="str">
        <f>CONCATENATE("          ","6248"," - ","UNIFORMS")</f>
        <v xml:space="preserve">          6248 - UNIFORMS</v>
      </c>
      <c r="C99" s="12"/>
      <c r="D99" s="8">
        <v>198.45</v>
      </c>
      <c r="E99" s="3"/>
      <c r="F99" s="7">
        <f t="shared" si="20"/>
        <v>9.8092641597172995E-5</v>
      </c>
      <c r="G99" s="3"/>
      <c r="H99" s="8"/>
      <c r="I99" s="3"/>
      <c r="J99" s="7">
        <f t="shared" si="21"/>
        <v>0</v>
      </c>
      <c r="K99" s="3"/>
      <c r="L99" s="8">
        <f t="shared" si="22"/>
        <v>198.45</v>
      </c>
      <c r="M99" s="3"/>
      <c r="N99" s="7">
        <f t="shared" si="23"/>
        <v>0</v>
      </c>
      <c r="O99" s="12"/>
      <c r="P99" s="8">
        <v>9531.84</v>
      </c>
      <c r="Q99" s="3"/>
      <c r="R99" s="7">
        <f t="shared" si="24"/>
        <v>7.7390315147470435E-4</v>
      </c>
      <c r="S99" s="3"/>
      <c r="T99" s="8">
        <v>4500.59</v>
      </c>
      <c r="U99" s="3"/>
      <c r="V99" s="7">
        <f t="shared" si="25"/>
        <v>3.2193609360491194E-3</v>
      </c>
      <c r="W99" s="3"/>
      <c r="X99" s="8">
        <f t="shared" si="26"/>
        <v>5031.25</v>
      </c>
      <c r="Y99" s="3"/>
      <c r="Z99" s="7">
        <f t="shared" si="27"/>
        <v>1.1179089852663762</v>
      </c>
    </row>
    <row r="100" spans="1:26" s="68" customFormat="1" ht="15" customHeight="1" outlineLevel="1" collapsed="1" x14ac:dyDescent="0.3">
      <c r="A100" s="25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SUM(OSRRefD22_20x_0)</f>
        <v>2222</v>
      </c>
      <c r="E100" s="2"/>
      <c r="F100" s="6">
        <f t="shared" si="20"/>
        <v>1.0983212377370542E-3</v>
      </c>
      <c r="G100" s="2"/>
      <c r="H100" s="2">
        <f>SUM(OSRRefH22_20x_0)</f>
        <v>496.6</v>
      </c>
      <c r="I100" s="2"/>
      <c r="J100" s="6">
        <f t="shared" si="21"/>
        <v>3.0419005569262956E-3</v>
      </c>
      <c r="K100" s="2"/>
      <c r="L100" s="2">
        <f t="shared" si="22"/>
        <v>1725.4</v>
      </c>
      <c r="M100" s="2"/>
      <c r="N100" s="6">
        <f t="shared" si="23"/>
        <v>3.4744260974627466</v>
      </c>
      <c r="O100" s="14"/>
      <c r="P100" s="2">
        <f>SUM(OSRRefP22_20x_0)</f>
        <v>14598.39</v>
      </c>
      <c r="Q100" s="2"/>
      <c r="R100" s="6">
        <f t="shared" si="24"/>
        <v>1.185263288877783E-3</v>
      </c>
      <c r="S100" s="2"/>
      <c r="T100" s="2">
        <f>SUM(OSRRefT22_20x_0)</f>
        <v>10621.33</v>
      </c>
      <c r="U100" s="2"/>
      <c r="V100" s="6">
        <f t="shared" si="25"/>
        <v>7.597647173123211E-3</v>
      </c>
      <c r="W100" s="2"/>
      <c r="X100" s="2">
        <f t="shared" si="26"/>
        <v>3977.0599999999995</v>
      </c>
      <c r="Y100" s="2"/>
      <c r="Z100" s="6">
        <f t="shared" si="27"/>
        <v>0.37444086569196133</v>
      </c>
    </row>
    <row r="101" spans="1:26" s="69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8">
        <v>2222</v>
      </c>
      <c r="E101" s="3"/>
      <c r="F101" s="7">
        <f t="shared" si="20"/>
        <v>1.0983212377370542E-3</v>
      </c>
      <c r="G101" s="3"/>
      <c r="H101" s="8">
        <v>496.6</v>
      </c>
      <c r="I101" s="3"/>
      <c r="J101" s="7">
        <f t="shared" si="21"/>
        <v>3.0419005569262956E-3</v>
      </c>
      <c r="K101" s="3"/>
      <c r="L101" s="8">
        <f t="shared" si="22"/>
        <v>1725.4</v>
      </c>
      <c r="M101" s="3"/>
      <c r="N101" s="7">
        <f t="shared" si="23"/>
        <v>3.4744260974627466</v>
      </c>
      <c r="O101" s="12"/>
      <c r="P101" s="8">
        <v>14598.39</v>
      </c>
      <c r="Q101" s="3"/>
      <c r="R101" s="7">
        <f t="shared" si="24"/>
        <v>1.185263288877783E-3</v>
      </c>
      <c r="S101" s="3"/>
      <c r="T101" s="8">
        <v>10621.33</v>
      </c>
      <c r="U101" s="3"/>
      <c r="V101" s="7">
        <f t="shared" si="25"/>
        <v>7.597647173123211E-3</v>
      </c>
      <c r="W101" s="3"/>
      <c r="X101" s="8">
        <f t="shared" si="26"/>
        <v>3977.0599999999995</v>
      </c>
      <c r="Y101" s="3"/>
      <c r="Z101" s="7">
        <f t="shared" si="27"/>
        <v>0.37444086569196133</v>
      </c>
    </row>
    <row r="102" spans="1:26" s="68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SUM(OSRRefD22_21x_0)</f>
        <v>951.95</v>
      </c>
      <c r="E102" s="2"/>
      <c r="F102" s="6">
        <f t="shared" si="20"/>
        <v>4.705431603347384E-4</v>
      </c>
      <c r="G102" s="2"/>
      <c r="H102" s="2">
        <f>SUM(OSRRefH22_21x_0)</f>
        <v>0</v>
      </c>
      <c r="I102" s="2"/>
      <c r="J102" s="6">
        <f t="shared" si="21"/>
        <v>0</v>
      </c>
      <c r="K102" s="2"/>
      <c r="L102" s="2">
        <f t="shared" si="22"/>
        <v>951.95</v>
      </c>
      <c r="M102" s="2"/>
      <c r="N102" s="6">
        <f t="shared" si="23"/>
        <v>0</v>
      </c>
      <c r="O102" s="14"/>
      <c r="P102" s="2">
        <f>SUM(OSRRefP22_21x_0)</f>
        <v>9290.92</v>
      </c>
      <c r="Q102" s="2"/>
      <c r="R102" s="6">
        <f t="shared" si="24"/>
        <v>7.5434252653206098E-4</v>
      </c>
      <c r="S102" s="2"/>
      <c r="T102" s="2">
        <f>SUM(OSRRefT22_21x_0)</f>
        <v>1186.23</v>
      </c>
      <c r="U102" s="2"/>
      <c r="V102" s="6">
        <f t="shared" si="25"/>
        <v>8.485337529456242E-4</v>
      </c>
      <c r="W102" s="2"/>
      <c r="X102" s="2">
        <f t="shared" si="26"/>
        <v>8104.6900000000005</v>
      </c>
      <c r="Y102" s="2"/>
      <c r="Z102" s="6">
        <f t="shared" si="27"/>
        <v>6.8323090800266391</v>
      </c>
    </row>
    <row r="103" spans="1:26" s="69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8">
        <v>951.95</v>
      </c>
      <c r="E103" s="3"/>
      <c r="F103" s="7">
        <f t="shared" si="20"/>
        <v>4.705431603347384E-4</v>
      </c>
      <c r="G103" s="3"/>
      <c r="H103" s="8"/>
      <c r="I103" s="3"/>
      <c r="J103" s="7">
        <f t="shared" si="21"/>
        <v>0</v>
      </c>
      <c r="K103" s="3"/>
      <c r="L103" s="8">
        <f t="shared" si="22"/>
        <v>951.95</v>
      </c>
      <c r="M103" s="3"/>
      <c r="N103" s="7">
        <f t="shared" si="23"/>
        <v>0</v>
      </c>
      <c r="O103" s="12"/>
      <c r="P103" s="8">
        <v>9290.92</v>
      </c>
      <c r="Q103" s="3"/>
      <c r="R103" s="7">
        <f t="shared" si="24"/>
        <v>7.5434252653206098E-4</v>
      </c>
      <c r="S103" s="3"/>
      <c r="T103" s="8">
        <v>1186.23</v>
      </c>
      <c r="U103" s="3"/>
      <c r="V103" s="7">
        <f t="shared" si="25"/>
        <v>8.485337529456242E-4</v>
      </c>
      <c r="W103" s="3"/>
      <c r="X103" s="8">
        <f t="shared" si="26"/>
        <v>8104.6900000000005</v>
      </c>
      <c r="Y103" s="3"/>
      <c r="Z103" s="7">
        <f t="shared" si="27"/>
        <v>6.8323090800266391</v>
      </c>
    </row>
    <row r="104" spans="1:26" s="68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SUM(OSRRefD22_22x_0)</f>
        <v>0</v>
      </c>
      <c r="E104" s="2"/>
      <c r="F104" s="6">
        <f t="shared" si="20"/>
        <v>0</v>
      </c>
      <c r="G104" s="2"/>
      <c r="H104" s="2">
        <f>SUM(OSRRefH22_22x_0)</f>
        <v>160.30000000000001</v>
      </c>
      <c r="I104" s="2"/>
      <c r="J104" s="6">
        <f t="shared" si="21"/>
        <v>9.8191030864938612E-4</v>
      </c>
      <c r="K104" s="2"/>
      <c r="L104" s="2">
        <f t="shared" si="22"/>
        <v>-160.30000000000001</v>
      </c>
      <c r="M104" s="2"/>
      <c r="N104" s="6">
        <f t="shared" si="23"/>
        <v>-1</v>
      </c>
      <c r="O104" s="14"/>
      <c r="P104" s="2">
        <f>SUM(OSRRefP22_22x_0)</f>
        <v>975.28</v>
      </c>
      <c r="Q104" s="2"/>
      <c r="R104" s="6">
        <f t="shared" si="24"/>
        <v>7.9184319666533389E-5</v>
      </c>
      <c r="S104" s="2"/>
      <c r="T104" s="2">
        <f>SUM(OSRRefT22_22x_0)</f>
        <v>492.51</v>
      </c>
      <c r="U104" s="2"/>
      <c r="V104" s="6">
        <f t="shared" si="25"/>
        <v>3.5230213252341398E-4</v>
      </c>
      <c r="W104" s="2"/>
      <c r="X104" s="2">
        <f t="shared" si="26"/>
        <v>482.77</v>
      </c>
      <c r="Y104" s="2"/>
      <c r="Z104" s="6">
        <f t="shared" si="27"/>
        <v>0.98022375180199384</v>
      </c>
    </row>
    <row r="105" spans="1:26" s="69" customFormat="1" ht="15" hidden="1" customHeight="1" outlineLevel="2" x14ac:dyDescent="0.3">
      <c r="A105" s="26"/>
      <c r="B105" s="12" t="str">
        <f>CONCATENATE("          ","6292"," - ","TRAVEL/CONFERENCE")</f>
        <v xml:space="preserve">          6292 - TRAVEL/CONFERENCE</v>
      </c>
      <c r="C105" s="12"/>
      <c r="D105" s="8"/>
      <c r="E105" s="3"/>
      <c r="F105" s="7">
        <f t="shared" si="20"/>
        <v>0</v>
      </c>
      <c r="G105" s="3"/>
      <c r="H105" s="8"/>
      <c r="I105" s="3"/>
      <c r="J105" s="7">
        <f t="shared" si="21"/>
        <v>0</v>
      </c>
      <c r="K105" s="3"/>
      <c r="L105" s="8">
        <f t="shared" si="22"/>
        <v>0</v>
      </c>
      <c r="M105" s="3"/>
      <c r="N105" s="7">
        <f t="shared" si="23"/>
        <v>0</v>
      </c>
      <c r="O105" s="12"/>
      <c r="P105" s="8">
        <v>613.59</v>
      </c>
      <c r="Q105" s="3"/>
      <c r="R105" s="7">
        <f t="shared" si="24"/>
        <v>4.9818212927762515E-5</v>
      </c>
      <c r="S105" s="3"/>
      <c r="T105" s="8"/>
      <c r="U105" s="3"/>
      <c r="V105" s="7">
        <f t="shared" si="25"/>
        <v>0</v>
      </c>
      <c r="W105" s="3"/>
      <c r="X105" s="8">
        <f t="shared" si="26"/>
        <v>613.59</v>
      </c>
      <c r="Y105" s="3"/>
      <c r="Z105" s="7">
        <f t="shared" si="27"/>
        <v>0</v>
      </c>
    </row>
    <row r="106" spans="1:26" s="69" customFormat="1" ht="15" hidden="1" customHeight="1" outlineLevel="2" x14ac:dyDescent="0.3">
      <c r="A106" s="26"/>
      <c r="B106" s="12" t="str">
        <f>CONCATENATE("          ","6294"," - ","TRAVEL OPERATIONAL")</f>
        <v xml:space="preserve">          6294 - TRAVEL OPERATIONAL</v>
      </c>
      <c r="C106" s="12"/>
      <c r="D106" s="8"/>
      <c r="E106" s="3"/>
      <c r="F106" s="7">
        <f t="shared" si="20"/>
        <v>0</v>
      </c>
      <c r="G106" s="3"/>
      <c r="H106" s="8">
        <v>160.30000000000001</v>
      </c>
      <c r="I106" s="3"/>
      <c r="J106" s="7">
        <f t="shared" si="21"/>
        <v>9.8191030864938612E-4</v>
      </c>
      <c r="K106" s="3"/>
      <c r="L106" s="8">
        <f t="shared" si="22"/>
        <v>-160.30000000000001</v>
      </c>
      <c r="M106" s="3"/>
      <c r="N106" s="7">
        <f t="shared" si="23"/>
        <v>-1</v>
      </c>
      <c r="O106" s="12"/>
      <c r="P106" s="8"/>
      <c r="Q106" s="3"/>
      <c r="R106" s="7">
        <f t="shared" si="24"/>
        <v>0</v>
      </c>
      <c r="S106" s="3"/>
      <c r="T106" s="8">
        <v>160.30000000000001</v>
      </c>
      <c r="U106" s="3"/>
      <c r="V106" s="7">
        <f t="shared" si="25"/>
        <v>1.1466575672271277E-4</v>
      </c>
      <c r="W106" s="3"/>
      <c r="X106" s="8">
        <f t="shared" si="26"/>
        <v>-160.30000000000001</v>
      </c>
      <c r="Y106" s="3"/>
      <c r="Z106" s="7">
        <f t="shared" si="27"/>
        <v>-1</v>
      </c>
    </row>
    <row r="107" spans="1:26" s="69" customFormat="1" ht="15" hidden="1" customHeight="1" outlineLevel="2" x14ac:dyDescent="0.3">
      <c r="A107" s="26"/>
      <c r="B107" s="12" t="str">
        <f>CONCATENATE("          ","6298"," - ","VEHICLE MILEAGE")</f>
        <v xml:space="preserve">          6298 - VEHICLE MILEAGE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361.69</v>
      </c>
      <c r="Q107" s="3"/>
      <c r="R107" s="7">
        <f t="shared" si="24"/>
        <v>2.9366106738770878E-5</v>
      </c>
      <c r="S107" s="3"/>
      <c r="T107" s="8">
        <v>332.21</v>
      </c>
      <c r="U107" s="3"/>
      <c r="V107" s="7">
        <f t="shared" si="25"/>
        <v>2.3763637580070121E-4</v>
      </c>
      <c r="W107" s="3"/>
      <c r="X107" s="8">
        <f t="shared" si="26"/>
        <v>29.480000000000018</v>
      </c>
      <c r="Y107" s="3"/>
      <c r="Z107" s="7">
        <f t="shared" si="27"/>
        <v>8.8739050600523825E-2</v>
      </c>
    </row>
    <row r="108" spans="1:26" s="68" customFormat="1" ht="15" customHeight="1" outlineLevel="1" collapsed="1" x14ac:dyDescent="0.3">
      <c r="A108" s="25"/>
      <c r="B108" s="14" t="str">
        <f>CONCATENATE("     ","Utilities                                         ")</f>
        <v xml:space="preserve">     Utilities                                         </v>
      </c>
      <c r="C108" s="14"/>
      <c r="D108" s="2">
        <f>SUM(OSRRefD22_23x_0)</f>
        <v>8150</v>
      </c>
      <c r="E108" s="2"/>
      <c r="F108" s="6">
        <f t="shared" si="20"/>
        <v>4.0284959889995463E-3</v>
      </c>
      <c r="G108" s="2"/>
      <c r="H108" s="2">
        <f>SUM(OSRRefH22_23x_0)</f>
        <v>3648</v>
      </c>
      <c r="I108" s="2"/>
      <c r="J108" s="6">
        <f t="shared" si="21"/>
        <v>2.2345656930461387E-2</v>
      </c>
      <c r="K108" s="2"/>
      <c r="L108" s="2">
        <f t="shared" si="22"/>
        <v>4502</v>
      </c>
      <c r="M108" s="2"/>
      <c r="N108" s="6">
        <f t="shared" si="23"/>
        <v>1.2341008771929824</v>
      </c>
      <c r="O108" s="14"/>
      <c r="P108" s="2">
        <f>SUM(OSRRefP22_23x_0)</f>
        <v>79100</v>
      </c>
      <c r="Q108" s="2"/>
      <c r="R108" s="6">
        <f t="shared" si="24"/>
        <v>6.4222373940025336E-3</v>
      </c>
      <c r="S108" s="2"/>
      <c r="T108" s="2">
        <f>SUM(OSRRefT22_23x_0)</f>
        <v>2188</v>
      </c>
      <c r="U108" s="2"/>
      <c r="V108" s="6">
        <f t="shared" si="25"/>
        <v>1.5651196238883065E-3</v>
      </c>
      <c r="W108" s="2"/>
      <c r="X108" s="2">
        <f t="shared" si="26"/>
        <v>76912</v>
      </c>
      <c r="Y108" s="2"/>
      <c r="Z108" s="6">
        <f t="shared" si="27"/>
        <v>35.151736745886652</v>
      </c>
    </row>
    <row r="109" spans="1:26" s="69" customFormat="1" ht="15" hidden="1" customHeight="1" outlineLevel="2" x14ac:dyDescent="0.3">
      <c r="A109" s="26"/>
      <c r="B109" s="12" t="str">
        <f>CONCATENATE("          ","6274"," - ","UTILITIES")</f>
        <v xml:space="preserve">          6274 - UTILITIES</v>
      </c>
      <c r="C109" s="12"/>
      <c r="D109" s="8">
        <v>8150</v>
      </c>
      <c r="E109" s="3"/>
      <c r="F109" s="7">
        <f t="shared" si="20"/>
        <v>4.0284959889995463E-3</v>
      </c>
      <c r="G109" s="3"/>
      <c r="H109" s="8">
        <v>3648</v>
      </c>
      <c r="I109" s="3"/>
      <c r="J109" s="7">
        <f t="shared" si="21"/>
        <v>2.2345656930461387E-2</v>
      </c>
      <c r="K109" s="3"/>
      <c r="L109" s="8">
        <f t="shared" si="22"/>
        <v>4502</v>
      </c>
      <c r="M109" s="3"/>
      <c r="N109" s="7">
        <f t="shared" si="23"/>
        <v>1.2341008771929824</v>
      </c>
      <c r="O109" s="12"/>
      <c r="P109" s="8">
        <v>79100</v>
      </c>
      <c r="Q109" s="3"/>
      <c r="R109" s="7">
        <f t="shared" si="24"/>
        <v>6.4222373940025336E-3</v>
      </c>
      <c r="S109" s="3"/>
      <c r="T109" s="8">
        <v>2188</v>
      </c>
      <c r="U109" s="3"/>
      <c r="V109" s="7">
        <f t="shared" si="25"/>
        <v>1.5651196238883065E-3</v>
      </c>
      <c r="W109" s="3"/>
      <c r="X109" s="8">
        <f t="shared" si="26"/>
        <v>76912</v>
      </c>
      <c r="Y109" s="3"/>
      <c r="Z109" s="7">
        <f t="shared" si="27"/>
        <v>35.151736745886652</v>
      </c>
    </row>
    <row r="110" spans="1:26" s="64" customFormat="1" ht="15" customHeight="1" x14ac:dyDescent="0.3">
      <c r="A110" s="36"/>
      <c r="B110" s="36"/>
      <c r="C110" s="36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36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62" customFormat="1" ht="15" customHeight="1" collapsed="1" x14ac:dyDescent="0.3">
      <c r="A111" s="11"/>
      <c r="B111" s="27" t="s">
        <v>290</v>
      </c>
      <c r="C111" s="11"/>
      <c r="D111" s="5">
        <f>SUM(OSRRefD25x_0)</f>
        <v>6601.19</v>
      </c>
      <c r="E111" s="5"/>
      <c r="F111" s="13">
        <f>IF(D$12=0,0,D111/D$12)</f>
        <v>3.2629285199538543E-3</v>
      </c>
      <c r="G111" s="5"/>
      <c r="H111" s="5">
        <f>SUM(OSRRefH25x_0)</f>
        <v>1579.7400000000002</v>
      </c>
      <c r="I111" s="5"/>
      <c r="J111" s="13">
        <f>IF(H$12=0,0,H111/H$12)</f>
        <v>9.6766250217453619E-3</v>
      </c>
      <c r="K111" s="5"/>
      <c r="L111" s="5">
        <f>+D111-H111</f>
        <v>5021.4499999999989</v>
      </c>
      <c r="M111" s="5"/>
      <c r="N111" s="13">
        <f>IF(H111=0,0,L111/H111)</f>
        <v>3.1786559813640207</v>
      </c>
      <c r="O111" s="11"/>
      <c r="P111" s="5">
        <f>SUM(OSRRefP25x_0)</f>
        <v>175136.04</v>
      </c>
      <c r="Q111" s="5"/>
      <c r="R111" s="13">
        <f>IF(P$12=0,0,P111/P$12)</f>
        <v>1.4219535083761359E-2</v>
      </c>
      <c r="S111" s="5"/>
      <c r="T111" s="5">
        <f>SUM(OSRRefT25x_0)</f>
        <v>22445.4</v>
      </c>
      <c r="U111" s="5"/>
      <c r="V111" s="13">
        <f>IF(T$12=0,0,T111/T$12)</f>
        <v>1.6055638028346707E-2</v>
      </c>
      <c r="W111" s="5"/>
      <c r="X111" s="5">
        <f>+P111-T111</f>
        <v>152690.64000000001</v>
      </c>
      <c r="Y111" s="5"/>
      <c r="Z111" s="13">
        <f>IF(T111=0,0,X111/T111)</f>
        <v>6.8027586944318212</v>
      </c>
    </row>
    <row r="112" spans="1:26" s="69" customFormat="1" ht="15" hidden="1" customHeight="1" outlineLevel="1" x14ac:dyDescent="0.3">
      <c r="A112" s="42"/>
      <c r="B112" s="12" t="str">
        <f>CONCATENATE("          ","9150"," - ","MISC. INCOME")</f>
        <v xml:space="preserve">          9150 - MISC. INCOME</v>
      </c>
      <c r="C112" s="12"/>
      <c r="D112" s="3">
        <f>--6601.19</f>
        <v>6601.19</v>
      </c>
      <c r="E112" s="3"/>
      <c r="F112" s="20">
        <f>IF(D$12=0,0,D112/D$12)</f>
        <v>3.2629285199538543E-3</v>
      </c>
      <c r="G112" s="3"/>
      <c r="H112" s="3">
        <f>--496.99</f>
        <v>496.99</v>
      </c>
      <c r="I112" s="3"/>
      <c r="J112" s="20">
        <f>IF(H$12=0,0,H112/H$12)</f>
        <v>3.0442894840652427E-3</v>
      </c>
      <c r="K112" s="3"/>
      <c r="L112" s="3">
        <f>+D112-H112</f>
        <v>6104.2</v>
      </c>
      <c r="M112" s="3"/>
      <c r="N112" s="20">
        <f>IF(H112=0,0,L112/H112)</f>
        <v>12.282339684903116</v>
      </c>
      <c r="O112" s="12"/>
      <c r="P112" s="3">
        <f>--175136.04</f>
        <v>175136.04</v>
      </c>
      <c r="Q112" s="3"/>
      <c r="R112" s="20">
        <f>IF(P$12=0,0,P112/P$12)</f>
        <v>1.4219535083761359E-2</v>
      </c>
      <c r="S112" s="3"/>
      <c r="T112" s="3">
        <f>--5341.48</f>
        <v>5341.48</v>
      </c>
      <c r="U112" s="3"/>
      <c r="V112" s="20">
        <f>IF(T$12=0,0,T112/T$12)</f>
        <v>3.820866164811202E-3</v>
      </c>
      <c r="W112" s="3"/>
      <c r="X112" s="3">
        <f>+P112-T112</f>
        <v>169794.56</v>
      </c>
      <c r="Y112" s="3"/>
      <c r="Z112" s="20">
        <f>IF(T112=0,0,X112/T112)</f>
        <v>31.787923946172224</v>
      </c>
    </row>
    <row r="113" spans="1:26" s="69" customFormat="1" ht="15" hidden="1" customHeight="1" outlineLevel="1" x14ac:dyDescent="0.3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f>--732.1</f>
        <v>732.1</v>
      </c>
      <c r="I113" s="3"/>
      <c r="J113" s="20">
        <f>IF(H$12=0,0,H113/H$12)</f>
        <v>4.4844450215983508E-3</v>
      </c>
      <c r="K113" s="3"/>
      <c r="L113" s="3">
        <f>+D113-H113</f>
        <v>-732.1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f>--13615.06</f>
        <v>13615.06</v>
      </c>
      <c r="U113" s="3"/>
      <c r="V113" s="20">
        <f>IF(T$12=0,0,T113/T$12)</f>
        <v>9.73912138318863E-3</v>
      </c>
      <c r="W113" s="3"/>
      <c r="X113" s="3">
        <f>+P113-T113</f>
        <v>-13615.06</v>
      </c>
      <c r="Y113" s="3"/>
      <c r="Z113" s="20">
        <f>IF(T113=0,0,X113/T113)</f>
        <v>-1</v>
      </c>
    </row>
    <row r="114" spans="1:26" s="69" customFormat="1" ht="15" hidden="1" customHeight="1" outlineLevel="1" x14ac:dyDescent="0.3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f>--350.65</f>
        <v>350.65</v>
      </c>
      <c r="I114" s="3"/>
      <c r="J114" s="20">
        <f>IF(H$12=0,0,H114/H$12)</f>
        <v>2.1478905160817667E-3</v>
      </c>
      <c r="K114" s="3"/>
      <c r="L114" s="3">
        <f>+D114-H114</f>
        <v>-350.65</v>
      </c>
      <c r="M114" s="3"/>
      <c r="N114" s="20">
        <f>IF(H114=0,0,L114/H114)</f>
        <v>-1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>
        <f>--3488.86</f>
        <v>3488.86</v>
      </c>
      <c r="U114" s="3"/>
      <c r="V114" s="20">
        <f>IF(T$12=0,0,T114/T$12)</f>
        <v>2.4956504803468724E-3</v>
      </c>
      <c r="W114" s="3"/>
      <c r="X114" s="3">
        <f>+P114-T114</f>
        <v>-3488.86</v>
      </c>
      <c r="Y114" s="3"/>
      <c r="Z114" s="20">
        <f>IF(T114=0,0,X114/T114)</f>
        <v>-1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2" customFormat="1" ht="15" customHeight="1" x14ac:dyDescent="0.3">
      <c r="A116" s="11"/>
      <c r="B116" s="28" t="s">
        <v>291</v>
      </c>
      <c r="C116" s="28"/>
      <c r="D116" s="21">
        <f>+D27-D29+D111</f>
        <v>722754.3200000003</v>
      </c>
      <c r="E116" s="15"/>
      <c r="F116" s="23">
        <f>IF(D$12=0,0,D116/D$12)</f>
        <v>0.35725311400639209</v>
      </c>
      <c r="G116" s="15"/>
      <c r="H116" s="21">
        <f>+H27-H29+H111</f>
        <v>-253588.08000000007</v>
      </c>
      <c r="I116" s="15"/>
      <c r="J116" s="23">
        <f>IF(H$12=0,0,H116/H$12)</f>
        <v>-1.5533421703219294</v>
      </c>
      <c r="K116" s="16"/>
      <c r="L116" s="21">
        <f>+D116-H116</f>
        <v>976342.40000000037</v>
      </c>
      <c r="M116" s="16"/>
      <c r="N116" s="23">
        <f>IF(H116=0,0,L116/H116)</f>
        <v>-3.8501115667581853</v>
      </c>
      <c r="O116" s="27"/>
      <c r="P116" s="21">
        <f>+P27-P29+P111</f>
        <v>2733865.1000000034</v>
      </c>
      <c r="Q116" s="15"/>
      <c r="R116" s="23">
        <f>IF(P$12=0,0,P116/P$12)</f>
        <v>0.22196625379745255</v>
      </c>
      <c r="S116" s="15"/>
      <c r="T116" s="21">
        <f>+T27-T29+T111</f>
        <v>-2390377.4699999997</v>
      </c>
      <c r="U116" s="15"/>
      <c r="V116" s="23">
        <f>IF(T$12=0,0,T116/T$12)</f>
        <v>-1.7098842261414446</v>
      </c>
      <c r="W116" s="16"/>
      <c r="X116" s="21">
        <f>+P116-T116</f>
        <v>5124242.5700000031</v>
      </c>
      <c r="Y116" s="16"/>
      <c r="Z116" s="23">
        <f>IF(T116=0,0,X116/T116)</f>
        <v>-2.1436959786941112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2" customFormat="1" ht="15" customHeight="1" x14ac:dyDescent="0.3">
      <c r="A118" s="48"/>
      <c r="B118" s="11" t="s">
        <v>292</v>
      </c>
      <c r="C118" s="11"/>
      <c r="D118" s="5">
        <v>166766.89000000001</v>
      </c>
      <c r="E118" s="5"/>
      <c r="F118" s="13">
        <f>IF(D$12=0,0,D118/D$12)</f>
        <v>8.243187085434707E-2</v>
      </c>
      <c r="G118" s="5"/>
      <c r="H118" s="5">
        <v>37996.35</v>
      </c>
      <c r="I118" s="5"/>
      <c r="J118" s="13">
        <f>IF(H$12=0,0,H118/H$12)</f>
        <v>0.23274490178446725</v>
      </c>
      <c r="K118" s="5"/>
      <c r="L118" s="5">
        <f>+D118-H118</f>
        <v>128770.54000000001</v>
      </c>
      <c r="M118" s="5"/>
      <c r="N118" s="13">
        <f>IF(H118=0,0,L118/H118)</f>
        <v>3.3890239457211027</v>
      </c>
      <c r="O118" s="11"/>
      <c r="P118" s="5">
        <v>1395269.96</v>
      </c>
      <c r="Q118" s="5"/>
      <c r="R118" s="13">
        <f>IF(P$12=0,0,P118/P$12)</f>
        <v>0.11328388004855144</v>
      </c>
      <c r="S118" s="5"/>
      <c r="T118" s="5">
        <v>292462.28999999998</v>
      </c>
      <c r="U118" s="5"/>
      <c r="V118" s="13">
        <f>IF(T$12=0,0,T118/T$12)</f>
        <v>0.20920405362262923</v>
      </c>
      <c r="W118" s="5"/>
      <c r="X118" s="5">
        <f>+P118-T118</f>
        <v>1102807.67</v>
      </c>
      <c r="Y118" s="5"/>
      <c r="Z118" s="13">
        <f>IF(T118=0,0,X118/T118)</f>
        <v>3.7707687715910314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2" customFormat="1" ht="15" customHeight="1" x14ac:dyDescent="0.3">
      <c r="A120" s="11"/>
      <c r="B120" s="28" t="s">
        <v>293</v>
      </c>
      <c r="C120" s="28"/>
      <c r="D120" s="34">
        <f>+D116-D118</f>
        <v>555987.43000000028</v>
      </c>
      <c r="E120" s="15"/>
      <c r="F120" s="30">
        <f>IF(D$12=0,0,D120/D$12)</f>
        <v>0.27482124315204504</v>
      </c>
      <c r="G120" s="15"/>
      <c r="H120" s="34">
        <f>+H116-H118</f>
        <v>-291584.43000000005</v>
      </c>
      <c r="I120" s="15"/>
      <c r="J120" s="30">
        <f>IF(H$12=0,0,H120/H$12)</f>
        <v>-1.7860870721063966</v>
      </c>
      <c r="K120" s="16"/>
      <c r="L120" s="34">
        <f>D120-H120</f>
        <v>847571.86000000034</v>
      </c>
      <c r="M120" s="16"/>
      <c r="N120" s="30">
        <f>IF(H120=0,0,L120/H120)</f>
        <v>-2.9067802420040061</v>
      </c>
      <c r="O120" s="27"/>
      <c r="P120" s="34">
        <f>+P116-P118</f>
        <v>1338595.1400000034</v>
      </c>
      <c r="Q120" s="15"/>
      <c r="R120" s="30">
        <f>IF(P$12=0,0,P120/P$12)</f>
        <v>0.10868237374890112</v>
      </c>
      <c r="S120" s="15"/>
      <c r="T120" s="34">
        <f>+T116-T118</f>
        <v>-2682839.7599999998</v>
      </c>
      <c r="U120" s="15"/>
      <c r="V120" s="30">
        <f>IF(T$12=0,0,T120/T$12)</f>
        <v>-1.919088279764074</v>
      </c>
      <c r="W120" s="16"/>
      <c r="X120" s="34">
        <f>P120-T120</f>
        <v>4021434.9000000032</v>
      </c>
      <c r="Y120" s="16"/>
      <c r="Z120" s="30">
        <f>IF(T120=0,0,X120/T120)</f>
        <v>-1.4989471081940442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2" customFormat="1" ht="15" customHeight="1" x14ac:dyDescent="0.3">
      <c r="A123" s="11"/>
      <c r="B123" s="28" t="s">
        <v>296</v>
      </c>
      <c r="C123" s="28"/>
      <c r="D123" s="29">
        <f>SUM(D120:D122)</f>
        <v>555987.43000000028</v>
      </c>
      <c r="E123" s="15"/>
      <c r="F123" s="35">
        <f>IF(D$12=0,0,D123/D$12)</f>
        <v>0.27482124315204504</v>
      </c>
      <c r="G123" s="15"/>
      <c r="H123" s="29">
        <f>SUM(H120:H122)</f>
        <v>-291584.43000000005</v>
      </c>
      <c r="I123" s="15"/>
      <c r="J123" s="35">
        <f>IF(H$12=0,0,H123/H$12)</f>
        <v>-1.7860870721063966</v>
      </c>
      <c r="K123" s="16"/>
      <c r="L123" s="29">
        <f>+D123-H123</f>
        <v>847571.86000000034</v>
      </c>
      <c r="M123" s="16"/>
      <c r="N123" s="35">
        <f>IF(H123=0,0,L123/H123)</f>
        <v>-2.9067802420040061</v>
      </c>
      <c r="O123" s="27"/>
      <c r="P123" s="29">
        <f>SUM(P120:P122)</f>
        <v>1338595.1400000034</v>
      </c>
      <c r="Q123" s="15"/>
      <c r="R123" s="35">
        <f>IF(P$12=0,0,P123/P$12)</f>
        <v>0.10868237374890112</v>
      </c>
      <c r="S123" s="15"/>
      <c r="T123" s="29">
        <f>SUM(T120:T122)</f>
        <v>-2682839.7599999998</v>
      </c>
      <c r="U123" s="15"/>
      <c r="V123" s="35">
        <f>IF(T$12=0,0,T123/T$12)</f>
        <v>-1.919088279764074</v>
      </c>
      <c r="W123" s="16"/>
      <c r="X123" s="29">
        <f>+P123-T123</f>
        <v>4021434.9000000032</v>
      </c>
      <c r="Y123" s="16"/>
      <c r="Z123" s="35">
        <f>IF(T123=0,0,X123/T123)</f>
        <v>-1.4989471081940442</v>
      </c>
    </row>
    <row r="124" spans="1:26" ht="15" customHeight="1" x14ac:dyDescent="0.3">
      <c r="A124" s="10"/>
      <c r="C124" s="10"/>
      <c r="D124" s="18"/>
      <c r="E124" s="18"/>
      <c r="G124" s="18"/>
      <c r="H124" s="18"/>
      <c r="I124" s="18"/>
      <c r="J124" s="40"/>
      <c r="K124" s="18"/>
      <c r="L124" s="18"/>
      <c r="M124" s="18"/>
      <c r="P124" s="18"/>
      <c r="Q124" s="18"/>
      <c r="R124" s="40"/>
      <c r="S124" s="18"/>
      <c r="T124" s="18"/>
      <c r="U124" s="18"/>
      <c r="V124" s="40"/>
      <c r="W124" s="18"/>
      <c r="X124" s="18"/>
    </row>
    <row r="125" spans="1:26" ht="15" customHeight="1" x14ac:dyDescent="0.3">
      <c r="A125" s="10"/>
      <c r="B125" s="56">
        <v>44694.890800000001</v>
      </c>
      <c r="D125" s="18"/>
      <c r="E125" s="18"/>
      <c r="G125" s="18"/>
      <c r="H125" s="18"/>
      <c r="I125" s="18"/>
      <c r="J125" s="40"/>
      <c r="K125" s="18"/>
      <c r="L125" s="18"/>
      <c r="M125" s="18"/>
      <c r="P125" s="18"/>
      <c r="Q125" s="18"/>
      <c r="R125" s="40"/>
      <c r="S125" s="18"/>
      <c r="T125" s="18"/>
      <c r="U125" s="18"/>
      <c r="V125" s="40"/>
      <c r="W125" s="18"/>
      <c r="X125" s="18"/>
    </row>
    <row r="126" spans="1:26" ht="15" customHeight="1" x14ac:dyDescent="0.3">
      <c r="A126" s="10"/>
      <c r="B126" s="52" t="s">
        <v>297</v>
      </c>
      <c r="D126" s="18"/>
      <c r="E126" s="18"/>
      <c r="G126" s="18"/>
      <c r="H126" s="18"/>
      <c r="I126" s="18"/>
      <c r="J126" s="40"/>
      <c r="K126" s="18"/>
      <c r="L126" s="18"/>
      <c r="M126" s="18"/>
      <c r="P126" s="18"/>
      <c r="Q126" s="18"/>
      <c r="R126" s="40"/>
      <c r="S126" s="18"/>
      <c r="T126" s="18"/>
      <c r="U126" s="18"/>
      <c r="V126" s="40"/>
      <c r="W126" s="18"/>
      <c r="X126" s="18"/>
    </row>
    <row r="127" spans="1:26" ht="15" customHeight="1" x14ac:dyDescent="0.3">
      <c r="A127" s="10"/>
      <c r="B127" s="58"/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3"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B79C2-3019-F87C-524B-0F3DE5863C11}">
  <sheetPr>
    <tabColor theme="5" tint="0.39997558519241921"/>
    <outlinePr summaryBelow="0" summaryRight="0"/>
  </sheetPr>
  <dimension ref="A2:Z12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310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403764.93</v>
      </c>
      <c r="E12" s="5"/>
      <c r="F12" s="13"/>
      <c r="G12" s="5"/>
      <c r="H12" s="5">
        <f>SUM(OSRRefH13x_0)</f>
        <v>73139.31</v>
      </c>
      <c r="I12" s="5"/>
      <c r="J12" s="13"/>
      <c r="K12" s="5"/>
      <c r="L12" s="5">
        <f t="shared" ref="L12:L26" si="0">+D12-H12</f>
        <v>330625.62</v>
      </c>
      <c r="M12" s="5"/>
      <c r="N12" s="13">
        <f t="shared" ref="N12:N26" si="1">IF(H12=0,0,L12/H12)</f>
        <v>4.5204913746109989</v>
      </c>
      <c r="O12" s="11"/>
      <c r="P12" s="5">
        <f>SUM(OSRRefP13x_0)</f>
        <v>1802077.1400000001</v>
      </c>
      <c r="Q12" s="5"/>
      <c r="R12" s="13"/>
      <c r="S12" s="5"/>
      <c r="T12" s="5">
        <f>SUM(OSRRefT13x_0)</f>
        <v>459493.23</v>
      </c>
      <c r="U12" s="5"/>
      <c r="V12" s="13"/>
      <c r="W12" s="5"/>
      <c r="X12" s="5">
        <f t="shared" ref="X12:X26" si="2">+P12-T12</f>
        <v>1342583.9100000001</v>
      </c>
      <c r="Y12" s="5"/>
      <c r="Z12" s="13">
        <f t="shared" ref="Z12:Z26" si="3">IF(T12=0,0,X12/T12)</f>
        <v>2.9218796324812013</v>
      </c>
    </row>
    <row r="13" spans="1:26" s="69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--14181.08</f>
        <v>14181.08</v>
      </c>
      <c r="E13" s="3"/>
      <c r="F13" s="20"/>
      <c r="G13" s="3"/>
      <c r="H13" s="3">
        <f>0</f>
        <v>0</v>
      </c>
      <c r="I13" s="3"/>
      <c r="J13" s="20"/>
      <c r="K13" s="3"/>
      <c r="L13" s="3">
        <f t="shared" si="0"/>
        <v>14181.08</v>
      </c>
      <c r="M13" s="3"/>
      <c r="N13" s="20">
        <f t="shared" si="1"/>
        <v>0</v>
      </c>
      <c r="O13" s="12"/>
      <c r="P13" s="3">
        <f>--62411.75</f>
        <v>62411.75</v>
      </c>
      <c r="Q13" s="3"/>
      <c r="R13" s="20"/>
      <c r="S13" s="3"/>
      <c r="T13" s="3">
        <f>0</f>
        <v>0</v>
      </c>
      <c r="U13" s="3"/>
      <c r="V13" s="20"/>
      <c r="W13" s="3"/>
      <c r="X13" s="3">
        <f t="shared" si="2"/>
        <v>62411.75</v>
      </c>
      <c r="Y13" s="3"/>
      <c r="Z13" s="20">
        <f t="shared" si="3"/>
        <v>0</v>
      </c>
    </row>
    <row r="14" spans="1:26" s="69" customFormat="1" ht="15" hidden="1" customHeight="1" outlineLevel="1" x14ac:dyDescent="0.3">
      <c r="A14" s="42"/>
      <c r="B14" s="12" t="str">
        <f>CONCATENATE("          ","4032"," - ","TAXABLE SALES-JUICE")</f>
        <v xml:space="preserve">          4032 - TAXABLE SALES-JUICE</v>
      </c>
      <c r="C14" s="12"/>
      <c r="D14" s="3">
        <f>0</f>
        <v>0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0</f>
        <v>0</v>
      </c>
      <c r="Q14" s="3"/>
      <c r="R14" s="20"/>
      <c r="S14" s="3"/>
      <c r="T14" s="3">
        <f>--444.59</f>
        <v>444.59</v>
      </c>
      <c r="U14" s="3"/>
      <c r="V14" s="20"/>
      <c r="W14" s="3"/>
      <c r="X14" s="3">
        <f t="shared" si="2"/>
        <v>-444.59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","4034"," - ","TAXABLE SALES-SODA")</f>
        <v xml:space="preserve">          4034 - TAXABLE SALES-SODA</v>
      </c>
      <c r="C15" s="12"/>
      <c r="D15" s="3">
        <f>0</f>
        <v>0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","4051"," - ","TAXABLE SALES-FOOD")</f>
        <v xml:space="preserve">          4051 - TAXABLE SALES-FOOD</v>
      </c>
      <c r="C16" s="12"/>
      <c r="D16" s="3">
        <f>--55113.37</f>
        <v>55113.37</v>
      </c>
      <c r="E16" s="3"/>
      <c r="F16" s="20"/>
      <c r="G16" s="3"/>
      <c r="H16" s="3">
        <f>--6552.2</f>
        <v>6552.2</v>
      </c>
      <c r="I16" s="3"/>
      <c r="J16" s="20"/>
      <c r="K16" s="3"/>
      <c r="L16" s="3">
        <f t="shared" si="0"/>
        <v>48561.170000000006</v>
      </c>
      <c r="M16" s="3"/>
      <c r="N16" s="20">
        <f t="shared" si="1"/>
        <v>7.4114297487866683</v>
      </c>
      <c r="O16" s="12"/>
      <c r="P16" s="3">
        <f>--318933.42</f>
        <v>318933.42</v>
      </c>
      <c r="Q16" s="3"/>
      <c r="R16" s="20"/>
      <c r="S16" s="3"/>
      <c r="T16" s="3">
        <f>--32121.26</f>
        <v>32121.26</v>
      </c>
      <c r="U16" s="3"/>
      <c r="V16" s="20"/>
      <c r="W16" s="3"/>
      <c r="X16" s="3">
        <f t="shared" si="2"/>
        <v>286812.15999999997</v>
      </c>
      <c r="Y16" s="3"/>
      <c r="Z16" s="20">
        <f t="shared" si="3"/>
        <v>8.9290445019902709</v>
      </c>
    </row>
    <row r="17" spans="1:26" s="69" customFormat="1" ht="15" hidden="1" customHeight="1" outlineLevel="1" x14ac:dyDescent="0.3">
      <c r="A17" s="42"/>
      <c r="B17" s="12" t="str">
        <f>CONCATENATE("          ","4052"," - ","TAXABLE SALES-FOOD")</f>
        <v xml:space="preserve">          4052 - TAXABLE SALES-FOOD</v>
      </c>
      <c r="C17" s="12"/>
      <c r="D17" s="3">
        <f>0</f>
        <v>0</v>
      </c>
      <c r="E17" s="3"/>
      <c r="F17" s="20"/>
      <c r="G17" s="3"/>
      <c r="H17" s="3">
        <f>--48734.68</f>
        <v>48734.68</v>
      </c>
      <c r="I17" s="3"/>
      <c r="J17" s="20"/>
      <c r="K17" s="3"/>
      <c r="L17" s="3">
        <f t="shared" si="0"/>
        <v>-48734.68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f>--380674.79</f>
        <v>380674.79</v>
      </c>
      <c r="U17" s="3"/>
      <c r="V17" s="20"/>
      <c r="W17" s="3"/>
      <c r="X17" s="3">
        <f t="shared" si="2"/>
        <v>-380674.79</v>
      </c>
      <c r="Y17" s="3"/>
      <c r="Z17" s="20">
        <f t="shared" si="3"/>
        <v>-1</v>
      </c>
    </row>
    <row r="18" spans="1:26" s="69" customFormat="1" ht="15" hidden="1" customHeight="1" outlineLevel="1" x14ac:dyDescent="0.3">
      <c r="A18" s="42"/>
      <c r="B18" s="12" t="str">
        <f>CONCATENATE("          ","4053"," - ","TAXABLE SALES-FOOD")</f>
        <v xml:space="preserve">          4053 - TAXABLE SALES-FOOD</v>
      </c>
      <c r="C18" s="12"/>
      <c r="D18" s="3">
        <f>--7821.31</f>
        <v>7821.31</v>
      </c>
      <c r="E18" s="3"/>
      <c r="F18" s="20"/>
      <c r="G18" s="3"/>
      <c r="H18" s="3">
        <f>0</f>
        <v>0</v>
      </c>
      <c r="I18" s="3"/>
      <c r="J18" s="20"/>
      <c r="K18" s="3"/>
      <c r="L18" s="3">
        <f t="shared" si="0"/>
        <v>7821.31</v>
      </c>
      <c r="M18" s="3"/>
      <c r="N18" s="20">
        <f t="shared" si="1"/>
        <v>0</v>
      </c>
      <c r="O18" s="12"/>
      <c r="P18" s="3">
        <f>--25803.15</f>
        <v>25803.15</v>
      </c>
      <c r="Q18" s="3"/>
      <c r="R18" s="20"/>
      <c r="S18" s="3"/>
      <c r="T18" s="3">
        <f>0</f>
        <v>0</v>
      </c>
      <c r="U18" s="3"/>
      <c r="V18" s="20"/>
      <c r="W18" s="3"/>
      <c r="X18" s="3">
        <f t="shared" si="2"/>
        <v>25803.15</v>
      </c>
      <c r="Y18" s="3"/>
      <c r="Z18" s="20">
        <f t="shared" si="3"/>
        <v>0</v>
      </c>
    </row>
    <row r="19" spans="1:26" s="69" customFormat="1" ht="15" hidden="1" customHeight="1" outlineLevel="1" x14ac:dyDescent="0.3">
      <c r="A19" s="42"/>
      <c r="B19" s="12" t="str">
        <f>CONCATENATE("          ","4058"," - ","TAXABLE SALES-FOOD")</f>
        <v xml:space="preserve">          4058 - TAXABLE SALES-FOOD</v>
      </c>
      <c r="C19" s="12"/>
      <c r="D19" s="3">
        <f>0</f>
        <v>0</v>
      </c>
      <c r="E19" s="3"/>
      <c r="F19" s="20"/>
      <c r="G19" s="3"/>
      <c r="H19" s="3">
        <f>0</f>
        <v>0</v>
      </c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>
        <f>--974.91</f>
        <v>974.91</v>
      </c>
      <c r="U19" s="3"/>
      <c r="V19" s="20"/>
      <c r="W19" s="3"/>
      <c r="X19" s="3">
        <f t="shared" si="2"/>
        <v>-974.91</v>
      </c>
      <c r="Y19" s="3"/>
      <c r="Z19" s="20">
        <f t="shared" si="3"/>
        <v>-1</v>
      </c>
    </row>
    <row r="20" spans="1:26" s="69" customFormat="1" ht="15" hidden="1" customHeight="1" outlineLevel="1" x14ac:dyDescent="0.3">
      <c r="A20" s="42"/>
      <c r="B20" s="12" t="str">
        <f>CONCATENATE("          ","4100"," - ","NON-TAXABLE SALES")</f>
        <v xml:space="preserve">          4100 - NON-TAXABLE SALES</v>
      </c>
      <c r="C20" s="12"/>
      <c r="D20" s="3">
        <f>--88883.93</f>
        <v>88883.93</v>
      </c>
      <c r="E20" s="3"/>
      <c r="F20" s="20"/>
      <c r="G20" s="3"/>
      <c r="H20" s="3">
        <f>0</f>
        <v>0</v>
      </c>
      <c r="I20" s="3"/>
      <c r="J20" s="20"/>
      <c r="K20" s="3"/>
      <c r="L20" s="3">
        <f t="shared" si="0"/>
        <v>88883.93</v>
      </c>
      <c r="M20" s="3"/>
      <c r="N20" s="20">
        <f t="shared" si="1"/>
        <v>0</v>
      </c>
      <c r="O20" s="12"/>
      <c r="P20" s="3">
        <f>--347350.09</f>
        <v>347350.09</v>
      </c>
      <c r="Q20" s="3"/>
      <c r="R20" s="20"/>
      <c r="S20" s="3"/>
      <c r="T20" s="3">
        <f>0</f>
        <v>0</v>
      </c>
      <c r="U20" s="3"/>
      <c r="V20" s="20"/>
      <c r="W20" s="3"/>
      <c r="X20" s="3">
        <f t="shared" si="2"/>
        <v>347350.09</v>
      </c>
      <c r="Y20" s="3"/>
      <c r="Z20" s="20">
        <f t="shared" si="3"/>
        <v>0</v>
      </c>
    </row>
    <row r="21" spans="1:26" s="69" customFormat="1" ht="15" hidden="1" customHeight="1" outlineLevel="1" x14ac:dyDescent="0.3">
      <c r="A21" s="42"/>
      <c r="B21" s="12" t="str">
        <f>CONCATENATE("          ","4132"," - ","NON-TAXABLE SALES-JUICE")</f>
        <v xml:space="preserve">          4132 - NON-TAXABLE SALES-JUICE</v>
      </c>
      <c r="C21" s="12"/>
      <c r="D21" s="3">
        <f>0</f>
        <v>0</v>
      </c>
      <c r="E21" s="3"/>
      <c r="F21" s="20"/>
      <c r="G21" s="3"/>
      <c r="H21" s="3">
        <f>0</f>
        <v>0</v>
      </c>
      <c r="I21" s="3"/>
      <c r="J21" s="20"/>
      <c r="K21" s="3"/>
      <c r="L21" s="3">
        <f t="shared" si="0"/>
        <v>0</v>
      </c>
      <c r="M21" s="3"/>
      <c r="N21" s="20">
        <f t="shared" si="1"/>
        <v>0</v>
      </c>
      <c r="O21" s="12"/>
      <c r="P21" s="3">
        <f>0</f>
        <v>0</v>
      </c>
      <c r="Q21" s="3"/>
      <c r="R21" s="20"/>
      <c r="S21" s="3"/>
      <c r="T21" s="3">
        <f>--2031.88</f>
        <v>2031.88</v>
      </c>
      <c r="U21" s="3"/>
      <c r="V21" s="20"/>
      <c r="W21" s="3"/>
      <c r="X21" s="3">
        <f t="shared" si="2"/>
        <v>-2031.88</v>
      </c>
      <c r="Y21" s="3"/>
      <c r="Z21" s="20">
        <f t="shared" si="3"/>
        <v>-1</v>
      </c>
    </row>
    <row r="22" spans="1:26" s="69" customFormat="1" ht="15" hidden="1" customHeight="1" outlineLevel="1" x14ac:dyDescent="0.3">
      <c r="A22" s="42"/>
      <c r="B22" s="12" t="str">
        <f>CONCATENATE("          ","4134"," - ","NON-TAXABLE SALES-SODA")</f>
        <v xml:space="preserve">          4134 - NON-TAXABLE SALES-SODA</v>
      </c>
      <c r="C22" s="12"/>
      <c r="D22" s="3">
        <f>0</f>
        <v>0</v>
      </c>
      <c r="E22" s="3"/>
      <c r="F22" s="20"/>
      <c r="G22" s="3"/>
      <c r="H22" s="3">
        <f>0</f>
        <v>0</v>
      </c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0</f>
        <v>0</v>
      </c>
      <c r="Q22" s="3"/>
      <c r="R22" s="20"/>
      <c r="S22" s="3"/>
      <c r="T22" s="3">
        <f>0</f>
        <v>0</v>
      </c>
      <c r="U22" s="3"/>
      <c r="V22" s="20"/>
      <c r="W22" s="3"/>
      <c r="X22" s="3">
        <f t="shared" si="2"/>
        <v>0</v>
      </c>
      <c r="Y22" s="3"/>
      <c r="Z22" s="20">
        <f t="shared" si="3"/>
        <v>0</v>
      </c>
    </row>
    <row r="23" spans="1:26" s="69" customFormat="1" ht="15" hidden="1" customHeight="1" outlineLevel="1" x14ac:dyDescent="0.3">
      <c r="A23" s="42"/>
      <c r="B23" s="12" t="str">
        <f>CONCATENATE("          ","4137"," - ","NON-TAXABLE SALES-WATER")</f>
        <v xml:space="preserve">          4137 - NON-TAXABLE SALES-WATER</v>
      </c>
      <c r="C23" s="12"/>
      <c r="D23" s="3">
        <f>0</f>
        <v>0</v>
      </c>
      <c r="E23" s="3"/>
      <c r="F23" s="20"/>
      <c r="G23" s="3"/>
      <c r="H23" s="3">
        <f>0</f>
        <v>0</v>
      </c>
      <c r="I23" s="3"/>
      <c r="J23" s="20"/>
      <c r="K23" s="3"/>
      <c r="L23" s="3">
        <f t="shared" si="0"/>
        <v>0</v>
      </c>
      <c r="M23" s="3"/>
      <c r="N23" s="20">
        <f t="shared" si="1"/>
        <v>0</v>
      </c>
      <c r="O23" s="12"/>
      <c r="P23" s="3">
        <f>0</f>
        <v>0</v>
      </c>
      <c r="Q23" s="3"/>
      <c r="R23" s="20"/>
      <c r="S23" s="3"/>
      <c r="T23" s="3">
        <f>0</f>
        <v>0</v>
      </c>
      <c r="U23" s="3"/>
      <c r="V23" s="20"/>
      <c r="W23" s="3"/>
      <c r="X23" s="3">
        <f t="shared" si="2"/>
        <v>0</v>
      </c>
      <c r="Y23" s="3"/>
      <c r="Z23" s="20">
        <f t="shared" si="3"/>
        <v>0</v>
      </c>
    </row>
    <row r="24" spans="1:26" s="69" customFormat="1" ht="15" hidden="1" customHeight="1" outlineLevel="1" x14ac:dyDescent="0.3">
      <c r="A24" s="42"/>
      <c r="B24" s="12" t="str">
        <f>CONCATENATE("          ","4151"," - ","NON-TAXABLE SALES-FOOD")</f>
        <v xml:space="preserve">          4151 - NON-TAXABLE SALES-FOOD</v>
      </c>
      <c r="C24" s="12"/>
      <c r="D24" s="3">
        <f>--237765.24</f>
        <v>237765.24</v>
      </c>
      <c r="E24" s="3"/>
      <c r="F24" s="20"/>
      <c r="G24" s="3"/>
      <c r="H24" s="3">
        <f>--6219.58</f>
        <v>6219.58</v>
      </c>
      <c r="I24" s="3"/>
      <c r="J24" s="20"/>
      <c r="K24" s="3"/>
      <c r="L24" s="3">
        <f t="shared" si="0"/>
        <v>231545.66</v>
      </c>
      <c r="M24" s="3"/>
      <c r="N24" s="20">
        <f t="shared" si="1"/>
        <v>37.228504175523106</v>
      </c>
      <c r="O24" s="12"/>
      <c r="P24" s="3">
        <f>--1047578.73</f>
        <v>1047578.73</v>
      </c>
      <c r="Q24" s="3"/>
      <c r="R24" s="20"/>
      <c r="S24" s="3"/>
      <c r="T24" s="3">
        <f>--31268.4</f>
        <v>31268.400000000001</v>
      </c>
      <c r="U24" s="3"/>
      <c r="V24" s="20"/>
      <c r="W24" s="3"/>
      <c r="X24" s="3">
        <f t="shared" si="2"/>
        <v>1016310.33</v>
      </c>
      <c r="Y24" s="3"/>
      <c r="Z24" s="20">
        <f t="shared" si="3"/>
        <v>32.50279291553133</v>
      </c>
    </row>
    <row r="25" spans="1:26" s="69" customFormat="1" ht="15" hidden="1" customHeight="1" outlineLevel="1" x14ac:dyDescent="0.3">
      <c r="A25" s="42"/>
      <c r="B25" s="12" t="str">
        <f>CONCATENATE("          ","4152"," - ","NON-TAXABLE SALES-FOOD")</f>
        <v xml:space="preserve">          4152 - NON-TAXABLE SALES-FOOD</v>
      </c>
      <c r="C25" s="12"/>
      <c r="D25" s="3">
        <f>0</f>
        <v>0</v>
      </c>
      <c r="E25" s="3"/>
      <c r="F25" s="20"/>
      <c r="G25" s="3"/>
      <c r="H25" s="3">
        <f>--11580.95</f>
        <v>11580.95</v>
      </c>
      <c r="I25" s="3"/>
      <c r="J25" s="20"/>
      <c r="K25" s="3"/>
      <c r="L25" s="3">
        <f t="shared" si="0"/>
        <v>-11580.95</v>
      </c>
      <c r="M25" s="3"/>
      <c r="N25" s="20">
        <f t="shared" si="1"/>
        <v>-1</v>
      </c>
      <c r="O25" s="12"/>
      <c r="P25" s="3">
        <f>0</f>
        <v>0</v>
      </c>
      <c r="Q25" s="3"/>
      <c r="R25" s="20"/>
      <c r="S25" s="3"/>
      <c r="T25" s="3">
        <f>--11580.95</f>
        <v>11580.95</v>
      </c>
      <c r="U25" s="3"/>
      <c r="V25" s="20"/>
      <c r="W25" s="3"/>
      <c r="X25" s="3">
        <f t="shared" si="2"/>
        <v>-11580.95</v>
      </c>
      <c r="Y25" s="3"/>
      <c r="Z25" s="20">
        <f t="shared" si="3"/>
        <v>-1</v>
      </c>
    </row>
    <row r="26" spans="1:26" s="69" customFormat="1" ht="15" hidden="1" customHeight="1" outlineLevel="1" x14ac:dyDescent="0.3">
      <c r="A26" s="42"/>
      <c r="B26" s="12" t="str">
        <f>CONCATENATE("          ","4153"," - ","NON-TAXABLE SALES-FOOD")</f>
        <v xml:space="preserve">          4153 - NON-TAXABLE SALES-FOOD</v>
      </c>
      <c r="C26" s="12"/>
      <c r="D26" s="3">
        <f>0</f>
        <v>0</v>
      </c>
      <c r="E26" s="3"/>
      <c r="F26" s="20"/>
      <c r="G26" s="3"/>
      <c r="H26" s="3">
        <f>--51.9</f>
        <v>51.9</v>
      </c>
      <c r="I26" s="3"/>
      <c r="J26" s="20"/>
      <c r="K26" s="3"/>
      <c r="L26" s="3">
        <f t="shared" si="0"/>
        <v>-51.9</v>
      </c>
      <c r="M26" s="3"/>
      <c r="N26" s="20">
        <f t="shared" si="1"/>
        <v>-1</v>
      </c>
      <c r="O26" s="12"/>
      <c r="P26" s="3">
        <f>0</f>
        <v>0</v>
      </c>
      <c r="Q26" s="3"/>
      <c r="R26" s="20"/>
      <c r="S26" s="3"/>
      <c r="T26" s="3">
        <f>--396.45</f>
        <v>396.45</v>
      </c>
      <c r="U26" s="3"/>
      <c r="V26" s="20"/>
      <c r="W26" s="3"/>
      <c r="X26" s="3">
        <f t="shared" si="2"/>
        <v>-396.45</v>
      </c>
      <c r="Y26" s="3"/>
      <c r="Z26" s="20">
        <f t="shared" si="3"/>
        <v>-1</v>
      </c>
    </row>
    <row r="27" spans="1:26" ht="15" customHeight="1" x14ac:dyDescent="0.3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collapsed="1" x14ac:dyDescent="0.3">
      <c r="A28" s="11"/>
      <c r="B28" s="27" t="s">
        <v>287</v>
      </c>
      <c r="C28" s="11"/>
      <c r="D28" s="5">
        <f>SUM(OSRRefD16x_0)</f>
        <v>142306.84999999998</v>
      </c>
      <c r="E28" s="5"/>
      <c r="F28" s="13">
        <f>IF(D$12=0,0,D28/D$12)</f>
        <v>0.35244975337506401</v>
      </c>
      <c r="G28" s="5"/>
      <c r="H28" s="5">
        <f>SUM(OSRRefH16x_0)</f>
        <v>4076.83</v>
      </c>
      <c r="I28" s="5"/>
      <c r="J28" s="13">
        <f>IF(H$12=0,0,H28/H$12)</f>
        <v>5.5740613358261103E-2</v>
      </c>
      <c r="K28" s="5"/>
      <c r="L28" s="5">
        <f>+D28-H28</f>
        <v>138230.01999999999</v>
      </c>
      <c r="M28" s="5"/>
      <c r="N28" s="13">
        <f>IF(H28=0,0,L28/H28)</f>
        <v>33.906250689874241</v>
      </c>
      <c r="O28" s="11"/>
      <c r="P28" s="5">
        <f>SUM(OSRRefP16x_0)</f>
        <v>705242.58000000007</v>
      </c>
      <c r="Q28" s="5"/>
      <c r="R28" s="13">
        <f>IF(P$12=0,0,P28/P$12)</f>
        <v>0.39134982867603552</v>
      </c>
      <c r="S28" s="5"/>
      <c r="T28" s="5">
        <f>SUM(OSRRefT16x_0)</f>
        <v>41940.14</v>
      </c>
      <c r="U28" s="5"/>
      <c r="V28" s="13">
        <f>IF(T$12=0,0,T28/T$12)</f>
        <v>9.1274772427006157E-2</v>
      </c>
      <c r="W28" s="5"/>
      <c r="X28" s="5">
        <f>+P28-T28</f>
        <v>663302.44000000006</v>
      </c>
      <c r="Y28" s="5"/>
      <c r="Z28" s="13">
        <f>IF(T28=0,0,X28/T28)</f>
        <v>15.81545602852065</v>
      </c>
    </row>
    <row r="29" spans="1:26" s="69" customFormat="1" ht="15" hidden="1" customHeight="1" outlineLevel="1" x14ac:dyDescent="0.3">
      <c r="A29" s="42"/>
      <c r="B29" s="12" t="str">
        <f>CONCATENATE("          ","5000"," - ","PURCHASES @ COST")</f>
        <v xml:space="preserve">          5000 - PURCHASES @ COST</v>
      </c>
      <c r="C29" s="12"/>
      <c r="D29" s="3">
        <v>-2496</v>
      </c>
      <c r="E29" s="3"/>
      <c r="F29" s="20">
        <f>IF(D$12=0,0,D29/D$12)</f>
        <v>-6.1818147504787008E-3</v>
      </c>
      <c r="G29" s="3"/>
      <c r="H29" s="3"/>
      <c r="I29" s="3"/>
      <c r="J29" s="20">
        <f>IF(H$12=0,0,H29/H$12)</f>
        <v>0</v>
      </c>
      <c r="K29" s="3"/>
      <c r="L29" s="3">
        <f>+D29-H29</f>
        <v>-2496</v>
      </c>
      <c r="M29" s="3"/>
      <c r="N29" s="20">
        <f>IF(H29=0,0,L29/H29)</f>
        <v>0</v>
      </c>
      <c r="O29" s="12"/>
      <c r="P29" s="3">
        <v>-8062</v>
      </c>
      <c r="Q29" s="3"/>
      <c r="R29" s="20">
        <f>IF(P$12=0,0,P29/P$12)</f>
        <v>-4.473726357796204E-3</v>
      </c>
      <c r="S29" s="3"/>
      <c r="T29" s="3"/>
      <c r="U29" s="3"/>
      <c r="V29" s="20">
        <f>IF(T$12=0,0,T29/T$12)</f>
        <v>0</v>
      </c>
      <c r="W29" s="3"/>
      <c r="X29" s="3">
        <f>+P29-T29</f>
        <v>-8062</v>
      </c>
      <c r="Y29" s="3"/>
      <c r="Z29" s="20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","5053"," - ","PURCHASES @ COST-FOOD")</f>
        <v xml:space="preserve">          5053 - PURCHASES @ COST-FOOD</v>
      </c>
      <c r="C30" s="12"/>
      <c r="D30" s="3">
        <v>77066.7</v>
      </c>
      <c r="E30" s="3"/>
      <c r="F30" s="20">
        <f>IF(D$12=0,0,D30/D$12)</f>
        <v>0.19087021748025515</v>
      </c>
      <c r="G30" s="3"/>
      <c r="H30" s="3">
        <v>3918.82</v>
      </c>
      <c r="I30" s="3"/>
      <c r="J30" s="20">
        <f>IF(H$12=0,0,H30/H$12)</f>
        <v>5.3580215618659791E-2</v>
      </c>
      <c r="K30" s="3"/>
      <c r="L30" s="3">
        <f>+D30-H30</f>
        <v>73147.87999999999</v>
      </c>
      <c r="M30" s="3"/>
      <c r="N30" s="20">
        <f>IF(H30=0,0,L30/H30)</f>
        <v>18.665792253790677</v>
      </c>
      <c r="O30" s="12"/>
      <c r="P30" s="3">
        <v>479619.4</v>
      </c>
      <c r="Q30" s="3"/>
      <c r="R30" s="20">
        <f>IF(P$12=0,0,P30/P$12)</f>
        <v>0.26614809619082119</v>
      </c>
      <c r="S30" s="3"/>
      <c r="T30" s="3">
        <v>5666.14</v>
      </c>
      <c r="U30" s="3"/>
      <c r="V30" s="20">
        <f>IF(T$12=0,0,T30/T$12)</f>
        <v>1.2331280702438207E-2</v>
      </c>
      <c r="W30" s="3"/>
      <c r="X30" s="3">
        <f>+P30-T30</f>
        <v>473953.26</v>
      </c>
      <c r="Y30" s="3"/>
      <c r="Z30" s="20">
        <f>IF(T30=0,0,X30/T30)</f>
        <v>83.646584800234365</v>
      </c>
    </row>
    <row r="31" spans="1:26" s="69" customFormat="1" ht="15" hidden="1" customHeight="1" outlineLevel="1" x14ac:dyDescent="0.3">
      <c r="A31" s="42"/>
      <c r="B31" s="12" t="str">
        <f>CONCATENATE("          ","5059"," - ","PURCHASES @ COST-FOOD")</f>
        <v xml:space="preserve">          5059 - PURCHASES @ COST-FOOD</v>
      </c>
      <c r="C31" s="12"/>
      <c r="D31" s="3">
        <v>67736.149999999994</v>
      </c>
      <c r="E31" s="3"/>
      <c r="F31" s="20">
        <f>IF(D$12=0,0,D31/D$12)</f>
        <v>0.16776135064528758</v>
      </c>
      <c r="G31" s="3"/>
      <c r="H31" s="3">
        <v>158.01</v>
      </c>
      <c r="I31" s="3"/>
      <c r="J31" s="20">
        <f>IF(H$12=0,0,H31/H$12)</f>
        <v>2.1603977396013169E-3</v>
      </c>
      <c r="K31" s="3"/>
      <c r="L31" s="3">
        <f>+D31-H31</f>
        <v>67578.14</v>
      </c>
      <c r="M31" s="3"/>
      <c r="N31" s="20">
        <f>IF(H31=0,0,L31/H31)</f>
        <v>427.68267831149927</v>
      </c>
      <c r="O31" s="12"/>
      <c r="P31" s="3">
        <v>233685.18</v>
      </c>
      <c r="Q31" s="3"/>
      <c r="R31" s="20">
        <f>IF(P$12=0,0,P31/P$12)</f>
        <v>0.12967545884301046</v>
      </c>
      <c r="S31" s="3"/>
      <c r="T31" s="3">
        <v>36274</v>
      </c>
      <c r="U31" s="3"/>
      <c r="V31" s="20">
        <f>IF(T$12=0,0,T31/T$12)</f>
        <v>7.8943491724567952E-2</v>
      </c>
      <c r="W31" s="3"/>
      <c r="X31" s="3">
        <f>+P31-T31</f>
        <v>197411.18</v>
      </c>
      <c r="Y31" s="3"/>
      <c r="Z31" s="20">
        <f>IF(T31=0,0,X31/T31)</f>
        <v>5.4422225285328336</v>
      </c>
    </row>
    <row r="32" spans="1:26" ht="15" customHeight="1" x14ac:dyDescent="0.3">
      <c r="A32" s="10"/>
      <c r="B32" s="11"/>
      <c r="C32" s="11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O32" s="11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11"/>
      <c r="B33" s="28" t="s">
        <v>288</v>
      </c>
      <c r="C33" s="28"/>
      <c r="D33" s="21">
        <f>D12-D28</f>
        <v>261458.08000000002</v>
      </c>
      <c r="E33" s="15"/>
      <c r="F33" s="23">
        <f>IF(D$12=0,0,D33/D$12)</f>
        <v>0.64755024662493599</v>
      </c>
      <c r="G33" s="15"/>
      <c r="H33" s="21">
        <f>H12-H28</f>
        <v>69062.48</v>
      </c>
      <c r="I33" s="15"/>
      <c r="J33" s="23">
        <f>IF(H$12=0,0,H33/H$12)</f>
        <v>0.94425938664173892</v>
      </c>
      <c r="K33" s="16"/>
      <c r="L33" s="21">
        <f>+D33-H33</f>
        <v>192395.60000000003</v>
      </c>
      <c r="M33" s="16"/>
      <c r="N33" s="23">
        <f>IF(H33=0,0,L33/H33)</f>
        <v>2.7858194492870809</v>
      </c>
      <c r="O33" s="27"/>
      <c r="P33" s="21">
        <f>P12-P28</f>
        <v>1096834.5600000001</v>
      </c>
      <c r="Q33" s="15"/>
      <c r="R33" s="23">
        <f>IF(P$12=0,0,P33/P$12)</f>
        <v>0.60865017132396448</v>
      </c>
      <c r="S33" s="15"/>
      <c r="T33" s="21">
        <f>T12-T28</f>
        <v>417553.08999999997</v>
      </c>
      <c r="U33" s="15"/>
      <c r="V33" s="23">
        <f>IF(T$12=0,0,T33/T$12)</f>
        <v>0.90872522757299379</v>
      </c>
      <c r="W33" s="16"/>
      <c r="X33" s="21">
        <f>+P33-T33</f>
        <v>679281.47000000009</v>
      </c>
      <c r="Y33" s="16"/>
      <c r="Z33" s="23">
        <f>IF(T33=0,0,X33/T33)</f>
        <v>1.6268146165557058</v>
      </c>
    </row>
    <row r="34" spans="1:26" ht="15" customHeight="1" x14ac:dyDescent="0.3">
      <c r="A34" s="10"/>
      <c r="B34" s="11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3">
      <c r="A35" s="11"/>
      <c r="B35" s="27" t="s">
        <v>289</v>
      </c>
      <c r="C35" s="11"/>
      <c r="D35" s="22" cm="1">
        <f t="array" ref="D35">SUM(OSRRefD22x_0)</f>
        <v>308163.72000000009</v>
      </c>
      <c r="E35" s="22"/>
      <c r="F35" s="32">
        <f t="shared" ref="F35:F66" si="4">IF(D$12=0,0,D35/D$12)</f>
        <v>0.76322557285993142</v>
      </c>
      <c r="G35" s="22"/>
      <c r="H35" s="22" cm="1">
        <f t="array" ref="H35">SUM(OSRRefH22x_0)</f>
        <v>137230.85000000006</v>
      </c>
      <c r="I35" s="22"/>
      <c r="J35" s="32">
        <f t="shared" ref="J35:J66" si="5">IF(H$12=0,0,H35/H$12)</f>
        <v>1.8762940202744607</v>
      </c>
      <c r="K35" s="5"/>
      <c r="L35" s="22">
        <f t="shared" ref="L35:L66" si="6">+D35-H35</f>
        <v>170932.87000000002</v>
      </c>
      <c r="M35" s="5"/>
      <c r="N35" s="32">
        <f t="shared" ref="N35:N66" si="7">IF(H35=0,0,L35/H35)</f>
        <v>1.2455863240663447</v>
      </c>
      <c r="O35" s="11"/>
      <c r="P35" s="22" cm="1">
        <f t="array" ref="P35">SUM(OSRRefP22x_0)</f>
        <v>2221471.9500000002</v>
      </c>
      <c r="Q35" s="22"/>
      <c r="R35" s="32">
        <f t="shared" ref="R35:R66" si="8">IF(P$12=0,0,P35/P$12)</f>
        <v>1.2327285556710408</v>
      </c>
      <c r="S35" s="22"/>
      <c r="T35" s="22" cm="1">
        <f t="array" ref="T35">SUM(OSRRefT22x_0)</f>
        <v>1347146.7900000003</v>
      </c>
      <c r="U35" s="22"/>
      <c r="V35" s="32">
        <f t="shared" ref="V35:V66" si="9">IF(T$12=0,0,T35/T$12)</f>
        <v>2.931809876720056</v>
      </c>
      <c r="W35" s="5"/>
      <c r="X35" s="22">
        <f t="shared" ref="X35:X66" si="10">+P35-T35</f>
        <v>874325.15999999992</v>
      </c>
      <c r="Y35" s="5"/>
      <c r="Z35" s="32">
        <f t="shared" ref="Z35:Z66" si="11">IF(T35=0,0,X35/T35)</f>
        <v>0.6490199631474457</v>
      </c>
    </row>
    <row r="36" spans="1:26" s="68" customFormat="1" ht="15" customHeight="1" outlineLevel="1" collapsed="1" x14ac:dyDescent="0.3">
      <c r="A36" s="25"/>
      <c r="B36" s="14" t="str">
        <f>CONCATENATE("     ","*Benefits                                         ")</f>
        <v xml:space="preserve">     *Benefits                                         </v>
      </c>
      <c r="C36" s="14"/>
      <c r="D36" s="2">
        <f>SUM(OSRRefD22_0x_0)</f>
        <v>41835.269999999997</v>
      </c>
      <c r="E36" s="2"/>
      <c r="F36" s="6">
        <f t="shared" si="4"/>
        <v>0.10361293636869354</v>
      </c>
      <c r="G36" s="2"/>
      <c r="H36" s="2">
        <f>SUM(OSRRefH22_0x_0)</f>
        <v>22024.969999999998</v>
      </c>
      <c r="I36" s="2"/>
      <c r="J36" s="6">
        <f t="shared" si="5"/>
        <v>0.30113724069860653</v>
      </c>
      <c r="K36" s="2"/>
      <c r="L36" s="2">
        <f t="shared" si="6"/>
        <v>19810.3</v>
      </c>
      <c r="M36" s="2"/>
      <c r="N36" s="6">
        <f t="shared" si="7"/>
        <v>0.89944730912232806</v>
      </c>
      <c r="O36" s="14"/>
      <c r="P36" s="2">
        <f>SUM(OSRRefP22_0x_0)</f>
        <v>340488.30999999994</v>
      </c>
      <c r="Q36" s="2"/>
      <c r="R36" s="6">
        <f t="shared" si="8"/>
        <v>0.18894213929155104</v>
      </c>
      <c r="S36" s="2"/>
      <c r="T36" s="2">
        <f>SUM(OSRRefT22_0x_0)</f>
        <v>243866.19999999998</v>
      </c>
      <c r="U36" s="2"/>
      <c r="V36" s="6">
        <f t="shared" si="9"/>
        <v>0.53072860290019941</v>
      </c>
      <c r="W36" s="2"/>
      <c r="X36" s="2">
        <f t="shared" si="10"/>
        <v>96622.109999999957</v>
      </c>
      <c r="Y36" s="2"/>
      <c r="Z36" s="6">
        <f t="shared" si="11"/>
        <v>0.39620951981045327</v>
      </c>
    </row>
    <row r="37" spans="1:26" s="69" customFormat="1" ht="15" hidden="1" customHeight="1" outlineLevel="2" x14ac:dyDescent="0.3">
      <c r="A37" s="26"/>
      <c r="B37" s="12" t="str">
        <f>CONCATENATE("          ","6111"," - ","F.I.C.A.")</f>
        <v xml:space="preserve">          6111 - F.I.C.A.</v>
      </c>
      <c r="C37" s="12"/>
      <c r="D37" s="8">
        <v>8970.32</v>
      </c>
      <c r="E37" s="3"/>
      <c r="F37" s="7">
        <f t="shared" si="4"/>
        <v>2.2216689299885455E-2</v>
      </c>
      <c r="G37" s="3"/>
      <c r="H37" s="8">
        <v>3515.25</v>
      </c>
      <c r="I37" s="3"/>
      <c r="J37" s="7">
        <f t="shared" si="5"/>
        <v>4.806238943189374E-2</v>
      </c>
      <c r="K37" s="3"/>
      <c r="L37" s="8">
        <f t="shared" si="6"/>
        <v>5455.07</v>
      </c>
      <c r="M37" s="3"/>
      <c r="N37" s="7">
        <f t="shared" si="7"/>
        <v>1.5518298840765237</v>
      </c>
      <c r="O37" s="12"/>
      <c r="P37" s="8">
        <v>53199.45</v>
      </c>
      <c r="Q37" s="3"/>
      <c r="R37" s="7">
        <f t="shared" si="8"/>
        <v>2.9521183538236323E-2</v>
      </c>
      <c r="S37" s="3"/>
      <c r="T37" s="8">
        <v>29494.97</v>
      </c>
      <c r="U37" s="3"/>
      <c r="V37" s="7">
        <f t="shared" si="9"/>
        <v>6.4190216687196905E-2</v>
      </c>
      <c r="W37" s="3"/>
      <c r="X37" s="8">
        <f t="shared" si="10"/>
        <v>23704.479999999996</v>
      </c>
      <c r="Y37" s="3"/>
      <c r="Z37" s="7">
        <f t="shared" si="11"/>
        <v>0.80367872894937664</v>
      </c>
    </row>
    <row r="38" spans="1:26" s="69" customFormat="1" ht="15" hidden="1" customHeight="1" outlineLevel="2" x14ac:dyDescent="0.3">
      <c r="A38" s="26"/>
      <c r="B38" s="12" t="str">
        <f>CONCATENATE("          ","6112"," - ","COMPENSATION INSURANCE")</f>
        <v xml:space="preserve">          6112 - COMPENSATION INSURANCE</v>
      </c>
      <c r="C38" s="12"/>
      <c r="D38" s="8">
        <v>3285.65</v>
      </c>
      <c r="E38" s="3"/>
      <c r="F38" s="7">
        <f t="shared" si="4"/>
        <v>8.1375319050121572E-3</v>
      </c>
      <c r="G38" s="3"/>
      <c r="H38" s="8">
        <v>611.07000000000005</v>
      </c>
      <c r="I38" s="3"/>
      <c r="J38" s="7">
        <f t="shared" si="5"/>
        <v>8.3548778351887655E-3</v>
      </c>
      <c r="K38" s="3"/>
      <c r="L38" s="8">
        <f t="shared" si="6"/>
        <v>2674.58</v>
      </c>
      <c r="M38" s="3"/>
      <c r="N38" s="7">
        <f t="shared" si="7"/>
        <v>4.3768798991932183</v>
      </c>
      <c r="O38" s="12"/>
      <c r="P38" s="8">
        <v>23801.78</v>
      </c>
      <c r="Q38" s="3"/>
      <c r="R38" s="7">
        <f t="shared" si="8"/>
        <v>1.3207969554510856E-2</v>
      </c>
      <c r="S38" s="3"/>
      <c r="T38" s="8">
        <v>7845.21</v>
      </c>
      <c r="U38" s="3"/>
      <c r="V38" s="7">
        <f t="shared" si="9"/>
        <v>1.707361390286425E-2</v>
      </c>
      <c r="W38" s="3"/>
      <c r="X38" s="8">
        <f t="shared" si="10"/>
        <v>15956.57</v>
      </c>
      <c r="Y38" s="3"/>
      <c r="Z38" s="7">
        <f t="shared" si="11"/>
        <v>2.0339251594284922</v>
      </c>
    </row>
    <row r="39" spans="1:26" s="69" customFormat="1" ht="15" hidden="1" customHeight="1" outlineLevel="2" x14ac:dyDescent="0.3">
      <c r="A39" s="26"/>
      <c r="B39" s="12" t="str">
        <f>CONCATENATE("          ","6113"," - ","GROUP INSURANCE")</f>
        <v xml:space="preserve">          6113 - GROUP INSURANCE</v>
      </c>
      <c r="C39" s="12"/>
      <c r="D39" s="8">
        <v>13094.96</v>
      </c>
      <c r="E39" s="3"/>
      <c r="F39" s="7">
        <f t="shared" si="4"/>
        <v>3.2432138175051507E-2</v>
      </c>
      <c r="G39" s="3"/>
      <c r="H39" s="8">
        <v>8554.93</v>
      </c>
      <c r="I39" s="3"/>
      <c r="J39" s="7">
        <f t="shared" si="5"/>
        <v>0.11696760606573949</v>
      </c>
      <c r="K39" s="3"/>
      <c r="L39" s="8">
        <f t="shared" si="6"/>
        <v>4540.0299999999988</v>
      </c>
      <c r="M39" s="3"/>
      <c r="N39" s="7">
        <f t="shared" si="7"/>
        <v>0.53069165966290766</v>
      </c>
      <c r="O39" s="12"/>
      <c r="P39" s="8">
        <v>132811.75</v>
      </c>
      <c r="Q39" s="3"/>
      <c r="R39" s="7">
        <f t="shared" si="8"/>
        <v>7.369925906723393E-2</v>
      </c>
      <c r="S39" s="3"/>
      <c r="T39" s="8">
        <v>113219.29</v>
      </c>
      <c r="U39" s="3"/>
      <c r="V39" s="7">
        <f t="shared" si="9"/>
        <v>0.24640034413564699</v>
      </c>
      <c r="W39" s="3"/>
      <c r="X39" s="8">
        <f t="shared" si="10"/>
        <v>19592.460000000006</v>
      </c>
      <c r="Y39" s="3"/>
      <c r="Z39" s="7">
        <f t="shared" si="11"/>
        <v>0.17304877993847168</v>
      </c>
    </row>
    <row r="40" spans="1:26" s="69" customFormat="1" ht="15" hidden="1" customHeight="1" outlineLevel="2" x14ac:dyDescent="0.3">
      <c r="A40" s="26"/>
      <c r="B40" s="12" t="str">
        <f>CONCATENATE("          ","6114"," - ","STATE UNEMPLOYMENT INSURANCE")</f>
        <v xml:space="preserve">          6114 - STATE UNEMPLOYMENT INSURANCE</v>
      </c>
      <c r="C40" s="12"/>
      <c r="D40" s="8">
        <v>309.07</v>
      </c>
      <c r="E40" s="3"/>
      <c r="F40" s="7">
        <f t="shared" si="4"/>
        <v>7.6547014620611056E-4</v>
      </c>
      <c r="G40" s="3"/>
      <c r="H40" s="8">
        <v>78.72</v>
      </c>
      <c r="I40" s="3"/>
      <c r="J40" s="7">
        <f t="shared" si="5"/>
        <v>1.0763021964522224E-3</v>
      </c>
      <c r="K40" s="3"/>
      <c r="L40" s="8">
        <f t="shared" si="6"/>
        <v>230.35</v>
      </c>
      <c r="M40" s="3"/>
      <c r="N40" s="7">
        <f t="shared" si="7"/>
        <v>2.926194105691057</v>
      </c>
      <c r="O40" s="12"/>
      <c r="P40" s="8">
        <v>2206.9299999999998</v>
      </c>
      <c r="Q40" s="3"/>
      <c r="R40" s="7">
        <f t="shared" si="8"/>
        <v>1.2246590065506295E-3</v>
      </c>
      <c r="S40" s="3"/>
      <c r="T40" s="8">
        <v>1044.1199999999999</v>
      </c>
      <c r="U40" s="3"/>
      <c r="V40" s="7">
        <f t="shared" si="9"/>
        <v>2.2723294530367726E-3</v>
      </c>
      <c r="W40" s="3"/>
      <c r="X40" s="8">
        <f t="shared" si="10"/>
        <v>1162.81</v>
      </c>
      <c r="Y40" s="3"/>
      <c r="Z40" s="7">
        <f t="shared" si="11"/>
        <v>1.1136746734091867</v>
      </c>
    </row>
    <row r="41" spans="1:26" s="69" customFormat="1" ht="15" hidden="1" customHeight="1" outlineLevel="2" x14ac:dyDescent="0.3">
      <c r="A41" s="26"/>
      <c r="B41" s="12" t="str">
        <f>CONCATENATE("          ","6115"," - ","P.E.R.S.")</f>
        <v xml:space="preserve">          6115 - P.E.R.S.</v>
      </c>
      <c r="C41" s="12"/>
      <c r="D41" s="8">
        <v>5219.79</v>
      </c>
      <c r="E41" s="3"/>
      <c r="F41" s="7">
        <f t="shared" si="4"/>
        <v>1.2927794397596641E-2</v>
      </c>
      <c r="G41" s="3"/>
      <c r="H41" s="8">
        <v>2720.89</v>
      </c>
      <c r="I41" s="3"/>
      <c r="J41" s="7">
        <f t="shared" si="5"/>
        <v>3.7201472094828346E-2</v>
      </c>
      <c r="K41" s="3"/>
      <c r="L41" s="8">
        <f t="shared" si="6"/>
        <v>2498.9</v>
      </c>
      <c r="M41" s="3"/>
      <c r="N41" s="7">
        <f t="shared" si="7"/>
        <v>0.91841272524798878</v>
      </c>
      <c r="O41" s="12"/>
      <c r="P41" s="8">
        <v>37306.980000000003</v>
      </c>
      <c r="Q41" s="3"/>
      <c r="R41" s="7">
        <f t="shared" si="8"/>
        <v>2.0702210339342077E-2</v>
      </c>
      <c r="S41" s="3"/>
      <c r="T41" s="8">
        <v>37956.480000000003</v>
      </c>
      <c r="U41" s="3"/>
      <c r="V41" s="7">
        <f t="shared" si="9"/>
        <v>8.2605090830173936E-2</v>
      </c>
      <c r="W41" s="3"/>
      <c r="X41" s="8">
        <f t="shared" si="10"/>
        <v>-649.5</v>
      </c>
      <c r="Y41" s="3"/>
      <c r="Z41" s="7">
        <f t="shared" si="11"/>
        <v>-1.7111702665789871E-2</v>
      </c>
    </row>
    <row r="42" spans="1:26" s="69" customFormat="1" ht="15" hidden="1" customHeight="1" outlineLevel="2" x14ac:dyDescent="0.3">
      <c r="A42" s="26"/>
      <c r="B42" s="12" t="str">
        <f>CONCATENATE("          ","6117"," - ","RETIREMENT STAFF HOURLY")</f>
        <v xml:space="preserve">          6117 - RETIREMENT STAFF HOURLY</v>
      </c>
      <c r="C42" s="12"/>
      <c r="D42" s="8">
        <v>268.02999999999997</v>
      </c>
      <c r="E42" s="3"/>
      <c r="F42" s="7">
        <f t="shared" si="4"/>
        <v>6.6382684598189344E-4</v>
      </c>
      <c r="G42" s="3"/>
      <c r="H42" s="8"/>
      <c r="I42" s="3"/>
      <c r="J42" s="7">
        <f t="shared" si="5"/>
        <v>0</v>
      </c>
      <c r="K42" s="3"/>
      <c r="L42" s="8">
        <f t="shared" si="6"/>
        <v>268.02999999999997</v>
      </c>
      <c r="M42" s="3"/>
      <c r="N42" s="7">
        <f t="shared" si="7"/>
        <v>0</v>
      </c>
      <c r="O42" s="12"/>
      <c r="P42" s="8">
        <v>1161.58</v>
      </c>
      <c r="Q42" s="3"/>
      <c r="R42" s="7">
        <f t="shared" si="8"/>
        <v>6.4457840023429843E-4</v>
      </c>
      <c r="S42" s="3"/>
      <c r="T42" s="8"/>
      <c r="U42" s="3"/>
      <c r="V42" s="7">
        <f t="shared" si="9"/>
        <v>0</v>
      </c>
      <c r="W42" s="3"/>
      <c r="X42" s="8">
        <f t="shared" si="10"/>
        <v>1161.58</v>
      </c>
      <c r="Y42" s="3"/>
      <c r="Z42" s="7">
        <f t="shared" si="11"/>
        <v>0</v>
      </c>
    </row>
    <row r="43" spans="1:26" s="69" customFormat="1" ht="15" hidden="1" customHeight="1" outlineLevel="2" x14ac:dyDescent="0.3">
      <c r="A43" s="26"/>
      <c r="B43" s="12" t="str">
        <f>CONCATENATE("          ","6118"," - ","VACATION")</f>
        <v xml:space="preserve">          6118 - VACATION</v>
      </c>
      <c r="C43" s="12"/>
      <c r="D43" s="8">
        <v>4943.88</v>
      </c>
      <c r="E43" s="3"/>
      <c r="F43" s="7">
        <f t="shared" si="4"/>
        <v>1.2244451245431345E-2</v>
      </c>
      <c r="G43" s="3"/>
      <c r="H43" s="8">
        <v>3694.38</v>
      </c>
      <c r="I43" s="3"/>
      <c r="J43" s="7">
        <f t="shared" si="5"/>
        <v>5.0511551175421263E-2</v>
      </c>
      <c r="K43" s="3"/>
      <c r="L43" s="8">
        <f t="shared" si="6"/>
        <v>1249.5</v>
      </c>
      <c r="M43" s="3"/>
      <c r="N43" s="7">
        <f t="shared" si="7"/>
        <v>0.33821642603089014</v>
      </c>
      <c r="O43" s="12"/>
      <c r="P43" s="8">
        <v>38751.06</v>
      </c>
      <c r="Q43" s="3"/>
      <c r="R43" s="7">
        <f t="shared" si="8"/>
        <v>2.1503552284115872E-2</v>
      </c>
      <c r="S43" s="3"/>
      <c r="T43" s="8">
        <v>30515.3</v>
      </c>
      <c r="U43" s="3"/>
      <c r="V43" s="7">
        <f t="shared" si="9"/>
        <v>6.6410771710390601E-2</v>
      </c>
      <c r="W43" s="3"/>
      <c r="X43" s="8">
        <f t="shared" si="10"/>
        <v>8235.7599999999984</v>
      </c>
      <c r="Y43" s="3"/>
      <c r="Z43" s="7">
        <f t="shared" si="11"/>
        <v>0.26988953082552025</v>
      </c>
    </row>
    <row r="44" spans="1:26" s="69" customFormat="1" ht="15" hidden="1" customHeight="1" outlineLevel="2" x14ac:dyDescent="0.3">
      <c r="A44" s="26"/>
      <c r="B44" s="12" t="str">
        <f>CONCATENATE("          ","6119"," - ","SICK LEAVE")</f>
        <v xml:space="preserve">          6119 - SICK LEAVE</v>
      </c>
      <c r="C44" s="12"/>
      <c r="D44" s="8">
        <v>3717.86</v>
      </c>
      <c r="E44" s="3"/>
      <c r="F44" s="7">
        <f t="shared" si="4"/>
        <v>9.2079814856629583E-3</v>
      </c>
      <c r="G44" s="3"/>
      <c r="H44" s="8">
        <v>2074.29</v>
      </c>
      <c r="I44" s="3"/>
      <c r="J44" s="7">
        <f t="shared" si="5"/>
        <v>2.8360808982201228E-2</v>
      </c>
      <c r="K44" s="3"/>
      <c r="L44" s="8">
        <f t="shared" si="6"/>
        <v>1643.5700000000002</v>
      </c>
      <c r="M44" s="3"/>
      <c r="N44" s="7">
        <f t="shared" si="7"/>
        <v>0.79235304610252189</v>
      </c>
      <c r="O44" s="12"/>
      <c r="P44" s="8">
        <v>33265.980000000003</v>
      </c>
      <c r="Q44" s="3"/>
      <c r="R44" s="7">
        <f t="shared" si="8"/>
        <v>1.8459798008424878E-2</v>
      </c>
      <c r="S44" s="3"/>
      <c r="T44" s="8">
        <v>18029.61</v>
      </c>
      <c r="U44" s="3"/>
      <c r="V44" s="7">
        <f t="shared" si="9"/>
        <v>3.9238031863929747E-2</v>
      </c>
      <c r="W44" s="3"/>
      <c r="X44" s="8">
        <f t="shared" si="10"/>
        <v>15236.370000000003</v>
      </c>
      <c r="Y44" s="3"/>
      <c r="Z44" s="7">
        <f t="shared" si="11"/>
        <v>0.84507485186867615</v>
      </c>
    </row>
    <row r="45" spans="1:26" s="69" customFormat="1" ht="15" hidden="1" customHeight="1" outlineLevel="2" x14ac:dyDescent="0.3">
      <c r="A45" s="26"/>
      <c r="B45" s="12" t="str">
        <f>CONCATENATE("          ","6156"," - ","EMPLOYEE MEALS")</f>
        <v xml:space="preserve">          6156 - EMPLOYEE MEALS</v>
      </c>
      <c r="C45" s="12"/>
      <c r="D45" s="8">
        <v>2025.71</v>
      </c>
      <c r="E45" s="3"/>
      <c r="F45" s="7">
        <f t="shared" si="4"/>
        <v>5.017052867865468E-3</v>
      </c>
      <c r="G45" s="3"/>
      <c r="H45" s="8">
        <v>775.44</v>
      </c>
      <c r="I45" s="3"/>
      <c r="J45" s="7">
        <f t="shared" si="5"/>
        <v>1.0602232916881497E-2</v>
      </c>
      <c r="K45" s="3"/>
      <c r="L45" s="8">
        <f t="shared" si="6"/>
        <v>1250.27</v>
      </c>
      <c r="M45" s="3"/>
      <c r="N45" s="7">
        <f t="shared" si="7"/>
        <v>1.6123362220158877</v>
      </c>
      <c r="O45" s="12"/>
      <c r="P45" s="8">
        <v>17982.8</v>
      </c>
      <c r="Q45" s="3"/>
      <c r="R45" s="7">
        <f t="shared" si="8"/>
        <v>9.9789290929022043E-3</v>
      </c>
      <c r="S45" s="3"/>
      <c r="T45" s="8">
        <v>5761.22</v>
      </c>
      <c r="U45" s="3"/>
      <c r="V45" s="7">
        <f t="shared" si="9"/>
        <v>1.2538204316960231E-2</v>
      </c>
      <c r="W45" s="3"/>
      <c r="X45" s="8">
        <f t="shared" si="10"/>
        <v>12221.579999999998</v>
      </c>
      <c r="Y45" s="3"/>
      <c r="Z45" s="7">
        <f t="shared" si="11"/>
        <v>2.1213527690315588</v>
      </c>
    </row>
    <row r="46" spans="1:26" s="68" customFormat="1" ht="15" customHeight="1" outlineLevel="1" collapsed="1" x14ac:dyDescent="0.3">
      <c r="A46" s="25"/>
      <c r="B46" s="14" t="str">
        <f>CONCATENATE("     ","*Payroll                                          ")</f>
        <v xml:space="preserve">     *Payroll                                          </v>
      </c>
      <c r="C46" s="14"/>
      <c r="D46" s="2">
        <f>SUM(OSRRefD22_1x_0)</f>
        <v>145744.21</v>
      </c>
      <c r="E46" s="2"/>
      <c r="F46" s="6">
        <f t="shared" si="4"/>
        <v>0.36096302370787875</v>
      </c>
      <c r="G46" s="2"/>
      <c r="H46" s="2">
        <f>SUM(OSRRefH22_1x_0)</f>
        <v>32003.24</v>
      </c>
      <c r="I46" s="2"/>
      <c r="J46" s="6">
        <f t="shared" si="5"/>
        <v>0.43756551709333874</v>
      </c>
      <c r="K46" s="2"/>
      <c r="L46" s="2">
        <f t="shared" si="6"/>
        <v>113740.96999999999</v>
      </c>
      <c r="M46" s="2"/>
      <c r="N46" s="6">
        <f t="shared" si="7"/>
        <v>3.5540454653966278</v>
      </c>
      <c r="O46" s="14"/>
      <c r="P46" s="2">
        <f>SUM(OSRRefP22_1x_0)</f>
        <v>871401.77000000014</v>
      </c>
      <c r="Q46" s="2"/>
      <c r="R46" s="6">
        <f t="shared" si="8"/>
        <v>0.48355408914404191</v>
      </c>
      <c r="S46" s="2"/>
      <c r="T46" s="2">
        <f>SUM(OSRRefT22_1x_0)</f>
        <v>334887.94</v>
      </c>
      <c r="U46" s="2"/>
      <c r="V46" s="6">
        <f t="shared" si="9"/>
        <v>0.72882018305253382</v>
      </c>
      <c r="W46" s="2"/>
      <c r="X46" s="2">
        <f t="shared" si="10"/>
        <v>536513.83000000007</v>
      </c>
      <c r="Y46" s="2"/>
      <c r="Z46" s="6">
        <f t="shared" si="11"/>
        <v>1.6020697251743377</v>
      </c>
    </row>
    <row r="47" spans="1:26" s="69" customFormat="1" ht="15" hidden="1" customHeight="1" outlineLevel="2" x14ac:dyDescent="0.3">
      <c r="A47" s="26"/>
      <c r="B47" s="12" t="str">
        <f>CONCATENATE("          ","6001"," - ","ADMINISTRATIVE SALARIES")</f>
        <v xml:space="preserve">          6001 - ADMINISTRATIVE SALARIES</v>
      </c>
      <c r="C47" s="12"/>
      <c r="D47" s="8">
        <v>12087.68</v>
      </c>
      <c r="E47" s="3"/>
      <c r="F47" s="7">
        <f t="shared" si="4"/>
        <v>2.9937419280074672E-2</v>
      </c>
      <c r="G47" s="3"/>
      <c r="H47" s="8">
        <v>13836.92</v>
      </c>
      <c r="I47" s="3"/>
      <c r="J47" s="7">
        <f t="shared" si="5"/>
        <v>0.18918581539803972</v>
      </c>
      <c r="K47" s="3"/>
      <c r="L47" s="8">
        <f t="shared" si="6"/>
        <v>-1749.2399999999998</v>
      </c>
      <c r="M47" s="3"/>
      <c r="N47" s="7">
        <f t="shared" si="7"/>
        <v>-0.12641830696426659</v>
      </c>
      <c r="O47" s="12"/>
      <c r="P47" s="8">
        <v>112796.03</v>
      </c>
      <c r="Q47" s="3"/>
      <c r="R47" s="7">
        <f t="shared" si="8"/>
        <v>6.2592231762065409E-2</v>
      </c>
      <c r="S47" s="3"/>
      <c r="T47" s="8">
        <v>111056.17</v>
      </c>
      <c r="U47" s="3"/>
      <c r="V47" s="7">
        <f t="shared" si="9"/>
        <v>0.24169272308973955</v>
      </c>
      <c r="W47" s="3"/>
      <c r="X47" s="8">
        <f t="shared" si="10"/>
        <v>1739.8600000000006</v>
      </c>
      <c r="Y47" s="3"/>
      <c r="Z47" s="7">
        <f t="shared" si="11"/>
        <v>1.5666486607632882E-2</v>
      </c>
    </row>
    <row r="48" spans="1:26" s="69" customFormat="1" ht="15" hidden="1" customHeight="1" outlineLevel="2" x14ac:dyDescent="0.3">
      <c r="A48" s="26"/>
      <c r="B48" s="12" t="str">
        <f>CONCATENATE("          ","6002"," - ","STAFF SALARIES")</f>
        <v xml:space="preserve">          6002 - STAFF SALARIES</v>
      </c>
      <c r="C48" s="12"/>
      <c r="D48" s="8">
        <v>30741.93</v>
      </c>
      <c r="E48" s="3"/>
      <c r="F48" s="7">
        <f t="shared" si="4"/>
        <v>7.6138187633086413E-2</v>
      </c>
      <c r="G48" s="3"/>
      <c r="H48" s="8">
        <v>14540.3</v>
      </c>
      <c r="I48" s="3"/>
      <c r="J48" s="7">
        <f t="shared" si="5"/>
        <v>0.19880280522197979</v>
      </c>
      <c r="K48" s="3"/>
      <c r="L48" s="8">
        <f t="shared" si="6"/>
        <v>16201.630000000001</v>
      </c>
      <c r="M48" s="3"/>
      <c r="N48" s="7">
        <f t="shared" si="7"/>
        <v>1.1142569272986116</v>
      </c>
      <c r="O48" s="12"/>
      <c r="P48" s="8">
        <v>248044.51</v>
      </c>
      <c r="Q48" s="3"/>
      <c r="R48" s="7">
        <f t="shared" si="8"/>
        <v>0.13764366934924882</v>
      </c>
      <c r="S48" s="3"/>
      <c r="T48" s="8">
        <v>189681.71</v>
      </c>
      <c r="U48" s="3"/>
      <c r="V48" s="7">
        <f t="shared" si="9"/>
        <v>0.41280632143372387</v>
      </c>
      <c r="W48" s="3"/>
      <c r="X48" s="8">
        <f t="shared" si="10"/>
        <v>58362.800000000017</v>
      </c>
      <c r="Y48" s="3"/>
      <c r="Z48" s="7">
        <f t="shared" si="11"/>
        <v>0.30768807387913161</v>
      </c>
    </row>
    <row r="49" spans="1:26" s="69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8">
        <v>26275.26</v>
      </c>
      <c r="E49" s="3"/>
      <c r="F49" s="7">
        <f t="shared" si="4"/>
        <v>6.5075636955393826E-2</v>
      </c>
      <c r="G49" s="3"/>
      <c r="H49" s="8">
        <v>4020.03</v>
      </c>
      <c r="I49" s="3"/>
      <c r="J49" s="7">
        <f t="shared" si="5"/>
        <v>5.4964013196186844E-2</v>
      </c>
      <c r="K49" s="3"/>
      <c r="L49" s="8">
        <f t="shared" si="6"/>
        <v>22255.23</v>
      </c>
      <c r="M49" s="3"/>
      <c r="N49" s="7">
        <f t="shared" si="7"/>
        <v>5.5360855516003609</v>
      </c>
      <c r="O49" s="12"/>
      <c r="P49" s="8">
        <v>135120.91</v>
      </c>
      <c r="Q49" s="3"/>
      <c r="R49" s="7">
        <f t="shared" si="8"/>
        <v>7.4980647054875796E-2</v>
      </c>
      <c r="S49" s="3"/>
      <c r="T49" s="8">
        <v>28579.360000000001</v>
      </c>
      <c r="U49" s="3"/>
      <c r="V49" s="7">
        <f t="shared" si="9"/>
        <v>6.2197564912980334E-2</v>
      </c>
      <c r="W49" s="3"/>
      <c r="X49" s="8">
        <f t="shared" si="10"/>
        <v>106541.55</v>
      </c>
      <c r="Y49" s="3"/>
      <c r="Z49" s="7">
        <f t="shared" si="11"/>
        <v>3.7279193795802286</v>
      </c>
    </row>
    <row r="50" spans="1:26" s="69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8">
        <v>28622.11</v>
      </c>
      <c r="E50" s="3"/>
      <c r="F50" s="7">
        <f t="shared" si="4"/>
        <v>7.0888053600890996E-2</v>
      </c>
      <c r="G50" s="3"/>
      <c r="H50" s="8">
        <v>382.01</v>
      </c>
      <c r="I50" s="3"/>
      <c r="J50" s="7">
        <f t="shared" si="5"/>
        <v>5.223046266091381E-3</v>
      </c>
      <c r="K50" s="3"/>
      <c r="L50" s="8">
        <f t="shared" si="6"/>
        <v>28240.100000000002</v>
      </c>
      <c r="M50" s="3"/>
      <c r="N50" s="7">
        <f t="shared" si="7"/>
        <v>73.925028140624605</v>
      </c>
      <c r="O50" s="12"/>
      <c r="P50" s="8">
        <v>144986.5</v>
      </c>
      <c r="Q50" s="3"/>
      <c r="R50" s="7">
        <f t="shared" si="8"/>
        <v>8.0455212921684352E-2</v>
      </c>
      <c r="S50" s="3"/>
      <c r="T50" s="8">
        <v>5423.01</v>
      </c>
      <c r="U50" s="3"/>
      <c r="V50" s="7">
        <f t="shared" si="9"/>
        <v>1.1802154299422432E-2</v>
      </c>
      <c r="W50" s="3"/>
      <c r="X50" s="8">
        <f t="shared" si="10"/>
        <v>139563.49</v>
      </c>
      <c r="Y50" s="3"/>
      <c r="Z50" s="7">
        <f t="shared" si="11"/>
        <v>25.73542921735346</v>
      </c>
    </row>
    <row r="51" spans="1:26" s="69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8">
        <v>2858.76</v>
      </c>
      <c r="E51" s="3"/>
      <c r="F51" s="7">
        <f t="shared" si="4"/>
        <v>7.0802583077237543E-3</v>
      </c>
      <c r="G51" s="3"/>
      <c r="H51" s="8"/>
      <c r="I51" s="3"/>
      <c r="J51" s="7">
        <f t="shared" si="5"/>
        <v>0</v>
      </c>
      <c r="K51" s="3"/>
      <c r="L51" s="8">
        <f t="shared" si="6"/>
        <v>2858.76</v>
      </c>
      <c r="M51" s="3"/>
      <c r="N51" s="7">
        <f t="shared" si="7"/>
        <v>0</v>
      </c>
      <c r="O51" s="12"/>
      <c r="P51" s="8">
        <v>5202</v>
      </c>
      <c r="Q51" s="3"/>
      <c r="R51" s="7">
        <f t="shared" si="8"/>
        <v>2.8866688803343898E-3</v>
      </c>
      <c r="S51" s="3"/>
      <c r="T51" s="8"/>
      <c r="U51" s="3"/>
      <c r="V51" s="7">
        <f t="shared" si="9"/>
        <v>0</v>
      </c>
      <c r="W51" s="3"/>
      <c r="X51" s="8">
        <f t="shared" si="10"/>
        <v>5202</v>
      </c>
      <c r="Y51" s="3"/>
      <c r="Z51" s="7">
        <f t="shared" si="11"/>
        <v>0</v>
      </c>
    </row>
    <row r="52" spans="1:26" s="69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37611.370000000003</v>
      </c>
      <c r="E52" s="3"/>
      <c r="F52" s="7">
        <f t="shared" si="4"/>
        <v>9.315165138289748E-2</v>
      </c>
      <c r="G52" s="3"/>
      <c r="H52" s="8">
        <v>-776.02</v>
      </c>
      <c r="I52" s="3"/>
      <c r="J52" s="7">
        <f t="shared" si="5"/>
        <v>-1.0610162988959015E-2</v>
      </c>
      <c r="K52" s="3"/>
      <c r="L52" s="8">
        <f t="shared" si="6"/>
        <v>38387.39</v>
      </c>
      <c r="M52" s="3"/>
      <c r="N52" s="7">
        <f t="shared" si="7"/>
        <v>-49.4670111595062</v>
      </c>
      <c r="O52" s="12"/>
      <c r="P52" s="8">
        <v>210580.03</v>
      </c>
      <c r="Q52" s="3"/>
      <c r="R52" s="7">
        <f t="shared" si="8"/>
        <v>0.11685405986560597</v>
      </c>
      <c r="S52" s="3"/>
      <c r="T52" s="8">
        <v>147.69</v>
      </c>
      <c r="U52" s="3"/>
      <c r="V52" s="7">
        <f t="shared" si="9"/>
        <v>3.2141931666762532E-4</v>
      </c>
      <c r="W52" s="3"/>
      <c r="X52" s="8">
        <f t="shared" si="10"/>
        <v>210432.34</v>
      </c>
      <c r="Y52" s="3"/>
      <c r="Z52" s="7">
        <f t="shared" si="11"/>
        <v>1424.824564967161</v>
      </c>
    </row>
    <row r="53" spans="1:26" s="69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>
        <v>7547.1</v>
      </c>
      <c r="E53" s="3"/>
      <c r="F53" s="7">
        <f t="shared" si="4"/>
        <v>1.8691816547811619E-2</v>
      </c>
      <c r="G53" s="3"/>
      <c r="H53" s="8"/>
      <c r="I53" s="3"/>
      <c r="J53" s="7">
        <f t="shared" si="5"/>
        <v>0</v>
      </c>
      <c r="K53" s="3"/>
      <c r="L53" s="8">
        <f t="shared" si="6"/>
        <v>7547.1</v>
      </c>
      <c r="M53" s="3"/>
      <c r="N53" s="7">
        <f t="shared" si="7"/>
        <v>0</v>
      </c>
      <c r="O53" s="12"/>
      <c r="P53" s="8">
        <v>14671.79</v>
      </c>
      <c r="Q53" s="3"/>
      <c r="R53" s="7">
        <f t="shared" si="8"/>
        <v>8.1415993102270864E-3</v>
      </c>
      <c r="S53" s="3"/>
      <c r="T53" s="8"/>
      <c r="U53" s="3"/>
      <c r="V53" s="7">
        <f t="shared" si="9"/>
        <v>0</v>
      </c>
      <c r="W53" s="3"/>
      <c r="X53" s="8">
        <f t="shared" si="10"/>
        <v>14671.79</v>
      </c>
      <c r="Y53" s="3"/>
      <c r="Z53" s="7">
        <f t="shared" si="11"/>
        <v>0</v>
      </c>
    </row>
    <row r="54" spans="1:26" s="68" customFormat="1" ht="15" customHeight="1" outlineLevel="1" collapsed="1" x14ac:dyDescent="0.3">
      <c r="A54" s="25"/>
      <c r="B54" s="14" t="str">
        <f>CONCATENATE("     ","Advertising/Promo                                 ")</f>
        <v xml:space="preserve">     Advertising/Promo                                 </v>
      </c>
      <c r="C54" s="14"/>
      <c r="D54" s="2">
        <f>SUM(OSRRefD22_2x_0)</f>
        <v>602.39</v>
      </c>
      <c r="E54" s="2"/>
      <c r="F54" s="6">
        <f t="shared" si="4"/>
        <v>1.4919324469314362E-3</v>
      </c>
      <c r="G54" s="2"/>
      <c r="H54" s="2">
        <f>SUM(OSRRefH22_2x_0)</f>
        <v>68.13</v>
      </c>
      <c r="I54" s="2"/>
      <c r="J54" s="6">
        <f t="shared" si="5"/>
        <v>9.3151001834717879E-4</v>
      </c>
      <c r="K54" s="2"/>
      <c r="L54" s="2">
        <f t="shared" si="6"/>
        <v>534.26</v>
      </c>
      <c r="M54" s="2"/>
      <c r="N54" s="6">
        <f t="shared" si="7"/>
        <v>7.8417730808747983</v>
      </c>
      <c r="O54" s="14"/>
      <c r="P54" s="2">
        <f>SUM(OSRRefP22_2x_0)</f>
        <v>2769.44</v>
      </c>
      <c r="Q54" s="2"/>
      <c r="R54" s="6">
        <f t="shared" si="8"/>
        <v>1.536804356776869E-3</v>
      </c>
      <c r="S54" s="2"/>
      <c r="T54" s="2">
        <f>SUM(OSRRefT22_2x_0)</f>
        <v>441.15</v>
      </c>
      <c r="U54" s="2"/>
      <c r="V54" s="6">
        <f t="shared" si="9"/>
        <v>9.6007943359687799E-4</v>
      </c>
      <c r="W54" s="2"/>
      <c r="X54" s="2">
        <f t="shared" si="10"/>
        <v>2328.29</v>
      </c>
      <c r="Y54" s="2"/>
      <c r="Z54" s="6">
        <f t="shared" si="11"/>
        <v>5.27777399977332</v>
      </c>
    </row>
    <row r="55" spans="1:26" s="69" customFormat="1" ht="15" hidden="1" customHeight="1" outlineLevel="2" x14ac:dyDescent="0.3">
      <c r="A55" s="26"/>
      <c r="B55" s="12" t="str">
        <f>CONCATENATE("          ","6362"," - ","ADVERTISING EXPENSE")</f>
        <v xml:space="preserve">          6362 - ADVERTISING EXPENSE</v>
      </c>
      <c r="C55" s="12"/>
      <c r="D55" s="8">
        <v>602.39</v>
      </c>
      <c r="E55" s="3"/>
      <c r="F55" s="7">
        <f t="shared" si="4"/>
        <v>1.4919324469314362E-3</v>
      </c>
      <c r="G55" s="3"/>
      <c r="H55" s="8">
        <v>68.13</v>
      </c>
      <c r="I55" s="3"/>
      <c r="J55" s="7">
        <f t="shared" si="5"/>
        <v>9.3151001834717879E-4</v>
      </c>
      <c r="K55" s="3"/>
      <c r="L55" s="8">
        <f t="shared" si="6"/>
        <v>534.26</v>
      </c>
      <c r="M55" s="3"/>
      <c r="N55" s="7">
        <f t="shared" si="7"/>
        <v>7.8417730808747983</v>
      </c>
      <c r="O55" s="12"/>
      <c r="P55" s="8">
        <v>2769.44</v>
      </c>
      <c r="Q55" s="3"/>
      <c r="R55" s="7">
        <f t="shared" si="8"/>
        <v>1.536804356776869E-3</v>
      </c>
      <c r="S55" s="3"/>
      <c r="T55" s="8">
        <v>441.15</v>
      </c>
      <c r="U55" s="3"/>
      <c r="V55" s="7">
        <f t="shared" si="9"/>
        <v>9.6007943359687799E-4</v>
      </c>
      <c r="W55" s="3"/>
      <c r="X55" s="8">
        <f t="shared" si="10"/>
        <v>2328.29</v>
      </c>
      <c r="Y55" s="3"/>
      <c r="Z55" s="7">
        <f t="shared" si="11"/>
        <v>5.27777399977332</v>
      </c>
    </row>
    <row r="56" spans="1:26" s="68" customFormat="1" ht="15" customHeight="1" outlineLevel="1" collapsed="1" x14ac:dyDescent="0.3">
      <c r="A56" s="25"/>
      <c r="B56" s="14" t="str">
        <f>CONCATENATE("     ","Bad Debts/Over/Short                              ")</f>
        <v xml:space="preserve">     Bad Debts/Over/Short                              </v>
      </c>
      <c r="C56" s="14"/>
      <c r="D56" s="2">
        <f>SUM(OSRRefD22_3x_0)</f>
        <v>10.51</v>
      </c>
      <c r="E56" s="2"/>
      <c r="F56" s="6">
        <f t="shared" si="4"/>
        <v>2.6029997206542924E-5</v>
      </c>
      <c r="G56" s="2"/>
      <c r="H56" s="2">
        <f>SUM(OSRRefH22_3x_0)</f>
        <v>0.57999999999999996</v>
      </c>
      <c r="I56" s="2"/>
      <c r="J56" s="6">
        <f t="shared" si="5"/>
        <v>7.930072077518916E-6</v>
      </c>
      <c r="K56" s="2"/>
      <c r="L56" s="2">
        <f t="shared" si="6"/>
        <v>9.93</v>
      </c>
      <c r="M56" s="2"/>
      <c r="N56" s="6">
        <f t="shared" si="7"/>
        <v>17.120689655172413</v>
      </c>
      <c r="O56" s="14"/>
      <c r="P56" s="2">
        <f>SUM(OSRRefP22_3x_0)</f>
        <v>-9.9499999999999993</v>
      </c>
      <c r="Q56" s="2"/>
      <c r="R56" s="6">
        <f t="shared" si="8"/>
        <v>-5.5214062590017645E-6</v>
      </c>
      <c r="S56" s="2"/>
      <c r="T56" s="2">
        <f>SUM(OSRRefT22_3x_0)</f>
        <v>12.29</v>
      </c>
      <c r="U56" s="2"/>
      <c r="V56" s="6">
        <f t="shared" si="9"/>
        <v>2.6746857619643275E-5</v>
      </c>
      <c r="W56" s="2"/>
      <c r="X56" s="2">
        <f t="shared" si="10"/>
        <v>-22.24</v>
      </c>
      <c r="Y56" s="2"/>
      <c r="Z56" s="6">
        <f t="shared" si="11"/>
        <v>-1.8096013018714403</v>
      </c>
    </row>
    <row r="57" spans="1:26" s="69" customFormat="1" ht="15" hidden="1" customHeight="1" outlineLevel="2" x14ac:dyDescent="0.3">
      <c r="A57" s="26"/>
      <c r="B57" s="12" t="str">
        <f>CONCATENATE("          ","6272"," - ","CASH (OVER/SHORT)")</f>
        <v xml:space="preserve">          6272 - CASH (OVER/SHORT)</v>
      </c>
      <c r="C57" s="12"/>
      <c r="D57" s="8">
        <v>10.51</v>
      </c>
      <c r="E57" s="3"/>
      <c r="F57" s="7">
        <f t="shared" si="4"/>
        <v>2.6029997206542924E-5</v>
      </c>
      <c r="G57" s="3"/>
      <c r="H57" s="8">
        <v>0.57999999999999996</v>
      </c>
      <c r="I57" s="3"/>
      <c r="J57" s="7">
        <f t="shared" si="5"/>
        <v>7.930072077518916E-6</v>
      </c>
      <c r="K57" s="3"/>
      <c r="L57" s="8">
        <f t="shared" si="6"/>
        <v>9.93</v>
      </c>
      <c r="M57" s="3"/>
      <c r="N57" s="7">
        <f t="shared" si="7"/>
        <v>17.120689655172413</v>
      </c>
      <c r="O57" s="12"/>
      <c r="P57" s="8">
        <v>-9.9499999999999993</v>
      </c>
      <c r="Q57" s="3"/>
      <c r="R57" s="7">
        <f t="shared" si="8"/>
        <v>-5.5214062590017645E-6</v>
      </c>
      <c r="S57" s="3"/>
      <c r="T57" s="8">
        <v>12.29</v>
      </c>
      <c r="U57" s="3"/>
      <c r="V57" s="7">
        <f t="shared" si="9"/>
        <v>2.6746857619643275E-5</v>
      </c>
      <c r="W57" s="3"/>
      <c r="X57" s="8">
        <f t="shared" si="10"/>
        <v>-22.24</v>
      </c>
      <c r="Y57" s="3"/>
      <c r="Z57" s="7">
        <f t="shared" si="11"/>
        <v>-1.8096013018714403</v>
      </c>
    </row>
    <row r="58" spans="1:26" s="68" customFormat="1" ht="15" customHeight="1" outlineLevel="1" collapsed="1" x14ac:dyDescent="0.3">
      <c r="A58" s="25"/>
      <c r="B58" s="14" t="str">
        <f>CONCATENATE("     ","Bank/card Fees                                    ")</f>
        <v xml:space="preserve">     Bank/card Fees                                    </v>
      </c>
      <c r="C58" s="14"/>
      <c r="D58" s="2">
        <f>SUM(OSRRefD22_4x_0)</f>
        <v>12691.87</v>
      </c>
      <c r="E58" s="2"/>
      <c r="F58" s="6">
        <f t="shared" si="4"/>
        <v>3.1433809766489629E-2</v>
      </c>
      <c r="G58" s="2"/>
      <c r="H58" s="2">
        <f>SUM(OSRRefH22_4x_0)</f>
        <v>1701.74</v>
      </c>
      <c r="I58" s="2"/>
      <c r="J58" s="6">
        <f t="shared" si="5"/>
        <v>2.3267104926201793E-2</v>
      </c>
      <c r="K58" s="2"/>
      <c r="L58" s="2">
        <f t="shared" si="6"/>
        <v>10990.130000000001</v>
      </c>
      <c r="M58" s="2"/>
      <c r="N58" s="6">
        <f t="shared" si="7"/>
        <v>6.4581722237239534</v>
      </c>
      <c r="O58" s="14"/>
      <c r="P58" s="2">
        <f>SUM(OSRRefP22_4x_0)</f>
        <v>65424.51</v>
      </c>
      <c r="Q58" s="2"/>
      <c r="R58" s="6">
        <f t="shared" si="8"/>
        <v>3.6305055176494828E-2</v>
      </c>
      <c r="S58" s="2"/>
      <c r="T58" s="2">
        <f>SUM(OSRRefT22_4x_0)</f>
        <v>8647.77</v>
      </c>
      <c r="U58" s="2"/>
      <c r="V58" s="6">
        <f t="shared" si="9"/>
        <v>1.8820233760571403E-2</v>
      </c>
      <c r="W58" s="2"/>
      <c r="X58" s="2">
        <f t="shared" si="10"/>
        <v>56776.740000000005</v>
      </c>
      <c r="Y58" s="2"/>
      <c r="Z58" s="6">
        <f t="shared" si="11"/>
        <v>6.5654775739872822</v>
      </c>
    </row>
    <row r="59" spans="1:26" s="69" customFormat="1" ht="15" hidden="1" customHeight="1" outlineLevel="2" x14ac:dyDescent="0.3">
      <c r="A59" s="26"/>
      <c r="B59" s="12" t="str">
        <f>CONCATENATE("          ","6381"," - ","BANK/CREDIT CARD FEES")</f>
        <v xml:space="preserve">          6381 - BANK/CREDIT CARD FEES</v>
      </c>
      <c r="C59" s="12"/>
      <c r="D59" s="8">
        <v>12691.87</v>
      </c>
      <c r="E59" s="3"/>
      <c r="F59" s="7">
        <f t="shared" si="4"/>
        <v>3.1433809766489629E-2</v>
      </c>
      <c r="G59" s="3"/>
      <c r="H59" s="8">
        <v>1701.74</v>
      </c>
      <c r="I59" s="3"/>
      <c r="J59" s="7">
        <f t="shared" si="5"/>
        <v>2.3267104926201793E-2</v>
      </c>
      <c r="K59" s="3"/>
      <c r="L59" s="8">
        <f t="shared" si="6"/>
        <v>10990.130000000001</v>
      </c>
      <c r="M59" s="3"/>
      <c r="N59" s="7">
        <f t="shared" si="7"/>
        <v>6.4581722237239534</v>
      </c>
      <c r="O59" s="12"/>
      <c r="P59" s="8">
        <v>65424.51</v>
      </c>
      <c r="Q59" s="3"/>
      <c r="R59" s="7">
        <f t="shared" si="8"/>
        <v>3.6305055176494828E-2</v>
      </c>
      <c r="S59" s="3"/>
      <c r="T59" s="8">
        <v>8647.77</v>
      </c>
      <c r="U59" s="3"/>
      <c r="V59" s="7">
        <f t="shared" si="9"/>
        <v>1.8820233760571403E-2</v>
      </c>
      <c r="W59" s="3"/>
      <c r="X59" s="8">
        <f t="shared" si="10"/>
        <v>56776.740000000005</v>
      </c>
      <c r="Y59" s="3"/>
      <c r="Z59" s="7">
        <f t="shared" si="11"/>
        <v>6.5654775739872822</v>
      </c>
    </row>
    <row r="60" spans="1:26" s="68" customFormat="1" ht="15" customHeight="1" outlineLevel="1" collapsed="1" x14ac:dyDescent="0.3">
      <c r="A60" s="25"/>
      <c r="B60" s="14" t="str">
        <f>CONCATENATE("     ","Depreciation                                      ")</f>
        <v xml:space="preserve">     Depreciation                                      </v>
      </c>
      <c r="C60" s="14"/>
      <c r="D60" s="2">
        <f>SUM(OSRRefD22_5x_0)</f>
        <v>42402.47</v>
      </c>
      <c r="E60" s="2"/>
      <c r="F60" s="6">
        <f t="shared" si="4"/>
        <v>0.1050177141437222</v>
      </c>
      <c r="G60" s="2"/>
      <c r="H60" s="2">
        <f>SUM(OSRRefH22_5x_0)</f>
        <v>45872.85</v>
      </c>
      <c r="I60" s="2"/>
      <c r="J60" s="6">
        <f t="shared" si="5"/>
        <v>0.62719828776071307</v>
      </c>
      <c r="K60" s="2"/>
      <c r="L60" s="2">
        <f t="shared" si="6"/>
        <v>-3470.3799999999974</v>
      </c>
      <c r="M60" s="2"/>
      <c r="N60" s="6">
        <f t="shared" si="7"/>
        <v>-7.5652155904854343E-2</v>
      </c>
      <c r="O60" s="14"/>
      <c r="P60" s="2">
        <f>SUM(OSRRefP22_5x_0)</f>
        <v>396309.27999999997</v>
      </c>
      <c r="Q60" s="2"/>
      <c r="R60" s="6">
        <f t="shared" si="8"/>
        <v>0.21991804412989777</v>
      </c>
      <c r="S60" s="2"/>
      <c r="T60" s="2">
        <f>SUM(OSRRefT22_5x_0)</f>
        <v>461733.3</v>
      </c>
      <c r="U60" s="2"/>
      <c r="V60" s="6">
        <f t="shared" si="9"/>
        <v>1.0048750881487416</v>
      </c>
      <c r="W60" s="2"/>
      <c r="X60" s="2">
        <f t="shared" si="10"/>
        <v>-65424.020000000019</v>
      </c>
      <c r="Y60" s="2"/>
      <c r="Z60" s="6">
        <f t="shared" si="11"/>
        <v>-0.14169222795930037</v>
      </c>
    </row>
    <row r="61" spans="1:26" s="69" customFormat="1" ht="15" hidden="1" customHeight="1" outlineLevel="2" x14ac:dyDescent="0.3">
      <c r="A61" s="26"/>
      <c r="B61" s="12" t="str">
        <f>CONCATENATE("          ","6321"," - ","BUILDING DEPRECIATION")</f>
        <v xml:space="preserve">          6321 - BUILDING DEPRECIATION</v>
      </c>
      <c r="C61" s="12"/>
      <c r="D61" s="8">
        <v>28619.91</v>
      </c>
      <c r="E61" s="3"/>
      <c r="F61" s="7">
        <f t="shared" si="4"/>
        <v>7.0882604885966691E-2</v>
      </c>
      <c r="G61" s="3"/>
      <c r="H61" s="8">
        <v>28664</v>
      </c>
      <c r="I61" s="3"/>
      <c r="J61" s="7">
        <f t="shared" si="5"/>
        <v>0.39190963108621069</v>
      </c>
      <c r="K61" s="3"/>
      <c r="L61" s="8">
        <f t="shared" si="6"/>
        <v>-44.090000000000146</v>
      </c>
      <c r="M61" s="3"/>
      <c r="N61" s="7">
        <f t="shared" si="7"/>
        <v>-1.5381663410549869E-3</v>
      </c>
      <c r="O61" s="12"/>
      <c r="P61" s="8">
        <v>286287.24</v>
      </c>
      <c r="Q61" s="3"/>
      <c r="R61" s="7">
        <f t="shared" si="8"/>
        <v>0.15886514158877793</v>
      </c>
      <c r="S61" s="3"/>
      <c r="T61" s="8">
        <v>287424.19</v>
      </c>
      <c r="U61" s="3"/>
      <c r="V61" s="7">
        <f t="shared" si="9"/>
        <v>0.62552431947691589</v>
      </c>
      <c r="W61" s="3"/>
      <c r="X61" s="8">
        <f t="shared" si="10"/>
        <v>-1136.9500000000116</v>
      </c>
      <c r="Y61" s="3"/>
      <c r="Z61" s="7">
        <f t="shared" si="11"/>
        <v>-3.9556517494230793E-3</v>
      </c>
    </row>
    <row r="62" spans="1:26" s="69" customFormat="1" ht="15" hidden="1" customHeight="1" outlineLevel="2" x14ac:dyDescent="0.3">
      <c r="A62" s="26"/>
      <c r="B62" s="12" t="str">
        <f>CONCATENATE("          ","6322"," - ","EQUIPMENT DEPRECIATION EXPENSE")</f>
        <v xml:space="preserve">          6322 - EQUIPMENT DEPRECIATION EXPENSE</v>
      </c>
      <c r="C62" s="12"/>
      <c r="D62" s="8">
        <v>13782.56</v>
      </c>
      <c r="E62" s="3"/>
      <c r="F62" s="7">
        <f t="shared" si="4"/>
        <v>3.4135109257755494E-2</v>
      </c>
      <c r="G62" s="3"/>
      <c r="H62" s="8">
        <v>17208.849999999999</v>
      </c>
      <c r="I62" s="3"/>
      <c r="J62" s="7">
        <f t="shared" si="5"/>
        <v>0.23528865667450238</v>
      </c>
      <c r="K62" s="3"/>
      <c r="L62" s="8">
        <f t="shared" si="6"/>
        <v>-3426.2899999999991</v>
      </c>
      <c r="M62" s="3"/>
      <c r="N62" s="7">
        <f t="shared" si="7"/>
        <v>-0.19910046284324631</v>
      </c>
      <c r="O62" s="12"/>
      <c r="P62" s="8">
        <v>110022.04</v>
      </c>
      <c r="Q62" s="3"/>
      <c r="R62" s="7">
        <f t="shared" si="8"/>
        <v>6.1052902541119849E-2</v>
      </c>
      <c r="S62" s="3"/>
      <c r="T62" s="8">
        <v>174309.11</v>
      </c>
      <c r="U62" s="3"/>
      <c r="V62" s="7">
        <f t="shared" si="9"/>
        <v>0.37935076867182566</v>
      </c>
      <c r="W62" s="3"/>
      <c r="X62" s="8">
        <f t="shared" si="10"/>
        <v>-64287.069999999992</v>
      </c>
      <c r="Y62" s="3"/>
      <c r="Z62" s="7">
        <f t="shared" si="11"/>
        <v>-0.36881072939905435</v>
      </c>
    </row>
    <row r="63" spans="1:26" s="68" customFormat="1" ht="15" customHeight="1" outlineLevel="1" collapsed="1" x14ac:dyDescent="0.3">
      <c r="A63" s="25"/>
      <c r="B63" s="14" t="str">
        <f>CONCATENATE("     ","Employees' Appreciation                           ")</f>
        <v xml:space="preserve">     Employees' Appreciation                           </v>
      </c>
      <c r="C63" s="14"/>
      <c r="D63" s="2">
        <f>SUM(OSRRefD22_6x_0)</f>
        <v>61.45</v>
      </c>
      <c r="E63" s="2"/>
      <c r="F63" s="6">
        <f t="shared" si="4"/>
        <v>1.5219251459011064E-4</v>
      </c>
      <c r="G63" s="2"/>
      <c r="H63" s="2">
        <f>SUM(OSRRefH22_6x_0)</f>
        <v>0</v>
      </c>
      <c r="I63" s="2"/>
      <c r="J63" s="6">
        <f t="shared" si="5"/>
        <v>0</v>
      </c>
      <c r="K63" s="2"/>
      <c r="L63" s="2">
        <f t="shared" si="6"/>
        <v>61.45</v>
      </c>
      <c r="M63" s="2"/>
      <c r="N63" s="6">
        <f t="shared" si="7"/>
        <v>0</v>
      </c>
      <c r="O63" s="14"/>
      <c r="P63" s="2">
        <f>SUM(OSRRefP22_6x_0)</f>
        <v>376.32</v>
      </c>
      <c r="Q63" s="2"/>
      <c r="R63" s="6">
        <f t="shared" si="8"/>
        <v>2.0882568878266775E-4</v>
      </c>
      <c r="S63" s="2"/>
      <c r="T63" s="2">
        <f>SUM(OSRRefT22_6x_0)</f>
        <v>10</v>
      </c>
      <c r="U63" s="2"/>
      <c r="V63" s="6">
        <f t="shared" si="9"/>
        <v>2.1763106281239443E-5</v>
      </c>
      <c r="W63" s="2"/>
      <c r="X63" s="2">
        <f t="shared" si="10"/>
        <v>366.32</v>
      </c>
      <c r="Y63" s="2"/>
      <c r="Z63" s="6">
        <f t="shared" si="11"/>
        <v>36.631999999999998</v>
      </c>
    </row>
    <row r="64" spans="1:26" s="69" customFormat="1" ht="15" hidden="1" customHeight="1" outlineLevel="2" x14ac:dyDescent="0.3">
      <c r="A64" s="26"/>
      <c r="B64" s="12" t="str">
        <f>CONCATENATE("          ","6277"," - ","EMPLOYEE APPRECIATION")</f>
        <v xml:space="preserve">          6277 - EMPLOYEE APPRECIATION</v>
      </c>
      <c r="C64" s="12"/>
      <c r="D64" s="8">
        <v>61.45</v>
      </c>
      <c r="E64" s="3"/>
      <c r="F64" s="7">
        <f t="shared" si="4"/>
        <v>1.5219251459011064E-4</v>
      </c>
      <c r="G64" s="3"/>
      <c r="H64" s="8"/>
      <c r="I64" s="3"/>
      <c r="J64" s="7">
        <f t="shared" si="5"/>
        <v>0</v>
      </c>
      <c r="K64" s="3"/>
      <c r="L64" s="8">
        <f t="shared" si="6"/>
        <v>61.45</v>
      </c>
      <c r="M64" s="3"/>
      <c r="N64" s="7">
        <f t="shared" si="7"/>
        <v>0</v>
      </c>
      <c r="O64" s="12"/>
      <c r="P64" s="8">
        <v>376.32</v>
      </c>
      <c r="Q64" s="3"/>
      <c r="R64" s="7">
        <f t="shared" si="8"/>
        <v>2.0882568878266775E-4</v>
      </c>
      <c r="S64" s="3"/>
      <c r="T64" s="8">
        <v>10</v>
      </c>
      <c r="U64" s="3"/>
      <c r="V64" s="7">
        <f t="shared" si="9"/>
        <v>2.1763106281239443E-5</v>
      </c>
      <c r="W64" s="3"/>
      <c r="X64" s="8">
        <f t="shared" si="10"/>
        <v>366.32</v>
      </c>
      <c r="Y64" s="3"/>
      <c r="Z64" s="7">
        <f t="shared" si="11"/>
        <v>36.631999999999998</v>
      </c>
    </row>
    <row r="65" spans="1:26" s="68" customFormat="1" ht="15" customHeight="1" outlineLevel="1" collapsed="1" x14ac:dyDescent="0.3">
      <c r="A65" s="25"/>
      <c r="B65" s="14" t="str">
        <f>CONCATENATE("     ","Equipment Rental                                  ")</f>
        <v xml:space="preserve">     Equipment Rental                                  </v>
      </c>
      <c r="C65" s="14"/>
      <c r="D65" s="2">
        <f>SUM(OSRRefD22_7x_0)</f>
        <v>1997.37</v>
      </c>
      <c r="E65" s="2"/>
      <c r="F65" s="6">
        <f t="shared" si="4"/>
        <v>4.946863512886074E-3</v>
      </c>
      <c r="G65" s="2"/>
      <c r="H65" s="2">
        <f>SUM(OSRRefH22_7x_0)</f>
        <v>743.99</v>
      </c>
      <c r="I65" s="2"/>
      <c r="J65" s="6">
        <f t="shared" si="5"/>
        <v>1.0172231594747066E-2</v>
      </c>
      <c r="K65" s="2"/>
      <c r="L65" s="2">
        <f t="shared" si="6"/>
        <v>1253.3799999999999</v>
      </c>
      <c r="M65" s="2"/>
      <c r="N65" s="6">
        <f t="shared" si="7"/>
        <v>1.6846731810911435</v>
      </c>
      <c r="O65" s="14"/>
      <c r="P65" s="2">
        <f>SUM(OSRRefP22_7x_0)</f>
        <v>10050.709999999999</v>
      </c>
      <c r="Q65" s="2"/>
      <c r="R65" s="6">
        <f t="shared" si="8"/>
        <v>5.5772917689860925E-3</v>
      </c>
      <c r="S65" s="2"/>
      <c r="T65" s="2">
        <f>SUM(OSRRefT22_7x_0)</f>
        <v>6069.17</v>
      </c>
      <c r="U65" s="2"/>
      <c r="V65" s="6">
        <f t="shared" si="9"/>
        <v>1.3208399174891E-2</v>
      </c>
      <c r="W65" s="2"/>
      <c r="X65" s="2">
        <f t="shared" si="10"/>
        <v>3981.5399999999991</v>
      </c>
      <c r="Y65" s="2"/>
      <c r="Z65" s="6">
        <f t="shared" si="11"/>
        <v>0.65602710090506589</v>
      </c>
    </row>
    <row r="66" spans="1:26" s="69" customFormat="1" ht="15" hidden="1" customHeight="1" outlineLevel="2" x14ac:dyDescent="0.3">
      <c r="A66" s="26"/>
      <c r="B66" s="12" t="str">
        <f>CONCATENATE("          ","6351"," - ","EQUIPMENT RENTAL")</f>
        <v xml:space="preserve">          6351 - EQUIPMENT RENTAL</v>
      </c>
      <c r="C66" s="12"/>
      <c r="D66" s="8">
        <v>1997.37</v>
      </c>
      <c r="E66" s="3"/>
      <c r="F66" s="7">
        <f t="shared" si="4"/>
        <v>4.946863512886074E-3</v>
      </c>
      <c r="G66" s="3"/>
      <c r="H66" s="8">
        <v>743.99</v>
      </c>
      <c r="I66" s="3"/>
      <c r="J66" s="7">
        <f t="shared" si="5"/>
        <v>1.0172231594747066E-2</v>
      </c>
      <c r="K66" s="3"/>
      <c r="L66" s="8">
        <f t="shared" si="6"/>
        <v>1253.3799999999999</v>
      </c>
      <c r="M66" s="3"/>
      <c r="N66" s="7">
        <f t="shared" si="7"/>
        <v>1.6846731810911435</v>
      </c>
      <c r="O66" s="12"/>
      <c r="P66" s="8">
        <v>10050.709999999999</v>
      </c>
      <c r="Q66" s="3"/>
      <c r="R66" s="7">
        <f t="shared" si="8"/>
        <v>5.5772917689860925E-3</v>
      </c>
      <c r="S66" s="3"/>
      <c r="T66" s="8">
        <v>6069.17</v>
      </c>
      <c r="U66" s="3"/>
      <c r="V66" s="7">
        <f t="shared" si="9"/>
        <v>1.3208399174891E-2</v>
      </c>
      <c r="W66" s="3"/>
      <c r="X66" s="8">
        <f t="shared" si="10"/>
        <v>3981.5399999999991</v>
      </c>
      <c r="Y66" s="3"/>
      <c r="Z66" s="7">
        <f t="shared" si="11"/>
        <v>0.65602710090506589</v>
      </c>
    </row>
    <row r="67" spans="1:26" s="68" customFormat="1" ht="15" customHeight="1" outlineLevel="1" collapsed="1" x14ac:dyDescent="0.3">
      <c r="A67" s="25"/>
      <c r="B67" s="14" t="str">
        <f>CONCATENATE("     ","Freight out/Postage                               ")</f>
        <v xml:space="preserve">     Freight out/Postage                               </v>
      </c>
      <c r="C67" s="14"/>
      <c r="D67" s="2">
        <f>SUM(OSRRefD22_8x_0)</f>
        <v>0</v>
      </c>
      <c r="E67" s="2"/>
      <c r="F67" s="6">
        <f t="shared" ref="F67:F98" si="12">IF(D$12=0,0,D67/D$12)</f>
        <v>0</v>
      </c>
      <c r="G67" s="2"/>
      <c r="H67" s="2">
        <f>SUM(OSRRefH22_8x_0)</f>
        <v>33.24</v>
      </c>
      <c r="I67" s="2"/>
      <c r="J67" s="6">
        <f t="shared" ref="J67:J98" si="13">IF(H$12=0,0,H67/H$12)</f>
        <v>4.5447516527022202E-4</v>
      </c>
      <c r="K67" s="2"/>
      <c r="L67" s="2">
        <f t="shared" ref="L67:L98" si="14">+D67-H67</f>
        <v>-33.24</v>
      </c>
      <c r="M67" s="2"/>
      <c r="N67" s="6">
        <f t="shared" ref="N67:N98" si="15">IF(H67=0,0,L67/H67)</f>
        <v>-1</v>
      </c>
      <c r="O67" s="14"/>
      <c r="P67" s="2">
        <f>SUM(OSRRefP22_8x_0)</f>
        <v>0</v>
      </c>
      <c r="Q67" s="2"/>
      <c r="R67" s="6">
        <f t="shared" ref="R67:R98" si="16">IF(P$12=0,0,P67/P$12)</f>
        <v>0</v>
      </c>
      <c r="S67" s="2"/>
      <c r="T67" s="2">
        <f>SUM(OSRRefT22_8x_0)</f>
        <v>277.65000000000003</v>
      </c>
      <c r="U67" s="2"/>
      <c r="V67" s="6">
        <f t="shared" ref="V67:V98" si="17">IF(T$12=0,0,T67/T$12)</f>
        <v>6.0425264589861324E-4</v>
      </c>
      <c r="W67" s="2"/>
      <c r="X67" s="2">
        <f t="shared" ref="X67:X98" si="18">+P67-T67</f>
        <v>-277.65000000000003</v>
      </c>
      <c r="Y67" s="2"/>
      <c r="Z67" s="6">
        <f t="shared" ref="Z67:Z98" si="19">IF(T67=0,0,X67/T67)</f>
        <v>-1</v>
      </c>
    </row>
    <row r="68" spans="1:26" s="69" customFormat="1" ht="15" hidden="1" customHeight="1" outlineLevel="2" x14ac:dyDescent="0.3">
      <c r="A68" s="26"/>
      <c r="B68" s="12" t="str">
        <f>CONCATENATE("          ","6305"," - ","FREIGHT OUT")</f>
        <v xml:space="preserve">          6305 - FREIGHT OUT</v>
      </c>
      <c r="C68" s="12"/>
      <c r="D68" s="8"/>
      <c r="E68" s="3"/>
      <c r="F68" s="7">
        <f t="shared" si="12"/>
        <v>0</v>
      </c>
      <c r="G68" s="3"/>
      <c r="H68" s="8">
        <v>30.28</v>
      </c>
      <c r="I68" s="3"/>
      <c r="J68" s="7">
        <f t="shared" si="13"/>
        <v>4.1400445259874618E-4</v>
      </c>
      <c r="K68" s="3"/>
      <c r="L68" s="8">
        <f t="shared" si="14"/>
        <v>-30.28</v>
      </c>
      <c r="M68" s="3"/>
      <c r="N68" s="7">
        <f t="shared" si="15"/>
        <v>-1</v>
      </c>
      <c r="O68" s="12"/>
      <c r="P68" s="8"/>
      <c r="Q68" s="3"/>
      <c r="R68" s="7">
        <f t="shared" si="16"/>
        <v>0</v>
      </c>
      <c r="S68" s="3"/>
      <c r="T68" s="8">
        <v>280.10000000000002</v>
      </c>
      <c r="U68" s="3"/>
      <c r="V68" s="7">
        <f t="shared" si="17"/>
        <v>6.0958460693751688E-4</v>
      </c>
      <c r="W68" s="3"/>
      <c r="X68" s="8">
        <f t="shared" si="18"/>
        <v>-280.10000000000002</v>
      </c>
      <c r="Y68" s="3"/>
      <c r="Z68" s="7">
        <f t="shared" si="19"/>
        <v>-1</v>
      </c>
    </row>
    <row r="69" spans="1:26" s="69" customFormat="1" ht="15" hidden="1" customHeight="1" outlineLevel="2" x14ac:dyDescent="0.3">
      <c r="A69" s="26"/>
      <c r="B69" s="12" t="str">
        <f>CONCATENATE("          ","6307"," - ","POSTAGE")</f>
        <v xml:space="preserve">          6307 - POSTAGE</v>
      </c>
      <c r="C69" s="12"/>
      <c r="D69" s="8"/>
      <c r="E69" s="3"/>
      <c r="F69" s="7">
        <f t="shared" si="12"/>
        <v>0</v>
      </c>
      <c r="G69" s="3"/>
      <c r="H69" s="8">
        <v>2.96</v>
      </c>
      <c r="I69" s="3"/>
      <c r="J69" s="7">
        <f t="shared" si="13"/>
        <v>4.0470712671475846E-5</v>
      </c>
      <c r="K69" s="3"/>
      <c r="L69" s="8">
        <f t="shared" si="14"/>
        <v>-2.96</v>
      </c>
      <c r="M69" s="3"/>
      <c r="N69" s="7">
        <f t="shared" si="15"/>
        <v>-1</v>
      </c>
      <c r="O69" s="12"/>
      <c r="P69" s="8"/>
      <c r="Q69" s="3"/>
      <c r="R69" s="7">
        <f t="shared" si="16"/>
        <v>0</v>
      </c>
      <c r="S69" s="3"/>
      <c r="T69" s="8">
        <v>-2.4500000000000002</v>
      </c>
      <c r="U69" s="3"/>
      <c r="V69" s="7">
        <f t="shared" si="17"/>
        <v>-5.3319610389036641E-6</v>
      </c>
      <c r="W69" s="3"/>
      <c r="X69" s="8">
        <f t="shared" si="18"/>
        <v>2.4500000000000002</v>
      </c>
      <c r="Y69" s="3"/>
      <c r="Z69" s="7">
        <f t="shared" si="19"/>
        <v>-1</v>
      </c>
    </row>
    <row r="70" spans="1:26" s="68" customFormat="1" ht="15" customHeight="1" outlineLevel="1" collapsed="1" x14ac:dyDescent="0.3">
      <c r="A70" s="25"/>
      <c r="B70" s="14" t="str">
        <f>CONCATENATE("     ","General                                           ")</f>
        <v xml:space="preserve">     General                                           </v>
      </c>
      <c r="C70" s="14"/>
      <c r="D70" s="2">
        <f>SUM(OSRRefD22_9x_0)</f>
        <v>-316.45</v>
      </c>
      <c r="E70" s="2"/>
      <c r="F70" s="6">
        <f t="shared" si="12"/>
        <v>-7.8374810808853554E-4</v>
      </c>
      <c r="G70" s="2"/>
      <c r="H70" s="2">
        <f>SUM(OSRRefH22_9x_0)</f>
        <v>325</v>
      </c>
      <c r="I70" s="2"/>
      <c r="J70" s="6">
        <f t="shared" si="13"/>
        <v>4.4435748710235307E-3</v>
      </c>
      <c r="K70" s="2"/>
      <c r="L70" s="2">
        <f t="shared" si="14"/>
        <v>-641.45000000000005</v>
      </c>
      <c r="M70" s="2"/>
      <c r="N70" s="6">
        <f t="shared" si="15"/>
        <v>-1.9736923076923079</v>
      </c>
      <c r="O70" s="14"/>
      <c r="P70" s="2">
        <f>SUM(OSRRefP22_9x_0)</f>
        <v>23401.55</v>
      </c>
      <c r="Q70" s="2"/>
      <c r="R70" s="6">
        <f t="shared" si="16"/>
        <v>1.2985875843250528E-2</v>
      </c>
      <c r="S70" s="2"/>
      <c r="T70" s="2">
        <f>SUM(OSRRefT22_9x_0)</f>
        <v>11185.34</v>
      </c>
      <c r="U70" s="2"/>
      <c r="V70" s="6">
        <f t="shared" si="17"/>
        <v>2.4342774321179879E-2</v>
      </c>
      <c r="W70" s="2"/>
      <c r="X70" s="2">
        <f t="shared" si="18"/>
        <v>12216.21</v>
      </c>
      <c r="Y70" s="2"/>
      <c r="Z70" s="6">
        <f t="shared" si="19"/>
        <v>1.0921625985441659</v>
      </c>
    </row>
    <row r="71" spans="1:26" s="69" customFormat="1" ht="15" hidden="1" customHeight="1" outlineLevel="2" x14ac:dyDescent="0.3">
      <c r="A71" s="26"/>
      <c r="B71" s="12" t="str">
        <f>CONCATENATE("          ","6279"," - ","GENERAL EXPENSE")</f>
        <v xml:space="preserve">          6279 - GENERAL EXPENSE</v>
      </c>
      <c r="C71" s="12"/>
      <c r="D71" s="8">
        <v>-316.45</v>
      </c>
      <c r="E71" s="3"/>
      <c r="F71" s="7">
        <f t="shared" si="12"/>
        <v>-7.8374810808853554E-4</v>
      </c>
      <c r="G71" s="3"/>
      <c r="H71" s="8">
        <v>325</v>
      </c>
      <c r="I71" s="3"/>
      <c r="J71" s="7">
        <f t="shared" si="13"/>
        <v>4.4435748710235307E-3</v>
      </c>
      <c r="K71" s="3"/>
      <c r="L71" s="8">
        <f t="shared" si="14"/>
        <v>-641.45000000000005</v>
      </c>
      <c r="M71" s="3"/>
      <c r="N71" s="7">
        <f t="shared" si="15"/>
        <v>-1.9736923076923079</v>
      </c>
      <c r="O71" s="12"/>
      <c r="P71" s="8">
        <v>23401.55</v>
      </c>
      <c r="Q71" s="3"/>
      <c r="R71" s="7">
        <f t="shared" si="16"/>
        <v>1.2985875843250528E-2</v>
      </c>
      <c r="S71" s="3"/>
      <c r="T71" s="8">
        <v>11185.34</v>
      </c>
      <c r="U71" s="3"/>
      <c r="V71" s="7">
        <f t="shared" si="17"/>
        <v>2.4342774321179879E-2</v>
      </c>
      <c r="W71" s="3"/>
      <c r="X71" s="8">
        <f t="shared" si="18"/>
        <v>12216.21</v>
      </c>
      <c r="Y71" s="3"/>
      <c r="Z71" s="7">
        <f t="shared" si="19"/>
        <v>1.0921625985441659</v>
      </c>
    </row>
    <row r="72" spans="1:26" s="68" customFormat="1" ht="15" customHeight="1" outlineLevel="1" collapsed="1" x14ac:dyDescent="0.3">
      <c r="A72" s="25"/>
      <c r="B72" s="14" t="str">
        <f>CONCATENATE("     ","Insurance                                         ")</f>
        <v xml:space="preserve">     Insurance                                         </v>
      </c>
      <c r="C72" s="14"/>
      <c r="D72" s="2">
        <f>SUM(OSRRefD22_10x_0)</f>
        <v>6087.22</v>
      </c>
      <c r="E72" s="2"/>
      <c r="F72" s="6">
        <f t="shared" si="12"/>
        <v>1.5076148391590128E-2</v>
      </c>
      <c r="G72" s="2"/>
      <c r="H72" s="2">
        <f>SUM(OSRRefH22_10x_0)</f>
        <v>4483.67</v>
      </c>
      <c r="I72" s="2"/>
      <c r="J72" s="6">
        <f t="shared" si="13"/>
        <v>6.1303148744498687E-2</v>
      </c>
      <c r="K72" s="2"/>
      <c r="L72" s="2">
        <f t="shared" si="14"/>
        <v>1603.5500000000002</v>
      </c>
      <c r="M72" s="2"/>
      <c r="N72" s="6">
        <f t="shared" si="15"/>
        <v>0.35764228857163888</v>
      </c>
      <c r="O72" s="14"/>
      <c r="P72" s="2">
        <f>SUM(OSRRefP22_10x_0)</f>
        <v>67755.199999999997</v>
      </c>
      <c r="Q72" s="2"/>
      <c r="R72" s="6">
        <f t="shared" si="16"/>
        <v>3.7598390488433803E-2</v>
      </c>
      <c r="S72" s="2"/>
      <c r="T72" s="2">
        <f>SUM(OSRRefT22_10x_0)</f>
        <v>50948.7</v>
      </c>
      <c r="U72" s="2"/>
      <c r="V72" s="6">
        <f t="shared" si="17"/>
        <v>0.1108801972990984</v>
      </c>
      <c r="W72" s="2"/>
      <c r="X72" s="2">
        <f t="shared" si="18"/>
        <v>16806.5</v>
      </c>
      <c r="Y72" s="2"/>
      <c r="Z72" s="6">
        <f t="shared" si="19"/>
        <v>0.32987102713121241</v>
      </c>
    </row>
    <row r="73" spans="1:26" s="69" customFormat="1" ht="15" hidden="1" customHeight="1" outlineLevel="2" x14ac:dyDescent="0.3">
      <c r="A73" s="26"/>
      <c r="B73" s="12" t="str">
        <f>CONCATENATE("          ","6314"," - ","LIABILITY INSURANCE")</f>
        <v xml:space="preserve">          6314 - LIABILITY INSURANCE</v>
      </c>
      <c r="C73" s="12"/>
      <c r="D73" s="8">
        <v>6087.22</v>
      </c>
      <c r="E73" s="3"/>
      <c r="F73" s="7">
        <f t="shared" si="12"/>
        <v>1.5076148391590128E-2</v>
      </c>
      <c r="G73" s="3"/>
      <c r="H73" s="8">
        <v>4483.67</v>
      </c>
      <c r="I73" s="3"/>
      <c r="J73" s="7">
        <f t="shared" si="13"/>
        <v>6.1303148744498687E-2</v>
      </c>
      <c r="K73" s="3"/>
      <c r="L73" s="8">
        <f t="shared" si="14"/>
        <v>1603.5500000000002</v>
      </c>
      <c r="M73" s="3"/>
      <c r="N73" s="7">
        <f t="shared" si="15"/>
        <v>0.35764228857163888</v>
      </c>
      <c r="O73" s="12"/>
      <c r="P73" s="8">
        <v>67755.199999999997</v>
      </c>
      <c r="Q73" s="3"/>
      <c r="R73" s="7">
        <f t="shared" si="16"/>
        <v>3.7598390488433803E-2</v>
      </c>
      <c r="S73" s="3"/>
      <c r="T73" s="8">
        <v>50948.7</v>
      </c>
      <c r="U73" s="3"/>
      <c r="V73" s="7">
        <f t="shared" si="17"/>
        <v>0.1108801972990984</v>
      </c>
      <c r="W73" s="3"/>
      <c r="X73" s="8">
        <f t="shared" si="18"/>
        <v>16806.5</v>
      </c>
      <c r="Y73" s="3"/>
      <c r="Z73" s="7">
        <f t="shared" si="19"/>
        <v>0.32987102713121241</v>
      </c>
    </row>
    <row r="74" spans="1:26" s="68" customFormat="1" ht="15" customHeight="1" outlineLevel="1" collapsed="1" x14ac:dyDescent="0.3">
      <c r="A74" s="25"/>
      <c r="B74" s="14" t="str">
        <f>CONCATENATE("     ","Interest                                          ")</f>
        <v xml:space="preserve">     Interest                                          </v>
      </c>
      <c r="C74" s="14"/>
      <c r="D74" s="2">
        <f>SUM(OSRRefD22_11x_0)</f>
        <v>8660</v>
      </c>
      <c r="E74" s="2"/>
      <c r="F74" s="6">
        <f t="shared" si="12"/>
        <v>2.1448123292926901E-2</v>
      </c>
      <c r="G74" s="2"/>
      <c r="H74" s="2">
        <f>SUM(OSRRefH22_11x_0)</f>
        <v>9180</v>
      </c>
      <c r="I74" s="2"/>
      <c r="J74" s="6">
        <f t="shared" si="13"/>
        <v>0.12551389943383387</v>
      </c>
      <c r="K74" s="2"/>
      <c r="L74" s="2">
        <f t="shared" si="14"/>
        <v>-520</v>
      </c>
      <c r="M74" s="2"/>
      <c r="N74" s="6">
        <f t="shared" si="15"/>
        <v>-5.6644880174291937E-2</v>
      </c>
      <c r="O74" s="14"/>
      <c r="P74" s="2">
        <f>SUM(OSRRefP22_11x_0)</f>
        <v>108292</v>
      </c>
      <c r="Q74" s="2"/>
      <c r="R74" s="6">
        <f t="shared" si="16"/>
        <v>6.0092877045207951E-2</v>
      </c>
      <c r="S74" s="2"/>
      <c r="T74" s="2">
        <f>SUM(OSRRefT22_11x_0)</f>
        <v>112417</v>
      </c>
      <c r="U74" s="2"/>
      <c r="V74" s="6">
        <f t="shared" si="17"/>
        <v>0.24465431188180944</v>
      </c>
      <c r="W74" s="2"/>
      <c r="X74" s="2">
        <f t="shared" si="18"/>
        <v>-4125</v>
      </c>
      <c r="Y74" s="2"/>
      <c r="Z74" s="6">
        <f t="shared" si="19"/>
        <v>-3.6693738491509288E-2</v>
      </c>
    </row>
    <row r="75" spans="1:26" s="69" customFormat="1" ht="15" hidden="1" customHeight="1" outlineLevel="2" x14ac:dyDescent="0.3">
      <c r="A75" s="26"/>
      <c r="B75" s="12" t="str">
        <f>CONCATENATE("          ","6401"," - ","INTEREST EXPENSE")</f>
        <v xml:space="preserve">          6401 - INTEREST EXPENSE</v>
      </c>
      <c r="C75" s="12"/>
      <c r="D75" s="8">
        <v>8660</v>
      </c>
      <c r="E75" s="3"/>
      <c r="F75" s="7">
        <f t="shared" si="12"/>
        <v>2.1448123292926901E-2</v>
      </c>
      <c r="G75" s="3"/>
      <c r="H75" s="8">
        <v>9180</v>
      </c>
      <c r="I75" s="3"/>
      <c r="J75" s="7">
        <f t="shared" si="13"/>
        <v>0.12551389943383387</v>
      </c>
      <c r="K75" s="3"/>
      <c r="L75" s="8">
        <f t="shared" si="14"/>
        <v>-520</v>
      </c>
      <c r="M75" s="3"/>
      <c r="N75" s="7">
        <f t="shared" si="15"/>
        <v>-5.6644880174291937E-2</v>
      </c>
      <c r="O75" s="12"/>
      <c r="P75" s="8">
        <v>108292</v>
      </c>
      <c r="Q75" s="3"/>
      <c r="R75" s="7">
        <f t="shared" si="16"/>
        <v>6.0092877045207951E-2</v>
      </c>
      <c r="S75" s="3"/>
      <c r="T75" s="8">
        <v>112417</v>
      </c>
      <c r="U75" s="3"/>
      <c r="V75" s="7">
        <f t="shared" si="17"/>
        <v>0.24465431188180944</v>
      </c>
      <c r="W75" s="3"/>
      <c r="X75" s="8">
        <f t="shared" si="18"/>
        <v>-4125</v>
      </c>
      <c r="Y75" s="3"/>
      <c r="Z75" s="7">
        <f t="shared" si="19"/>
        <v>-3.6693738491509288E-2</v>
      </c>
    </row>
    <row r="76" spans="1:26" s="68" customFormat="1" ht="15" customHeight="1" outlineLevel="1" collapsed="1" x14ac:dyDescent="0.3">
      <c r="A76" s="25"/>
      <c r="B76" s="14" t="str">
        <f>CONCATENATE("     ","Rent                                              ")</f>
        <v xml:space="preserve">     Rent                                              </v>
      </c>
      <c r="C76" s="14"/>
      <c r="D76" s="2">
        <f>SUM(OSRRefD22_12x_0)</f>
        <v>1850</v>
      </c>
      <c r="E76" s="2"/>
      <c r="F76" s="6">
        <f t="shared" si="12"/>
        <v>4.5818739136160242E-3</v>
      </c>
      <c r="G76" s="2"/>
      <c r="H76" s="2">
        <f>SUM(OSRRefH22_12x_0)</f>
        <v>1850</v>
      </c>
      <c r="I76" s="2"/>
      <c r="J76" s="6">
        <f t="shared" si="13"/>
        <v>2.5294195419672403E-2</v>
      </c>
      <c r="K76" s="2"/>
      <c r="L76" s="2">
        <f t="shared" si="14"/>
        <v>0</v>
      </c>
      <c r="M76" s="2"/>
      <c r="N76" s="6">
        <f t="shared" si="15"/>
        <v>0</v>
      </c>
      <c r="O76" s="14"/>
      <c r="P76" s="2">
        <f>SUM(OSRRefP22_12x_0)</f>
        <v>18500</v>
      </c>
      <c r="Q76" s="2"/>
      <c r="R76" s="6">
        <f t="shared" si="16"/>
        <v>1.0265931235329914E-2</v>
      </c>
      <c r="S76" s="2"/>
      <c r="T76" s="2">
        <f>SUM(OSRRefT22_12x_0)</f>
        <v>12950</v>
      </c>
      <c r="U76" s="2"/>
      <c r="V76" s="6">
        <f t="shared" si="17"/>
        <v>2.8183222634205078E-2</v>
      </c>
      <c r="W76" s="2"/>
      <c r="X76" s="2">
        <f t="shared" si="18"/>
        <v>5550</v>
      </c>
      <c r="Y76" s="2"/>
      <c r="Z76" s="6">
        <f t="shared" si="19"/>
        <v>0.42857142857142855</v>
      </c>
    </row>
    <row r="77" spans="1:26" s="69" customFormat="1" ht="15" hidden="1" customHeight="1" outlineLevel="2" x14ac:dyDescent="0.3">
      <c r="A77" s="26"/>
      <c r="B77" s="12" t="str">
        <f>CONCATENATE("          ","6273"," - ","RENT")</f>
        <v xml:space="preserve">          6273 - RENT</v>
      </c>
      <c r="C77" s="12"/>
      <c r="D77" s="8">
        <v>1850</v>
      </c>
      <c r="E77" s="3"/>
      <c r="F77" s="7">
        <f t="shared" si="12"/>
        <v>4.5818739136160242E-3</v>
      </c>
      <c r="G77" s="3"/>
      <c r="H77" s="8">
        <v>1850</v>
      </c>
      <c r="I77" s="3"/>
      <c r="J77" s="7">
        <f t="shared" si="13"/>
        <v>2.5294195419672403E-2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>
        <v>18500</v>
      </c>
      <c r="Q77" s="3"/>
      <c r="R77" s="7">
        <f t="shared" si="16"/>
        <v>1.0265931235329914E-2</v>
      </c>
      <c r="S77" s="3"/>
      <c r="T77" s="8">
        <v>12950</v>
      </c>
      <c r="U77" s="3"/>
      <c r="V77" s="7">
        <f t="shared" si="17"/>
        <v>2.8183222634205078E-2</v>
      </c>
      <c r="W77" s="3"/>
      <c r="X77" s="8">
        <f t="shared" si="18"/>
        <v>5550</v>
      </c>
      <c r="Y77" s="3"/>
      <c r="Z77" s="7">
        <f t="shared" si="19"/>
        <v>0.42857142857142855</v>
      </c>
    </row>
    <row r="78" spans="1:26" s="68" customFormat="1" ht="15" customHeight="1" outlineLevel="1" collapsed="1" x14ac:dyDescent="0.3">
      <c r="A78" s="25"/>
      <c r="B78" s="14" t="str">
        <f>CONCATENATE("     ","Repair and Maintenance                            ")</f>
        <v xml:space="preserve">     Repair and Maintenance                            </v>
      </c>
      <c r="C78" s="14"/>
      <c r="D78" s="2">
        <f>SUM(OSRRefD22_13x_0)</f>
        <v>17886.07</v>
      </c>
      <c r="E78" s="2"/>
      <c r="F78" s="6">
        <f t="shared" si="12"/>
        <v>4.4298225702762248E-2</v>
      </c>
      <c r="G78" s="2"/>
      <c r="H78" s="2">
        <f>SUM(OSRRefH22_13x_0)</f>
        <v>2052.63</v>
      </c>
      <c r="I78" s="2"/>
      <c r="J78" s="6">
        <f t="shared" si="13"/>
        <v>2.806466180772009E-2</v>
      </c>
      <c r="K78" s="2"/>
      <c r="L78" s="2">
        <f t="shared" si="14"/>
        <v>15833.439999999999</v>
      </c>
      <c r="M78" s="2"/>
      <c r="N78" s="6">
        <f t="shared" si="15"/>
        <v>7.7137331131280344</v>
      </c>
      <c r="O78" s="14"/>
      <c r="P78" s="2">
        <f>SUM(OSRRefP22_13x_0)</f>
        <v>90412.23</v>
      </c>
      <c r="Q78" s="2"/>
      <c r="R78" s="6">
        <f t="shared" si="16"/>
        <v>5.0171120865558499E-2</v>
      </c>
      <c r="S78" s="2"/>
      <c r="T78" s="2">
        <f>SUM(OSRRefT22_13x_0)</f>
        <v>46732.959999999999</v>
      </c>
      <c r="U78" s="2"/>
      <c r="V78" s="6">
        <f t="shared" si="17"/>
        <v>0.10170543753169116</v>
      </c>
      <c r="W78" s="2"/>
      <c r="X78" s="2">
        <f t="shared" si="18"/>
        <v>43679.27</v>
      </c>
      <c r="Y78" s="2"/>
      <c r="Z78" s="6">
        <f t="shared" si="19"/>
        <v>0.9346566106662193</v>
      </c>
    </row>
    <row r="79" spans="1:26" s="69" customFormat="1" ht="15" hidden="1" customHeight="1" outlineLevel="2" x14ac:dyDescent="0.3">
      <c r="A79" s="26"/>
      <c r="B79" s="12" t="str">
        <f>CONCATENATE("          ","6371"," - ","COMPUTER SOFTWARE MAINTENANCE")</f>
        <v xml:space="preserve">          6371 - COMPUTER SOFTWARE MAINTENANCE</v>
      </c>
      <c r="C79" s="12"/>
      <c r="D79" s="8">
        <v>8966.19</v>
      </c>
      <c r="E79" s="3"/>
      <c r="F79" s="7">
        <f t="shared" si="12"/>
        <v>2.2206460575959385E-2</v>
      </c>
      <c r="G79" s="3"/>
      <c r="H79" s="8"/>
      <c r="I79" s="3"/>
      <c r="J79" s="7">
        <f t="shared" si="13"/>
        <v>0</v>
      </c>
      <c r="K79" s="3"/>
      <c r="L79" s="8">
        <f t="shared" si="14"/>
        <v>8966.19</v>
      </c>
      <c r="M79" s="3"/>
      <c r="N79" s="7">
        <f t="shared" si="15"/>
        <v>0</v>
      </c>
      <c r="O79" s="12"/>
      <c r="P79" s="8">
        <v>16567.060000000001</v>
      </c>
      <c r="Q79" s="3"/>
      <c r="R79" s="7">
        <f t="shared" si="16"/>
        <v>9.1933134449505311E-3</v>
      </c>
      <c r="S79" s="3"/>
      <c r="T79" s="8">
        <v>702.27</v>
      </c>
      <c r="U79" s="3"/>
      <c r="V79" s="7">
        <f t="shared" si="17"/>
        <v>1.5283576648126025E-3</v>
      </c>
      <c r="W79" s="3"/>
      <c r="X79" s="8">
        <f t="shared" si="18"/>
        <v>15864.79</v>
      </c>
      <c r="Y79" s="3"/>
      <c r="Z79" s="7">
        <f t="shared" si="19"/>
        <v>22.590727213180116</v>
      </c>
    </row>
    <row r="80" spans="1:26" s="69" customFormat="1" ht="15" hidden="1" customHeight="1" outlineLevel="2" x14ac:dyDescent="0.3">
      <c r="A80" s="26"/>
      <c r="B80" s="12" t="str">
        <f>CONCATENATE("          ","6372"," - ","COMPUTER HARDWARE MAINTENANCE")</f>
        <v xml:space="preserve">          6372 - COMPUTER HARDWARE MAINTENANCE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100</v>
      </c>
      <c r="U80" s="3"/>
      <c r="V80" s="7">
        <f t="shared" si="17"/>
        <v>2.1763106281239445E-4</v>
      </c>
      <c r="W80" s="3"/>
      <c r="X80" s="8">
        <f t="shared" si="18"/>
        <v>-100</v>
      </c>
      <c r="Y80" s="3"/>
      <c r="Z80" s="7">
        <f t="shared" si="19"/>
        <v>-1</v>
      </c>
    </row>
    <row r="81" spans="1:26" s="69" customFormat="1" ht="15" hidden="1" customHeight="1" outlineLevel="2" x14ac:dyDescent="0.3">
      <c r="A81" s="26"/>
      <c r="B81" s="12" t="str">
        <f>CONCATENATE("          ","6373"," - ","MAINTENANCE CONTRACTS")</f>
        <v xml:space="preserve">          6373 - MAINTENANCE CONTRACTS</v>
      </c>
      <c r="C81" s="12"/>
      <c r="D81" s="8">
        <v>-4.3499999999999996</v>
      </c>
      <c r="E81" s="3"/>
      <c r="F81" s="7">
        <f t="shared" si="12"/>
        <v>-1.0773595418502543E-5</v>
      </c>
      <c r="G81" s="3"/>
      <c r="H81" s="8"/>
      <c r="I81" s="3"/>
      <c r="J81" s="7">
        <f t="shared" si="13"/>
        <v>0</v>
      </c>
      <c r="K81" s="3"/>
      <c r="L81" s="8">
        <f t="shared" si="14"/>
        <v>-4.3499999999999996</v>
      </c>
      <c r="M81" s="3"/>
      <c r="N81" s="7">
        <f t="shared" si="15"/>
        <v>0</v>
      </c>
      <c r="O81" s="12"/>
      <c r="P81" s="8">
        <v>17559</v>
      </c>
      <c r="Q81" s="3"/>
      <c r="R81" s="7">
        <f t="shared" si="16"/>
        <v>9.7437560303328622E-3</v>
      </c>
      <c r="S81" s="3"/>
      <c r="T81" s="8">
        <v>19481.849999999999</v>
      </c>
      <c r="U81" s="3"/>
      <c r="V81" s="7">
        <f t="shared" si="17"/>
        <v>4.2398557210516462E-2</v>
      </c>
      <c r="W81" s="3"/>
      <c r="X81" s="8">
        <f t="shared" si="18"/>
        <v>-1922.8499999999985</v>
      </c>
      <c r="Y81" s="3"/>
      <c r="Z81" s="7">
        <f t="shared" si="19"/>
        <v>-9.8699558820132524E-2</v>
      </c>
    </row>
    <row r="82" spans="1:26" s="69" customFormat="1" ht="15" hidden="1" customHeight="1" outlineLevel="2" x14ac:dyDescent="0.3">
      <c r="A82" s="26"/>
      <c r="B82" s="12" t="str">
        <f>CONCATENATE("          ","6375"," - ","OUTSIDE REPAIRS &amp; MAINTENANCE")</f>
        <v xml:space="preserve">          6375 - OUTSIDE REPAIRS &amp; MAINTENANCE</v>
      </c>
      <c r="C82" s="12"/>
      <c r="D82" s="8">
        <v>8924.23</v>
      </c>
      <c r="E82" s="3"/>
      <c r="F82" s="7">
        <f t="shared" si="12"/>
        <v>2.2102538722221367E-2</v>
      </c>
      <c r="G82" s="3"/>
      <c r="H82" s="8">
        <v>2052.63</v>
      </c>
      <c r="I82" s="3"/>
      <c r="J82" s="7">
        <f t="shared" si="13"/>
        <v>2.806466180772009E-2</v>
      </c>
      <c r="K82" s="3"/>
      <c r="L82" s="8">
        <f t="shared" si="14"/>
        <v>6871.5999999999995</v>
      </c>
      <c r="M82" s="3"/>
      <c r="N82" s="7">
        <f t="shared" si="15"/>
        <v>3.3477051392603632</v>
      </c>
      <c r="O82" s="12"/>
      <c r="P82" s="8">
        <v>56286.17</v>
      </c>
      <c r="Q82" s="3"/>
      <c r="R82" s="7">
        <f t="shared" si="16"/>
        <v>3.123405139027511E-2</v>
      </c>
      <c r="S82" s="3"/>
      <c r="T82" s="8">
        <v>26448.84</v>
      </c>
      <c r="U82" s="3"/>
      <c r="V82" s="7">
        <f t="shared" si="17"/>
        <v>5.7560891593549705E-2</v>
      </c>
      <c r="W82" s="3"/>
      <c r="X82" s="8">
        <f t="shared" si="18"/>
        <v>29837.329999999998</v>
      </c>
      <c r="Y82" s="3"/>
      <c r="Z82" s="7">
        <f t="shared" si="19"/>
        <v>1.1281148814087876</v>
      </c>
    </row>
    <row r="83" spans="1:26" s="68" customFormat="1" ht="15" customHeight="1" outlineLevel="1" collapsed="1" x14ac:dyDescent="0.3">
      <c r="A83" s="25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2">
        <f>SUM(OSRRefD22_14x_0)</f>
        <v>6212.86</v>
      </c>
      <c r="E83" s="2"/>
      <c r="F83" s="6">
        <f t="shared" si="12"/>
        <v>1.5387319547539703E-2</v>
      </c>
      <c r="G83" s="2"/>
      <c r="H83" s="2">
        <f>SUM(OSRRefH22_14x_0)</f>
        <v>0</v>
      </c>
      <c r="I83" s="2"/>
      <c r="J83" s="6">
        <f t="shared" si="13"/>
        <v>0</v>
      </c>
      <c r="K83" s="2"/>
      <c r="L83" s="2">
        <f t="shared" si="14"/>
        <v>6212.86</v>
      </c>
      <c r="M83" s="2"/>
      <c r="N83" s="6">
        <f t="shared" si="15"/>
        <v>0</v>
      </c>
      <c r="O83" s="14"/>
      <c r="P83" s="2">
        <f>SUM(OSRRefP22_14x_0)</f>
        <v>10430.57</v>
      </c>
      <c r="Q83" s="2"/>
      <c r="R83" s="6">
        <f t="shared" si="16"/>
        <v>5.7880818575835212E-3</v>
      </c>
      <c r="S83" s="2"/>
      <c r="T83" s="2">
        <f>SUM(OSRRefT22_14x_0)</f>
        <v>185.7</v>
      </c>
      <c r="U83" s="2"/>
      <c r="V83" s="6">
        <f t="shared" si="17"/>
        <v>4.0414088364261642E-4</v>
      </c>
      <c r="W83" s="2"/>
      <c r="X83" s="2">
        <f t="shared" si="18"/>
        <v>10244.869999999999</v>
      </c>
      <c r="Y83" s="2"/>
      <c r="Z83" s="6">
        <f t="shared" si="19"/>
        <v>55.168928379106084</v>
      </c>
    </row>
    <row r="84" spans="1:26" s="69" customFormat="1" ht="15" hidden="1" customHeight="1" outlineLevel="2" x14ac:dyDescent="0.3">
      <c r="A84" s="26"/>
      <c r="B84" s="12" t="str">
        <f>CONCATENATE("          ","6254"," - ","ROYALTY &amp; COMMISSIONS")</f>
        <v xml:space="preserve">          6254 - ROYALTY &amp; COMMISSIONS</v>
      </c>
      <c r="C84" s="12"/>
      <c r="D84" s="8">
        <v>6212.86</v>
      </c>
      <c r="E84" s="3"/>
      <c r="F84" s="7">
        <f t="shared" si="12"/>
        <v>1.5387319547539703E-2</v>
      </c>
      <c r="G84" s="3"/>
      <c r="H84" s="8"/>
      <c r="I84" s="3"/>
      <c r="J84" s="7">
        <f t="shared" si="13"/>
        <v>0</v>
      </c>
      <c r="K84" s="3"/>
      <c r="L84" s="8">
        <f t="shared" si="14"/>
        <v>6212.86</v>
      </c>
      <c r="M84" s="3"/>
      <c r="N84" s="7">
        <f t="shared" si="15"/>
        <v>0</v>
      </c>
      <c r="O84" s="12"/>
      <c r="P84" s="8">
        <v>10430.57</v>
      </c>
      <c r="Q84" s="3"/>
      <c r="R84" s="7">
        <f t="shared" si="16"/>
        <v>5.7880818575835212E-3</v>
      </c>
      <c r="S84" s="3"/>
      <c r="T84" s="8">
        <v>185.7</v>
      </c>
      <c r="U84" s="3"/>
      <c r="V84" s="7">
        <f t="shared" si="17"/>
        <v>4.0414088364261642E-4</v>
      </c>
      <c r="W84" s="3"/>
      <c r="X84" s="8">
        <f t="shared" si="18"/>
        <v>10244.869999999999</v>
      </c>
      <c r="Y84" s="3"/>
      <c r="Z84" s="7">
        <f t="shared" si="19"/>
        <v>55.168928379106084</v>
      </c>
    </row>
    <row r="85" spans="1:26" s="68" customFormat="1" ht="15" customHeight="1" outlineLevel="1" collapsed="1" x14ac:dyDescent="0.3">
      <c r="A85" s="25"/>
      <c r="B85" s="14" t="str">
        <f>CONCATENATE("     ","Services                                          ")</f>
        <v xml:space="preserve">     Services                                          </v>
      </c>
      <c r="C85" s="14"/>
      <c r="D85" s="2">
        <f>SUM(OSRRefD22_15x_0)</f>
        <v>8252.16</v>
      </c>
      <c r="E85" s="2"/>
      <c r="F85" s="6">
        <f t="shared" si="12"/>
        <v>2.0438030613505735E-2</v>
      </c>
      <c r="G85" s="2"/>
      <c r="H85" s="2">
        <f>SUM(OSRRefH22_15x_0)</f>
        <v>10905.37</v>
      </c>
      <c r="I85" s="2"/>
      <c r="J85" s="6">
        <f t="shared" si="13"/>
        <v>0.14910408643450426</v>
      </c>
      <c r="K85" s="2"/>
      <c r="L85" s="2">
        <f t="shared" si="14"/>
        <v>-2653.2100000000009</v>
      </c>
      <c r="M85" s="2"/>
      <c r="N85" s="6">
        <f t="shared" si="15"/>
        <v>-0.24329390016111335</v>
      </c>
      <c r="O85" s="14"/>
      <c r="P85" s="2">
        <f>SUM(OSRRefP22_15x_0)</f>
        <v>80560.73</v>
      </c>
      <c r="Q85" s="2"/>
      <c r="R85" s="6">
        <f t="shared" si="16"/>
        <v>4.4704373753944843E-2</v>
      </c>
      <c r="S85" s="2"/>
      <c r="T85" s="2">
        <f>SUM(OSRRefT22_15x_0)</f>
        <v>57327.439999999995</v>
      </c>
      <c r="U85" s="2"/>
      <c r="V85" s="6">
        <f t="shared" si="17"/>
        <v>0.12476231695513772</v>
      </c>
      <c r="W85" s="2"/>
      <c r="X85" s="2">
        <f t="shared" si="18"/>
        <v>23233.29</v>
      </c>
      <c r="Y85" s="2"/>
      <c r="Z85" s="6">
        <f t="shared" si="19"/>
        <v>0.40527346066735237</v>
      </c>
    </row>
    <row r="86" spans="1:26" s="69" customFormat="1" ht="15" hidden="1" customHeight="1" outlineLevel="2" x14ac:dyDescent="0.3">
      <c r="A86" s="26"/>
      <c r="B86" s="12" t="str">
        <f>CONCATENATE("          ","6282"," - ","JANITORIAL/EXTERMINATOR EXPENS")</f>
        <v xml:space="preserve">          6282 - JANITORIAL/EXTERMINATOR EXPENS</v>
      </c>
      <c r="C86" s="12"/>
      <c r="D86" s="8">
        <v>2189.9499999999998</v>
      </c>
      <c r="E86" s="3"/>
      <c r="F86" s="7">
        <f t="shared" si="12"/>
        <v>5.4238242038504927E-3</v>
      </c>
      <c r="G86" s="3"/>
      <c r="H86" s="8">
        <v>1861.85</v>
      </c>
      <c r="I86" s="3"/>
      <c r="J86" s="7">
        <f t="shared" si="13"/>
        <v>2.5456214995738954E-2</v>
      </c>
      <c r="K86" s="3"/>
      <c r="L86" s="8">
        <f t="shared" si="14"/>
        <v>328.09999999999991</v>
      </c>
      <c r="M86" s="3"/>
      <c r="N86" s="7">
        <f t="shared" si="15"/>
        <v>0.17622257432123958</v>
      </c>
      <c r="O86" s="12"/>
      <c r="P86" s="8">
        <v>14741.96</v>
      </c>
      <c r="Q86" s="3"/>
      <c r="R86" s="7">
        <f t="shared" si="16"/>
        <v>8.1805377099450904E-3</v>
      </c>
      <c r="S86" s="3"/>
      <c r="T86" s="8">
        <v>12202.24</v>
      </c>
      <c r="U86" s="3"/>
      <c r="V86" s="7">
        <f t="shared" si="17"/>
        <v>2.6555864598919118E-2</v>
      </c>
      <c r="W86" s="3"/>
      <c r="X86" s="8">
        <f t="shared" si="18"/>
        <v>2539.7199999999993</v>
      </c>
      <c r="Y86" s="3"/>
      <c r="Z86" s="7">
        <f t="shared" si="19"/>
        <v>0.20813555543900131</v>
      </c>
    </row>
    <row r="87" spans="1:26" s="69" customFormat="1" ht="15" hidden="1" customHeight="1" outlineLevel="2" x14ac:dyDescent="0.3">
      <c r="A87" s="26"/>
      <c r="B87" s="12" t="str">
        <f>CONCATENATE("          ","6284"," - ","TRASH REMOVAL EXPENSE")</f>
        <v xml:space="preserve">          6284 - TRASH REMOVAL EXPENSE</v>
      </c>
      <c r="C87" s="12"/>
      <c r="D87" s="8"/>
      <c r="E87" s="3"/>
      <c r="F87" s="7">
        <f t="shared" si="12"/>
        <v>0</v>
      </c>
      <c r="G87" s="3"/>
      <c r="H87" s="8">
        <v>5658</v>
      </c>
      <c r="I87" s="3"/>
      <c r="J87" s="7">
        <f t="shared" si="13"/>
        <v>7.7359220370003492E-2</v>
      </c>
      <c r="K87" s="3"/>
      <c r="L87" s="8">
        <f t="shared" si="14"/>
        <v>-5658</v>
      </c>
      <c r="M87" s="3"/>
      <c r="N87" s="7">
        <f t="shared" si="15"/>
        <v>-1</v>
      </c>
      <c r="O87" s="12"/>
      <c r="P87" s="8"/>
      <c r="Q87" s="3"/>
      <c r="R87" s="7">
        <f t="shared" si="16"/>
        <v>0</v>
      </c>
      <c r="S87" s="3"/>
      <c r="T87" s="8">
        <v>27176</v>
      </c>
      <c r="U87" s="3"/>
      <c r="V87" s="7">
        <f t="shared" si="17"/>
        <v>5.9143417629896312E-2</v>
      </c>
      <c r="W87" s="3"/>
      <c r="X87" s="8">
        <f t="shared" si="18"/>
        <v>-27176</v>
      </c>
      <c r="Y87" s="3"/>
      <c r="Z87" s="7">
        <f t="shared" si="19"/>
        <v>-1</v>
      </c>
    </row>
    <row r="88" spans="1:26" s="69" customFormat="1" ht="15" hidden="1" customHeight="1" outlineLevel="2" x14ac:dyDescent="0.3">
      <c r="A88" s="26"/>
      <c r="B88" s="12" t="str">
        <f>CONCATENATE("          ","6285"," - ","JANITORIAL SERVICES")</f>
        <v xml:space="preserve">          6285 - JANITORIAL SERVICES</v>
      </c>
      <c r="C88" s="12"/>
      <c r="D88" s="8">
        <v>4101.2</v>
      </c>
      <c r="E88" s="3"/>
      <c r="F88" s="7">
        <f t="shared" si="12"/>
        <v>1.0157395294336236E-2</v>
      </c>
      <c r="G88" s="3"/>
      <c r="H88" s="8">
        <v>3385.52</v>
      </c>
      <c r="I88" s="3"/>
      <c r="J88" s="7">
        <f t="shared" si="13"/>
        <v>4.6288651068761795E-2</v>
      </c>
      <c r="K88" s="3"/>
      <c r="L88" s="8">
        <f t="shared" si="14"/>
        <v>715.67999999999984</v>
      </c>
      <c r="M88" s="3"/>
      <c r="N88" s="7">
        <f t="shared" si="15"/>
        <v>0.2113944091306505</v>
      </c>
      <c r="O88" s="12"/>
      <c r="P88" s="8">
        <v>59648.22</v>
      </c>
      <c r="Q88" s="3"/>
      <c r="R88" s="7">
        <f t="shared" si="16"/>
        <v>3.3099704044855703E-2</v>
      </c>
      <c r="S88" s="3"/>
      <c r="T88" s="8">
        <v>17044.490000000002</v>
      </c>
      <c r="U88" s="3"/>
      <c r="V88" s="7">
        <f t="shared" si="17"/>
        <v>3.7094104737952292E-2</v>
      </c>
      <c r="W88" s="3"/>
      <c r="X88" s="8">
        <f t="shared" si="18"/>
        <v>42603.729999999996</v>
      </c>
      <c r="Y88" s="3"/>
      <c r="Z88" s="7">
        <f t="shared" si="19"/>
        <v>2.4995602684503901</v>
      </c>
    </row>
    <row r="89" spans="1:26" s="69" customFormat="1" ht="15" hidden="1" customHeight="1" outlineLevel="2" x14ac:dyDescent="0.3">
      <c r="A89" s="26"/>
      <c r="B89" s="12" t="str">
        <f>CONCATENATE("          ","6286"," - ","LAUNDRY EXPENSE")</f>
        <v xml:space="preserve">          6286 - LAUNDRY EXPENSE</v>
      </c>
      <c r="C89" s="12"/>
      <c r="D89" s="8">
        <v>1961.01</v>
      </c>
      <c r="E89" s="3"/>
      <c r="F89" s="7">
        <f t="shared" si="12"/>
        <v>4.8568111153190052E-3</v>
      </c>
      <c r="G89" s="3"/>
      <c r="H89" s="8"/>
      <c r="I89" s="3"/>
      <c r="J89" s="7">
        <f t="shared" si="13"/>
        <v>0</v>
      </c>
      <c r="K89" s="3"/>
      <c r="L89" s="8">
        <f t="shared" si="14"/>
        <v>1961.01</v>
      </c>
      <c r="M89" s="3"/>
      <c r="N89" s="7">
        <f t="shared" si="15"/>
        <v>0</v>
      </c>
      <c r="O89" s="12"/>
      <c r="P89" s="8">
        <v>6170.55</v>
      </c>
      <c r="Q89" s="3"/>
      <c r="R89" s="7">
        <f t="shared" si="16"/>
        <v>3.4241319991440543E-3</v>
      </c>
      <c r="S89" s="3"/>
      <c r="T89" s="8">
        <v>904.71</v>
      </c>
      <c r="U89" s="3"/>
      <c r="V89" s="7">
        <f t="shared" si="17"/>
        <v>1.9689299883700138E-3</v>
      </c>
      <c r="W89" s="3"/>
      <c r="X89" s="8">
        <f t="shared" si="18"/>
        <v>5265.84</v>
      </c>
      <c r="Y89" s="3"/>
      <c r="Z89" s="7">
        <f t="shared" si="19"/>
        <v>5.820472858706105</v>
      </c>
    </row>
    <row r="90" spans="1:26" s="68" customFormat="1" ht="15" customHeight="1" outlineLevel="1" collapsed="1" x14ac:dyDescent="0.3">
      <c r="A90" s="25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2">
        <f>SUM(OSRRefD22_16x_0)</f>
        <v>560.5</v>
      </c>
      <c r="E90" s="2"/>
      <c r="F90" s="6">
        <f t="shared" si="12"/>
        <v>1.3881839613955576E-3</v>
      </c>
      <c r="G90" s="2"/>
      <c r="H90" s="2">
        <f>SUM(OSRRefH22_16x_0)</f>
        <v>0</v>
      </c>
      <c r="I90" s="2"/>
      <c r="J90" s="6">
        <f t="shared" si="13"/>
        <v>0</v>
      </c>
      <c r="K90" s="2"/>
      <c r="L90" s="2">
        <f t="shared" si="14"/>
        <v>560.5</v>
      </c>
      <c r="M90" s="2"/>
      <c r="N90" s="6">
        <f t="shared" si="15"/>
        <v>0</v>
      </c>
      <c r="O90" s="14"/>
      <c r="P90" s="2">
        <f>SUM(OSRRefP22_16x_0)</f>
        <v>6407.4</v>
      </c>
      <c r="Q90" s="2"/>
      <c r="R90" s="6">
        <f t="shared" si="16"/>
        <v>3.5555636647163725E-3</v>
      </c>
      <c r="S90" s="2"/>
      <c r="T90" s="2">
        <f>SUM(OSRRefT22_16x_0)</f>
        <v>916.08</v>
      </c>
      <c r="U90" s="2"/>
      <c r="V90" s="6">
        <f t="shared" si="17"/>
        <v>1.9936746402117829E-3</v>
      </c>
      <c r="W90" s="2"/>
      <c r="X90" s="2">
        <f t="shared" si="18"/>
        <v>5491.32</v>
      </c>
      <c r="Y90" s="2"/>
      <c r="Z90" s="6">
        <f t="shared" si="19"/>
        <v>5.9943673041655741</v>
      </c>
    </row>
    <row r="91" spans="1:26" s="69" customFormat="1" ht="15" hidden="1" customHeight="1" outlineLevel="2" x14ac:dyDescent="0.3">
      <c r="A91" s="26"/>
      <c r="B91" s="12" t="str">
        <f>CONCATENATE("          ","6275"," - ","SUBSCRIPTIONS")</f>
        <v xml:space="preserve">          6275 - SUBSCRIPTIONS</v>
      </c>
      <c r="C91" s="12"/>
      <c r="D91" s="8">
        <v>560.5</v>
      </c>
      <c r="E91" s="3"/>
      <c r="F91" s="7">
        <f t="shared" si="12"/>
        <v>1.3881839613955576E-3</v>
      </c>
      <c r="G91" s="3"/>
      <c r="H91" s="8"/>
      <c r="I91" s="3"/>
      <c r="J91" s="7">
        <f t="shared" si="13"/>
        <v>0</v>
      </c>
      <c r="K91" s="3"/>
      <c r="L91" s="8">
        <f t="shared" si="14"/>
        <v>560.5</v>
      </c>
      <c r="M91" s="3"/>
      <c r="N91" s="7">
        <f t="shared" si="15"/>
        <v>0</v>
      </c>
      <c r="O91" s="12"/>
      <c r="P91" s="8">
        <v>6407.4</v>
      </c>
      <c r="Q91" s="3"/>
      <c r="R91" s="7">
        <f t="shared" si="16"/>
        <v>3.5555636647163725E-3</v>
      </c>
      <c r="S91" s="3"/>
      <c r="T91" s="8">
        <v>916.08</v>
      </c>
      <c r="U91" s="3"/>
      <c r="V91" s="7">
        <f t="shared" si="17"/>
        <v>1.9936746402117829E-3</v>
      </c>
      <c r="W91" s="3"/>
      <c r="X91" s="8">
        <f t="shared" si="18"/>
        <v>5491.32</v>
      </c>
      <c r="Y91" s="3"/>
      <c r="Z91" s="7">
        <f t="shared" si="19"/>
        <v>5.9943673041655741</v>
      </c>
    </row>
    <row r="92" spans="1:26" s="68" customFormat="1" ht="15" customHeight="1" outlineLevel="1" collapsed="1" x14ac:dyDescent="0.3">
      <c r="A92" s="25"/>
      <c r="B92" s="14" t="str">
        <f>CONCATENATE("     ","Supplies                                          ")</f>
        <v xml:space="preserve">     Supplies                                          </v>
      </c>
      <c r="C92" s="14"/>
      <c r="D92" s="2">
        <f>SUM(OSRRefD22_17x_0)</f>
        <v>3918.37</v>
      </c>
      <c r="E92" s="2"/>
      <c r="F92" s="6">
        <f t="shared" si="12"/>
        <v>9.7045823172408757E-3</v>
      </c>
      <c r="G92" s="2"/>
      <c r="H92" s="2">
        <f>SUM(OSRRefH22_17x_0)</f>
        <v>627.34</v>
      </c>
      <c r="I92" s="2"/>
      <c r="J92" s="6">
        <f t="shared" si="13"/>
        <v>8.5773300295012359E-3</v>
      </c>
      <c r="K92" s="2"/>
      <c r="L92" s="2">
        <f t="shared" si="14"/>
        <v>3291.0299999999997</v>
      </c>
      <c r="M92" s="2"/>
      <c r="N92" s="6">
        <f t="shared" si="15"/>
        <v>5.246006949979277</v>
      </c>
      <c r="O92" s="14"/>
      <c r="P92" s="2">
        <f>SUM(OSRRefP22_17x_0)</f>
        <v>39271.649999999994</v>
      </c>
      <c r="Q92" s="2"/>
      <c r="R92" s="6">
        <f t="shared" si="16"/>
        <v>2.1792435589078053E-2</v>
      </c>
      <c r="S92" s="2"/>
      <c r="T92" s="2">
        <f>SUM(OSRRefT22_17x_0)</f>
        <v>-19530.510000000002</v>
      </c>
      <c r="U92" s="2"/>
      <c r="V92" s="6">
        <f t="shared" si="17"/>
        <v>-4.2504456485680985E-2</v>
      </c>
      <c r="W92" s="2"/>
      <c r="X92" s="2">
        <f t="shared" si="18"/>
        <v>58802.159999999996</v>
      </c>
      <c r="Y92" s="2"/>
      <c r="Z92" s="6">
        <f t="shared" si="19"/>
        <v>-3.0107846646093721</v>
      </c>
    </row>
    <row r="93" spans="1:26" s="69" customFormat="1" ht="15" hidden="1" customHeight="1" outlineLevel="2" x14ac:dyDescent="0.3">
      <c r="A93" s="26"/>
      <c r="B93" s="12" t="str">
        <f>CONCATENATE("          ","6234"," - ","EXPENDABLE SUPPLIES &amp; EQUIPMEN")</f>
        <v xml:space="preserve">          6234 - EXPENDABLE SUPPLIES &amp; EQUIPMEN</v>
      </c>
      <c r="C93" s="12"/>
      <c r="D93" s="8">
        <v>175.34</v>
      </c>
      <c r="E93" s="3"/>
      <c r="F93" s="7">
        <f t="shared" si="12"/>
        <v>4.342625794667209E-4</v>
      </c>
      <c r="G93" s="3"/>
      <c r="H93" s="8">
        <v>26.25</v>
      </c>
      <c r="I93" s="3"/>
      <c r="J93" s="7">
        <f t="shared" si="13"/>
        <v>3.5890412419805441E-4</v>
      </c>
      <c r="K93" s="3"/>
      <c r="L93" s="8">
        <f t="shared" si="14"/>
        <v>149.09</v>
      </c>
      <c r="M93" s="3"/>
      <c r="N93" s="7">
        <f t="shared" si="15"/>
        <v>5.679619047619048</v>
      </c>
      <c r="O93" s="12"/>
      <c r="P93" s="8">
        <v>1536.73</v>
      </c>
      <c r="Q93" s="3"/>
      <c r="R93" s="7">
        <f t="shared" si="16"/>
        <v>8.5275483823073184E-4</v>
      </c>
      <c r="S93" s="3"/>
      <c r="T93" s="8">
        <v>653.83000000000004</v>
      </c>
      <c r="U93" s="3"/>
      <c r="V93" s="7">
        <f t="shared" si="17"/>
        <v>1.4229371779862787E-3</v>
      </c>
      <c r="W93" s="3"/>
      <c r="X93" s="8">
        <f t="shared" si="18"/>
        <v>882.9</v>
      </c>
      <c r="Y93" s="3"/>
      <c r="Z93" s="7">
        <f t="shared" si="19"/>
        <v>1.3503510086719788</v>
      </c>
    </row>
    <row r="94" spans="1:26" s="69" customFormat="1" ht="15" hidden="1" customHeight="1" outlineLevel="2" x14ac:dyDescent="0.3">
      <c r="A94" s="26"/>
      <c r="B94" s="12" t="str">
        <f>CONCATENATE("          ","6235"," - ","COVID-19 EXPENSES")</f>
        <v xml:space="preserve">          6235 - COVID-19 EXPENSES</v>
      </c>
      <c r="C94" s="12"/>
      <c r="D94" s="8"/>
      <c r="E94" s="3"/>
      <c r="F94" s="7">
        <f t="shared" si="12"/>
        <v>0</v>
      </c>
      <c r="G94" s="3"/>
      <c r="H94" s="8">
        <v>65.45</v>
      </c>
      <c r="I94" s="3"/>
      <c r="J94" s="7">
        <f t="shared" si="13"/>
        <v>8.9486761633381562E-4</v>
      </c>
      <c r="K94" s="3"/>
      <c r="L94" s="8">
        <f t="shared" si="14"/>
        <v>-65.45</v>
      </c>
      <c r="M94" s="3"/>
      <c r="N94" s="7">
        <f t="shared" si="15"/>
        <v>-1</v>
      </c>
      <c r="O94" s="12"/>
      <c r="P94" s="8">
        <v>690.53</v>
      </c>
      <c r="Q94" s="3"/>
      <c r="R94" s="7">
        <f t="shared" si="16"/>
        <v>3.8318559437472243E-4</v>
      </c>
      <c r="S94" s="3"/>
      <c r="T94" s="8">
        <v>7154.58</v>
      </c>
      <c r="U94" s="3"/>
      <c r="V94" s="7">
        <f t="shared" si="17"/>
        <v>1.5570588493763009E-2</v>
      </c>
      <c r="W94" s="3"/>
      <c r="X94" s="8">
        <f t="shared" si="18"/>
        <v>-6464.05</v>
      </c>
      <c r="Y94" s="3"/>
      <c r="Z94" s="7">
        <f t="shared" si="19"/>
        <v>-0.90348420172812383</v>
      </c>
    </row>
    <row r="95" spans="1:26" s="69" customFormat="1" ht="15" hidden="1" customHeight="1" outlineLevel="2" x14ac:dyDescent="0.3">
      <c r="A95" s="26"/>
      <c r="B95" s="12" t="str">
        <f>CONCATENATE("          ","6237"," - ","JANITORIAL SUPPLIES")</f>
        <v xml:space="preserve">          6237 - JANITORIAL SUPPLIES</v>
      </c>
      <c r="C95" s="12"/>
      <c r="D95" s="8">
        <v>1003.26</v>
      </c>
      <c r="E95" s="3"/>
      <c r="F95" s="7">
        <f t="shared" si="12"/>
        <v>2.4847626067969796E-3</v>
      </c>
      <c r="G95" s="3"/>
      <c r="H95" s="8"/>
      <c r="I95" s="3"/>
      <c r="J95" s="7">
        <f t="shared" si="13"/>
        <v>0</v>
      </c>
      <c r="K95" s="3"/>
      <c r="L95" s="8">
        <f t="shared" si="14"/>
        <v>1003.26</v>
      </c>
      <c r="M95" s="3"/>
      <c r="N95" s="7">
        <f t="shared" si="15"/>
        <v>0</v>
      </c>
      <c r="O95" s="12"/>
      <c r="P95" s="8">
        <v>8766.57</v>
      </c>
      <c r="Q95" s="3"/>
      <c r="R95" s="7">
        <f t="shared" si="16"/>
        <v>4.8647029616057389E-3</v>
      </c>
      <c r="S95" s="3"/>
      <c r="T95" s="8">
        <v>676.48</v>
      </c>
      <c r="U95" s="3"/>
      <c r="V95" s="7">
        <f t="shared" si="17"/>
        <v>1.4722306137132859E-3</v>
      </c>
      <c r="W95" s="3"/>
      <c r="X95" s="8">
        <f t="shared" si="18"/>
        <v>8090.09</v>
      </c>
      <c r="Y95" s="3"/>
      <c r="Z95" s="7">
        <f t="shared" si="19"/>
        <v>11.959097090823084</v>
      </c>
    </row>
    <row r="96" spans="1:26" s="69" customFormat="1" ht="15" hidden="1" customHeight="1" outlineLevel="2" x14ac:dyDescent="0.3">
      <c r="A96" s="26"/>
      <c r="B96" s="12" t="str">
        <f>CONCATENATE("          ","6239"," - ","KITCHEN SUPPLIES")</f>
        <v xml:space="preserve">          6239 - KITCHEN SUPPLIES</v>
      </c>
      <c r="C96" s="12"/>
      <c r="D96" s="8">
        <v>1727.21</v>
      </c>
      <c r="E96" s="3"/>
      <c r="F96" s="7">
        <f t="shared" si="12"/>
        <v>4.2777613201820178E-3</v>
      </c>
      <c r="G96" s="3"/>
      <c r="H96" s="8"/>
      <c r="I96" s="3"/>
      <c r="J96" s="7">
        <f t="shared" si="13"/>
        <v>0</v>
      </c>
      <c r="K96" s="3"/>
      <c r="L96" s="8">
        <f t="shared" si="14"/>
        <v>1727.21</v>
      </c>
      <c r="M96" s="3"/>
      <c r="N96" s="7">
        <f t="shared" si="15"/>
        <v>0</v>
      </c>
      <c r="O96" s="12"/>
      <c r="P96" s="8">
        <v>8928.15</v>
      </c>
      <c r="Q96" s="3"/>
      <c r="R96" s="7">
        <f t="shared" si="16"/>
        <v>4.954366159930312E-3</v>
      </c>
      <c r="S96" s="3"/>
      <c r="T96" s="8">
        <v>19.829999999999998</v>
      </c>
      <c r="U96" s="3"/>
      <c r="V96" s="7">
        <f t="shared" si="17"/>
        <v>4.315623975569781E-5</v>
      </c>
      <c r="W96" s="3"/>
      <c r="X96" s="8">
        <f t="shared" si="18"/>
        <v>8908.32</v>
      </c>
      <c r="Y96" s="3"/>
      <c r="Z96" s="7">
        <f t="shared" si="19"/>
        <v>449.23449319213313</v>
      </c>
    </row>
    <row r="97" spans="1:26" s="69" customFormat="1" ht="15" hidden="1" customHeight="1" outlineLevel="2" x14ac:dyDescent="0.3">
      <c r="A97" s="26"/>
      <c r="B97" s="12" t="str">
        <f>CONCATENATE("          ","6241"," - ","OFFICE EXPENSE")</f>
        <v xml:space="preserve">          6241 - OFFICE EXPENSE</v>
      </c>
      <c r="C97" s="12"/>
      <c r="D97" s="8">
        <v>97.93</v>
      </c>
      <c r="E97" s="3"/>
      <c r="F97" s="7">
        <f t="shared" si="12"/>
        <v>2.4254211478941473E-4</v>
      </c>
      <c r="G97" s="3"/>
      <c r="H97" s="8">
        <v>440.72</v>
      </c>
      <c r="I97" s="3"/>
      <c r="J97" s="7">
        <f t="shared" si="13"/>
        <v>6.0257609758692012E-3</v>
      </c>
      <c r="K97" s="3"/>
      <c r="L97" s="8">
        <f t="shared" si="14"/>
        <v>-342.79</v>
      </c>
      <c r="M97" s="3"/>
      <c r="N97" s="7">
        <f t="shared" si="15"/>
        <v>-0.77779542566709026</v>
      </c>
      <c r="O97" s="12"/>
      <c r="P97" s="8">
        <v>8089.96</v>
      </c>
      <c r="Q97" s="3"/>
      <c r="R97" s="7">
        <f t="shared" si="16"/>
        <v>4.4892417868415994E-3</v>
      </c>
      <c r="S97" s="3"/>
      <c r="T97" s="8">
        <v>-28411.84</v>
      </c>
      <c r="U97" s="3"/>
      <c r="V97" s="7">
        <f t="shared" si="17"/>
        <v>-6.1832989356557011E-2</v>
      </c>
      <c r="W97" s="3"/>
      <c r="X97" s="8">
        <f t="shared" si="18"/>
        <v>36501.800000000003</v>
      </c>
      <c r="Y97" s="3"/>
      <c r="Z97" s="7">
        <f t="shared" si="19"/>
        <v>-1.2847390383727348</v>
      </c>
    </row>
    <row r="98" spans="1:26" s="69" customFormat="1" ht="15" hidden="1" customHeight="1" outlineLevel="2" x14ac:dyDescent="0.3">
      <c r="A98" s="26"/>
      <c r="B98" s="12" t="str">
        <f>CONCATENATE("          ","6243"," - ","PAPER SUPPLIES")</f>
        <v xml:space="preserve">          6243 - PAPER SUPPLIES</v>
      </c>
      <c r="C98" s="12"/>
      <c r="D98" s="8">
        <v>1449.52</v>
      </c>
      <c r="E98" s="3"/>
      <c r="F98" s="7">
        <f t="shared" si="12"/>
        <v>3.5900096623052427E-3</v>
      </c>
      <c r="G98" s="3"/>
      <c r="H98" s="8">
        <v>94.92</v>
      </c>
      <c r="I98" s="3"/>
      <c r="J98" s="7">
        <f t="shared" si="13"/>
        <v>1.2977973131001648E-3</v>
      </c>
      <c r="K98" s="3"/>
      <c r="L98" s="8">
        <f t="shared" si="14"/>
        <v>1354.6</v>
      </c>
      <c r="M98" s="3"/>
      <c r="N98" s="7">
        <f t="shared" si="15"/>
        <v>14.270965023177411</v>
      </c>
      <c r="O98" s="12"/>
      <c r="P98" s="8">
        <v>3315.81</v>
      </c>
      <c r="Q98" s="3"/>
      <c r="R98" s="7">
        <f t="shared" si="16"/>
        <v>1.8399933756442855E-3</v>
      </c>
      <c r="S98" s="3"/>
      <c r="T98" s="8">
        <v>255.33</v>
      </c>
      <c r="U98" s="3"/>
      <c r="V98" s="7">
        <f t="shared" si="17"/>
        <v>5.5567739267888677E-4</v>
      </c>
      <c r="W98" s="3"/>
      <c r="X98" s="8">
        <f t="shared" si="18"/>
        <v>3060.48</v>
      </c>
      <c r="Y98" s="3"/>
      <c r="Z98" s="7">
        <f t="shared" si="19"/>
        <v>11.986370579250382</v>
      </c>
    </row>
    <row r="99" spans="1:26" s="69" customFormat="1" ht="15" hidden="1" customHeight="1" outlineLevel="2" x14ac:dyDescent="0.3">
      <c r="A99" s="26"/>
      <c r="B99" s="12" t="str">
        <f>CONCATENATE("          ","6245"," - ","PRINTING")</f>
        <v xml:space="preserve">          6245 - PRINTING</v>
      </c>
      <c r="C99" s="12"/>
      <c r="D99" s="8"/>
      <c r="E99" s="3"/>
      <c r="F99" s="7">
        <f t="shared" ref="F99:F110" si="20">IF(D$12=0,0,D99/D$12)</f>
        <v>0</v>
      </c>
      <c r="G99" s="3"/>
      <c r="H99" s="8"/>
      <c r="I99" s="3"/>
      <c r="J99" s="7">
        <f t="shared" ref="J99:J110" si="21">IF(H$12=0,0,H99/H$12)</f>
        <v>0</v>
      </c>
      <c r="K99" s="3"/>
      <c r="L99" s="8">
        <f t="shared" ref="L99:L110" si="22">+D99-H99</f>
        <v>0</v>
      </c>
      <c r="M99" s="3"/>
      <c r="N99" s="7">
        <f t="shared" ref="N99:N110" si="23">IF(H99=0,0,L99/H99)</f>
        <v>0</v>
      </c>
      <c r="O99" s="12"/>
      <c r="P99" s="8">
        <v>1071</v>
      </c>
      <c r="Q99" s="3"/>
      <c r="R99" s="7">
        <f t="shared" ref="R99:R110" si="24">IF(P$12=0,0,P99/P$12)</f>
        <v>5.9431418124531561E-4</v>
      </c>
      <c r="S99" s="3"/>
      <c r="T99" s="8"/>
      <c r="U99" s="3"/>
      <c r="V99" s="7">
        <f t="shared" ref="V99:V110" si="25">IF(T$12=0,0,T99/T$12)</f>
        <v>0</v>
      </c>
      <c r="W99" s="3"/>
      <c r="X99" s="8">
        <f t="shared" ref="X99:X110" si="26">+P99-T99</f>
        <v>1071</v>
      </c>
      <c r="Y99" s="3"/>
      <c r="Z99" s="7">
        <f t="shared" ref="Z99:Z110" si="27">IF(T99=0,0,X99/T99)</f>
        <v>0</v>
      </c>
    </row>
    <row r="100" spans="1:26" s="69" customFormat="1" ht="15" hidden="1" customHeight="1" outlineLevel="2" x14ac:dyDescent="0.3">
      <c r="A100" s="26"/>
      <c r="B100" s="12" t="str">
        <f>CONCATENATE("          ","6247"," - ","STORE SUPPLIES")</f>
        <v xml:space="preserve">          6247 - STORE SUPPLIES</v>
      </c>
      <c r="C100" s="12"/>
      <c r="D100" s="8">
        <v>-733.34</v>
      </c>
      <c r="E100" s="3"/>
      <c r="F100" s="7">
        <f t="shared" si="20"/>
        <v>-1.816254819357392E-3</v>
      </c>
      <c r="G100" s="3"/>
      <c r="H100" s="8"/>
      <c r="I100" s="3"/>
      <c r="J100" s="7">
        <f t="shared" si="21"/>
        <v>0</v>
      </c>
      <c r="K100" s="3"/>
      <c r="L100" s="8">
        <f t="shared" si="22"/>
        <v>-733.34</v>
      </c>
      <c r="M100" s="3"/>
      <c r="N100" s="7">
        <f t="shared" si="23"/>
        <v>0</v>
      </c>
      <c r="O100" s="12"/>
      <c r="P100" s="8">
        <v>3884.45</v>
      </c>
      <c r="Q100" s="3"/>
      <c r="R100" s="7">
        <f t="shared" si="24"/>
        <v>2.1555403560582316E-3</v>
      </c>
      <c r="S100" s="3"/>
      <c r="T100" s="8">
        <v>121.28</v>
      </c>
      <c r="U100" s="3"/>
      <c r="V100" s="7">
        <f t="shared" si="25"/>
        <v>2.6394295297887195E-4</v>
      </c>
      <c r="W100" s="3"/>
      <c r="X100" s="8">
        <f t="shared" si="26"/>
        <v>3763.1699999999996</v>
      </c>
      <c r="Y100" s="3"/>
      <c r="Z100" s="7">
        <f t="shared" si="27"/>
        <v>31.028776385224273</v>
      </c>
    </row>
    <row r="101" spans="1:26" s="69" customFormat="1" ht="15" hidden="1" customHeight="1" outlineLevel="2" x14ac:dyDescent="0.3">
      <c r="A101" s="26"/>
      <c r="B101" s="12" t="str">
        <f>CONCATENATE("          ","6248"," - ","UNIFORMS")</f>
        <v xml:space="preserve">          6248 - UNIFORMS</v>
      </c>
      <c r="C101" s="12"/>
      <c r="D101" s="8">
        <v>198.45</v>
      </c>
      <c r="E101" s="3"/>
      <c r="F101" s="7">
        <f t="shared" si="20"/>
        <v>4.9149885305789184E-4</v>
      </c>
      <c r="G101" s="3"/>
      <c r="H101" s="8"/>
      <c r="I101" s="3"/>
      <c r="J101" s="7">
        <f t="shared" si="21"/>
        <v>0</v>
      </c>
      <c r="K101" s="3"/>
      <c r="L101" s="8">
        <f t="shared" si="22"/>
        <v>198.45</v>
      </c>
      <c r="M101" s="3"/>
      <c r="N101" s="7">
        <f t="shared" si="23"/>
        <v>0</v>
      </c>
      <c r="O101" s="12"/>
      <c r="P101" s="8">
        <v>2988.45</v>
      </c>
      <c r="Q101" s="3"/>
      <c r="R101" s="7">
        <f t="shared" si="24"/>
        <v>1.6583363351471178E-3</v>
      </c>
      <c r="S101" s="3"/>
      <c r="T101" s="8"/>
      <c r="U101" s="3"/>
      <c r="V101" s="7">
        <f t="shared" si="25"/>
        <v>0</v>
      </c>
      <c r="W101" s="3"/>
      <c r="X101" s="8">
        <f t="shared" si="26"/>
        <v>2988.45</v>
      </c>
      <c r="Y101" s="3"/>
      <c r="Z101" s="7">
        <f t="shared" si="27"/>
        <v>0</v>
      </c>
    </row>
    <row r="102" spans="1:26" s="68" customFormat="1" ht="15" customHeight="1" outlineLevel="1" collapsed="1" x14ac:dyDescent="0.3">
      <c r="A102" s="25"/>
      <c r="B102" s="14" t="str">
        <f>CONCATENATE("     ","Telephone/Data Lines                              ")</f>
        <v xml:space="preserve">     Telephone/Data Lines                              </v>
      </c>
      <c r="C102" s="14"/>
      <c r="D102" s="2">
        <f>SUM(OSRRefD22_18x_0)</f>
        <v>1441.5</v>
      </c>
      <c r="E102" s="2"/>
      <c r="F102" s="6">
        <f t="shared" si="20"/>
        <v>3.5701466197175669E-3</v>
      </c>
      <c r="G102" s="2"/>
      <c r="H102" s="2">
        <f>SUM(OSRRefH22_18x_0)</f>
        <v>574.1</v>
      </c>
      <c r="I102" s="2"/>
      <c r="J102" s="6">
        <f t="shared" si="21"/>
        <v>7.8494041029372585E-3</v>
      </c>
      <c r="K102" s="2"/>
      <c r="L102" s="2">
        <f t="shared" si="22"/>
        <v>867.4</v>
      </c>
      <c r="M102" s="2"/>
      <c r="N102" s="6">
        <f t="shared" si="23"/>
        <v>1.510886605121059</v>
      </c>
      <c r="O102" s="14"/>
      <c r="P102" s="2">
        <f>SUM(OSRRefP22_18x_0)</f>
        <v>8573.0400000000009</v>
      </c>
      <c r="Q102" s="2"/>
      <c r="R102" s="6">
        <f t="shared" si="24"/>
        <v>4.7573102225801503E-3</v>
      </c>
      <c r="S102" s="2"/>
      <c r="T102" s="2">
        <f>SUM(OSRRefT22_18x_0)</f>
        <v>9364.4</v>
      </c>
      <c r="U102" s="2"/>
      <c r="V102" s="6">
        <f t="shared" si="25"/>
        <v>2.0379843246003865E-2</v>
      </c>
      <c r="W102" s="2"/>
      <c r="X102" s="2">
        <f t="shared" si="26"/>
        <v>-791.35999999999876</v>
      </c>
      <c r="Y102" s="2"/>
      <c r="Z102" s="6">
        <f t="shared" si="27"/>
        <v>-8.4507282901200159E-2</v>
      </c>
    </row>
    <row r="103" spans="1:26" s="69" customFormat="1" ht="15" hidden="1" customHeight="1" outlineLevel="2" x14ac:dyDescent="0.3">
      <c r="A103" s="26"/>
      <c r="B103" s="12" t="str">
        <f>CONCATENATE("          ","6309"," - ","TELEPHONE")</f>
        <v xml:space="preserve">          6309 - TELEPHONE</v>
      </c>
      <c r="C103" s="12"/>
      <c r="D103" s="8">
        <v>1441.5</v>
      </c>
      <c r="E103" s="3"/>
      <c r="F103" s="7">
        <f t="shared" si="20"/>
        <v>3.5701466197175669E-3</v>
      </c>
      <c r="G103" s="3"/>
      <c r="H103" s="8">
        <v>574.1</v>
      </c>
      <c r="I103" s="3"/>
      <c r="J103" s="7">
        <f t="shared" si="21"/>
        <v>7.8494041029372585E-3</v>
      </c>
      <c r="K103" s="3"/>
      <c r="L103" s="8">
        <f t="shared" si="22"/>
        <v>867.4</v>
      </c>
      <c r="M103" s="3"/>
      <c r="N103" s="7">
        <f t="shared" si="23"/>
        <v>1.510886605121059</v>
      </c>
      <c r="O103" s="12"/>
      <c r="P103" s="8">
        <v>8573.0400000000009</v>
      </c>
      <c r="Q103" s="3"/>
      <c r="R103" s="7">
        <f t="shared" si="24"/>
        <v>4.7573102225801503E-3</v>
      </c>
      <c r="S103" s="3"/>
      <c r="T103" s="8">
        <v>9364.4</v>
      </c>
      <c r="U103" s="3"/>
      <c r="V103" s="7">
        <f t="shared" si="25"/>
        <v>2.0379843246003865E-2</v>
      </c>
      <c r="W103" s="3"/>
      <c r="X103" s="8">
        <f t="shared" si="26"/>
        <v>-791.35999999999876</v>
      </c>
      <c r="Y103" s="3"/>
      <c r="Z103" s="7">
        <f t="shared" si="27"/>
        <v>-8.4507282901200159E-2</v>
      </c>
    </row>
    <row r="104" spans="1:26" s="68" customFormat="1" ht="15" customHeight="1" outlineLevel="1" collapsed="1" x14ac:dyDescent="0.3">
      <c r="A104" s="25"/>
      <c r="B104" s="14" t="str">
        <f>CONCATENATE("     ","Training                                          ")</f>
        <v xml:space="preserve">     Training                                          </v>
      </c>
      <c r="C104" s="14"/>
      <c r="D104" s="2">
        <f>SUM(OSRRefD22_19x_0)</f>
        <v>15.95</v>
      </c>
      <c r="E104" s="2"/>
      <c r="F104" s="6">
        <f t="shared" si="20"/>
        <v>3.9503183201175988E-5</v>
      </c>
      <c r="G104" s="2"/>
      <c r="H104" s="2">
        <f>SUM(OSRRefH22_19x_0)</f>
        <v>0</v>
      </c>
      <c r="I104" s="2"/>
      <c r="J104" s="6">
        <f t="shared" si="21"/>
        <v>0</v>
      </c>
      <c r="K104" s="2"/>
      <c r="L104" s="2">
        <f t="shared" si="22"/>
        <v>15.95</v>
      </c>
      <c r="M104" s="2"/>
      <c r="N104" s="6">
        <f t="shared" si="23"/>
        <v>0</v>
      </c>
      <c r="O104" s="14"/>
      <c r="P104" s="2">
        <f>SUM(OSRRefP22_19x_0)</f>
        <v>815.95</v>
      </c>
      <c r="Q104" s="2"/>
      <c r="R104" s="6">
        <f t="shared" si="24"/>
        <v>4.5278305899824022E-4</v>
      </c>
      <c r="S104" s="2"/>
      <c r="T104" s="2">
        <f>SUM(OSRRefT22_19x_0)</f>
        <v>400</v>
      </c>
      <c r="U104" s="2"/>
      <c r="V104" s="6">
        <f t="shared" si="25"/>
        <v>8.705242512495778E-4</v>
      </c>
      <c r="W104" s="2"/>
      <c r="X104" s="2">
        <f t="shared" si="26"/>
        <v>415.95000000000005</v>
      </c>
      <c r="Y104" s="2"/>
      <c r="Z104" s="6">
        <f t="shared" si="27"/>
        <v>1.0398750000000001</v>
      </c>
    </row>
    <row r="105" spans="1:26" s="69" customFormat="1" ht="15" hidden="1" customHeight="1" outlineLevel="2" x14ac:dyDescent="0.3">
      <c r="A105" s="26"/>
      <c r="B105" s="12" t="str">
        <f>CONCATENATE("          ","6376"," - ","TRAINING")</f>
        <v xml:space="preserve">          6376 - TRAINING</v>
      </c>
      <c r="C105" s="12"/>
      <c r="D105" s="8">
        <v>15.95</v>
      </c>
      <c r="E105" s="3"/>
      <c r="F105" s="7">
        <f t="shared" si="20"/>
        <v>3.9503183201175988E-5</v>
      </c>
      <c r="G105" s="3"/>
      <c r="H105" s="8"/>
      <c r="I105" s="3"/>
      <c r="J105" s="7">
        <f t="shared" si="21"/>
        <v>0</v>
      </c>
      <c r="K105" s="3"/>
      <c r="L105" s="8">
        <f t="shared" si="22"/>
        <v>15.95</v>
      </c>
      <c r="M105" s="3"/>
      <c r="N105" s="7">
        <f t="shared" si="23"/>
        <v>0</v>
      </c>
      <c r="O105" s="12"/>
      <c r="P105" s="8">
        <v>815.95</v>
      </c>
      <c r="Q105" s="3"/>
      <c r="R105" s="7">
        <f t="shared" si="24"/>
        <v>4.5278305899824022E-4</v>
      </c>
      <c r="S105" s="3"/>
      <c r="T105" s="8">
        <v>400</v>
      </c>
      <c r="U105" s="3"/>
      <c r="V105" s="7">
        <f t="shared" si="25"/>
        <v>8.705242512495778E-4</v>
      </c>
      <c r="W105" s="3"/>
      <c r="X105" s="8">
        <f t="shared" si="26"/>
        <v>415.95000000000005</v>
      </c>
      <c r="Y105" s="3"/>
      <c r="Z105" s="7">
        <f t="shared" si="27"/>
        <v>1.0398750000000001</v>
      </c>
    </row>
    <row r="106" spans="1:26" s="68" customFormat="1" ht="15" customHeight="1" outlineLevel="1" collapsed="1" x14ac:dyDescent="0.3">
      <c r="A106" s="25"/>
      <c r="B106" s="14" t="str">
        <f>CONCATENATE("     ","Travel                                            ")</f>
        <v xml:space="preserve">     Travel                                            </v>
      </c>
      <c r="C106" s="14"/>
      <c r="D106" s="2">
        <f>SUM(OSRRefD22_20x_0)</f>
        <v>0</v>
      </c>
      <c r="E106" s="2"/>
      <c r="F106" s="6">
        <f t="shared" si="20"/>
        <v>0</v>
      </c>
      <c r="G106" s="2"/>
      <c r="H106" s="2">
        <f>SUM(OSRRefH22_20x_0)</f>
        <v>0</v>
      </c>
      <c r="I106" s="2"/>
      <c r="J106" s="6">
        <f t="shared" si="21"/>
        <v>0</v>
      </c>
      <c r="K106" s="2"/>
      <c r="L106" s="2">
        <f t="shared" si="22"/>
        <v>0</v>
      </c>
      <c r="M106" s="2"/>
      <c r="N106" s="6">
        <f t="shared" si="23"/>
        <v>0</v>
      </c>
      <c r="O106" s="14"/>
      <c r="P106" s="2">
        <f>SUM(OSRRefP22_20x_0)</f>
        <v>141.24</v>
      </c>
      <c r="Q106" s="2"/>
      <c r="R106" s="6">
        <f t="shared" si="24"/>
        <v>7.8376223117729583E-5</v>
      </c>
      <c r="S106" s="2"/>
      <c r="T106" s="2">
        <f>SUM(OSRRefT22_20x_0)</f>
        <v>332.21</v>
      </c>
      <c r="U106" s="2"/>
      <c r="V106" s="6">
        <f t="shared" si="25"/>
        <v>7.2299215376905553E-4</v>
      </c>
      <c r="W106" s="2"/>
      <c r="X106" s="2">
        <f t="shared" si="26"/>
        <v>-190.96999999999997</v>
      </c>
      <c r="Y106" s="2"/>
      <c r="Z106" s="6">
        <f t="shared" si="27"/>
        <v>-0.5748472351825652</v>
      </c>
    </row>
    <row r="107" spans="1:26" s="69" customFormat="1" ht="15" hidden="1" customHeight="1" outlineLevel="2" x14ac:dyDescent="0.3">
      <c r="A107" s="26"/>
      <c r="B107" s="12" t="str">
        <f>CONCATENATE("          ","6292"," - ","TRAVEL/CONFERENCE")</f>
        <v xml:space="preserve">          6292 - TRAVEL/CONFERENCE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18.59</v>
      </c>
      <c r="Q107" s="3"/>
      <c r="R107" s="7">
        <f t="shared" si="24"/>
        <v>1.031587360350179E-5</v>
      </c>
      <c r="S107" s="3"/>
      <c r="T107" s="8"/>
      <c r="U107" s="3"/>
      <c r="V107" s="7">
        <f t="shared" si="25"/>
        <v>0</v>
      </c>
      <c r="W107" s="3"/>
      <c r="X107" s="8">
        <f t="shared" si="26"/>
        <v>18.59</v>
      </c>
      <c r="Y107" s="3"/>
      <c r="Z107" s="7">
        <f t="shared" si="27"/>
        <v>0</v>
      </c>
    </row>
    <row r="108" spans="1:26" s="69" customFormat="1" ht="15" hidden="1" customHeight="1" outlineLevel="2" x14ac:dyDescent="0.3">
      <c r="A108" s="26"/>
      <c r="B108" s="12" t="str">
        <f>CONCATENATE("          ","6298"," - ","VEHICLE MILEAGE")</f>
        <v xml:space="preserve">          6298 - VEHICLE MILEAGE</v>
      </c>
      <c r="C108" s="12"/>
      <c r="D108" s="8"/>
      <c r="E108" s="3"/>
      <c r="F108" s="7">
        <f t="shared" si="20"/>
        <v>0</v>
      </c>
      <c r="G108" s="3"/>
      <c r="H108" s="8"/>
      <c r="I108" s="3"/>
      <c r="J108" s="7">
        <f t="shared" si="21"/>
        <v>0</v>
      </c>
      <c r="K108" s="3"/>
      <c r="L108" s="8">
        <f t="shared" si="22"/>
        <v>0</v>
      </c>
      <c r="M108" s="3"/>
      <c r="N108" s="7">
        <f t="shared" si="23"/>
        <v>0</v>
      </c>
      <c r="O108" s="12"/>
      <c r="P108" s="8">
        <v>122.65</v>
      </c>
      <c r="Q108" s="3"/>
      <c r="R108" s="7">
        <f t="shared" si="24"/>
        <v>6.806034951422779E-5</v>
      </c>
      <c r="S108" s="3"/>
      <c r="T108" s="8">
        <v>332.21</v>
      </c>
      <c r="U108" s="3"/>
      <c r="V108" s="7">
        <f t="shared" si="25"/>
        <v>7.2299215376905553E-4</v>
      </c>
      <c r="W108" s="3"/>
      <c r="X108" s="8">
        <f t="shared" si="26"/>
        <v>-209.55999999999997</v>
      </c>
      <c r="Y108" s="3"/>
      <c r="Z108" s="7">
        <f t="shared" si="27"/>
        <v>-0.63080581559856708</v>
      </c>
    </row>
    <row r="109" spans="1:26" s="68" customFormat="1" ht="15" customHeight="1" outlineLevel="1" collapsed="1" x14ac:dyDescent="0.3">
      <c r="A109" s="25"/>
      <c r="B109" s="14" t="str">
        <f>CONCATENATE("     ","Utilities                                         ")</f>
        <v xml:space="preserve">     Utilities                                         </v>
      </c>
      <c r="C109" s="14"/>
      <c r="D109" s="2">
        <f>SUM(OSRRefD22_21x_0)</f>
        <v>8250</v>
      </c>
      <c r="E109" s="2"/>
      <c r="F109" s="6">
        <f t="shared" si="20"/>
        <v>2.0432680966125515E-2</v>
      </c>
      <c r="G109" s="2"/>
      <c r="H109" s="2">
        <f>SUM(OSRRefH22_21x_0)</f>
        <v>4784</v>
      </c>
      <c r="I109" s="2"/>
      <c r="J109" s="6">
        <f t="shared" si="21"/>
        <v>6.5409422101466372E-2</v>
      </c>
      <c r="K109" s="2"/>
      <c r="L109" s="2">
        <f t="shared" si="22"/>
        <v>3466</v>
      </c>
      <c r="M109" s="2"/>
      <c r="N109" s="6">
        <f t="shared" si="23"/>
        <v>0.72449832775919731</v>
      </c>
      <c r="O109" s="14"/>
      <c r="P109" s="2">
        <f>SUM(OSRRefP22_21x_0)</f>
        <v>80100</v>
      </c>
      <c r="Q109" s="2"/>
      <c r="R109" s="6">
        <f t="shared" si="24"/>
        <v>4.4448707672968983E-2</v>
      </c>
      <c r="S109" s="2"/>
      <c r="T109" s="2">
        <f>SUM(OSRRefT22_21x_0)</f>
        <v>7972</v>
      </c>
      <c r="U109" s="2"/>
      <c r="V109" s="6">
        <f t="shared" si="25"/>
        <v>1.7349548327404086E-2</v>
      </c>
      <c r="W109" s="2"/>
      <c r="X109" s="2">
        <f t="shared" si="26"/>
        <v>72128</v>
      </c>
      <c r="Y109" s="2"/>
      <c r="Z109" s="6">
        <f t="shared" si="27"/>
        <v>9.047666833918715</v>
      </c>
    </row>
    <row r="110" spans="1:26" s="69" customFormat="1" ht="15" hidden="1" customHeight="1" outlineLevel="2" x14ac:dyDescent="0.3">
      <c r="A110" s="26"/>
      <c r="B110" s="12" t="str">
        <f>CONCATENATE("          ","6274"," - ","UTILITIES")</f>
        <v xml:space="preserve">          6274 - UTILITIES</v>
      </c>
      <c r="C110" s="12"/>
      <c r="D110" s="8">
        <v>8250</v>
      </c>
      <c r="E110" s="3"/>
      <c r="F110" s="7">
        <f t="shared" si="20"/>
        <v>2.0432680966125515E-2</v>
      </c>
      <c r="G110" s="3"/>
      <c r="H110" s="8">
        <v>4784</v>
      </c>
      <c r="I110" s="3"/>
      <c r="J110" s="7">
        <f t="shared" si="21"/>
        <v>6.5409422101466372E-2</v>
      </c>
      <c r="K110" s="3"/>
      <c r="L110" s="8">
        <f t="shared" si="22"/>
        <v>3466</v>
      </c>
      <c r="M110" s="3"/>
      <c r="N110" s="7">
        <f t="shared" si="23"/>
        <v>0.72449832775919731</v>
      </c>
      <c r="O110" s="12"/>
      <c r="P110" s="8">
        <v>80100</v>
      </c>
      <c r="Q110" s="3"/>
      <c r="R110" s="7">
        <f t="shared" si="24"/>
        <v>4.4448707672968983E-2</v>
      </c>
      <c r="S110" s="3"/>
      <c r="T110" s="8">
        <v>7972</v>
      </c>
      <c r="U110" s="3"/>
      <c r="V110" s="7">
        <f t="shared" si="25"/>
        <v>1.7349548327404086E-2</v>
      </c>
      <c r="W110" s="3"/>
      <c r="X110" s="8">
        <f t="shared" si="26"/>
        <v>72128</v>
      </c>
      <c r="Y110" s="3"/>
      <c r="Z110" s="7">
        <f t="shared" si="27"/>
        <v>9.047666833918715</v>
      </c>
    </row>
    <row r="111" spans="1:26" s="64" customFormat="1" ht="15" customHeight="1" x14ac:dyDescent="0.3">
      <c r="A111" s="36"/>
      <c r="B111" s="36"/>
      <c r="C111" s="36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36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62" customFormat="1" ht="15" customHeight="1" collapsed="1" x14ac:dyDescent="0.3">
      <c r="A112" s="11"/>
      <c r="B112" s="27" t="s">
        <v>290</v>
      </c>
      <c r="C112" s="11"/>
      <c r="D112" s="5">
        <f>SUM(OSRRefD25x_0)</f>
        <v>6601.19</v>
      </c>
      <c r="E112" s="5"/>
      <c r="F112" s="13">
        <f>IF(D$12=0,0,D112/D$12)</f>
        <v>1.6349092032336737E-2</v>
      </c>
      <c r="G112" s="5"/>
      <c r="H112" s="5">
        <f>SUM(OSRRefH25x_0)</f>
        <v>1579.7400000000002</v>
      </c>
      <c r="I112" s="5"/>
      <c r="J112" s="13">
        <f>IF(H$12=0,0,H112/H$12)</f>
        <v>2.1599055282309886E-2</v>
      </c>
      <c r="K112" s="5"/>
      <c r="L112" s="5">
        <f>+D112-H112</f>
        <v>5021.4499999999989</v>
      </c>
      <c r="M112" s="5"/>
      <c r="N112" s="13">
        <f>IF(H112=0,0,L112/H112)</f>
        <v>3.1786559813640207</v>
      </c>
      <c r="O112" s="11"/>
      <c r="P112" s="5">
        <f>SUM(OSRRefP25x_0)</f>
        <v>175136.04</v>
      </c>
      <c r="Q112" s="5"/>
      <c r="R112" s="13">
        <f>IF(P$12=0,0,P112/P$12)</f>
        <v>9.7185650998269688E-2</v>
      </c>
      <c r="S112" s="5"/>
      <c r="T112" s="5">
        <f>SUM(OSRRefT25x_0)</f>
        <v>22445.4</v>
      </c>
      <c r="U112" s="5"/>
      <c r="V112" s="13">
        <f>IF(T$12=0,0,T112/T$12)</f>
        <v>4.8848162572493185E-2</v>
      </c>
      <c r="W112" s="5"/>
      <c r="X112" s="5">
        <f>+P112-T112</f>
        <v>152690.64000000001</v>
      </c>
      <c r="Y112" s="5"/>
      <c r="Z112" s="13">
        <f>IF(T112=0,0,X112/T112)</f>
        <v>6.8027586944318212</v>
      </c>
    </row>
    <row r="113" spans="1:26" s="69" customFormat="1" ht="15" hidden="1" customHeight="1" outlineLevel="1" x14ac:dyDescent="0.3">
      <c r="A113" s="42"/>
      <c r="B113" s="12" t="str">
        <f>CONCATENATE("          ","9150"," - ","MISC. INCOME")</f>
        <v xml:space="preserve">          9150 - MISC. INCOME</v>
      </c>
      <c r="C113" s="12"/>
      <c r="D113" s="3">
        <f>--6601.19</f>
        <v>6601.19</v>
      </c>
      <c r="E113" s="3"/>
      <c r="F113" s="20">
        <f>IF(D$12=0,0,D113/D$12)</f>
        <v>1.6349092032336737E-2</v>
      </c>
      <c r="G113" s="3"/>
      <c r="H113" s="3">
        <f>--496.99</f>
        <v>496.99</v>
      </c>
      <c r="I113" s="3"/>
      <c r="J113" s="20">
        <f>IF(H$12=0,0,H113/H$12)</f>
        <v>6.7951146927691828E-3</v>
      </c>
      <c r="K113" s="3"/>
      <c r="L113" s="3">
        <f>+D113-H113</f>
        <v>6104.2</v>
      </c>
      <c r="M113" s="3"/>
      <c r="N113" s="20">
        <f>IF(H113=0,0,L113/H113)</f>
        <v>12.282339684903116</v>
      </c>
      <c r="O113" s="12"/>
      <c r="P113" s="3">
        <f>--175136.04</f>
        <v>175136.04</v>
      </c>
      <c r="Q113" s="3"/>
      <c r="R113" s="20">
        <f>IF(P$12=0,0,P113/P$12)</f>
        <v>9.7185650998269688E-2</v>
      </c>
      <c r="S113" s="3"/>
      <c r="T113" s="3">
        <f>--5341.48</f>
        <v>5341.48</v>
      </c>
      <c r="U113" s="3"/>
      <c r="V113" s="20">
        <f>IF(T$12=0,0,T113/T$12)</f>
        <v>1.1624719693911486E-2</v>
      </c>
      <c r="W113" s="3"/>
      <c r="X113" s="3">
        <f>+P113-T113</f>
        <v>169794.56</v>
      </c>
      <c r="Y113" s="3"/>
      <c r="Z113" s="20">
        <f>IF(T113=0,0,X113/T113)</f>
        <v>31.787923946172224</v>
      </c>
    </row>
    <row r="114" spans="1:26" s="69" customFormat="1" ht="15" hidden="1" customHeight="1" outlineLevel="1" x14ac:dyDescent="0.3">
      <c r="A114" s="42"/>
      <c r="B114" s="12" t="str">
        <f>CONCATENATE("          ","9160"," - ","MISC. INCOME")</f>
        <v xml:space="preserve">          9160 - MISC.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f>--732.1</f>
        <v>732.1</v>
      </c>
      <c r="I114" s="3"/>
      <c r="J114" s="20">
        <f>IF(H$12=0,0,H114/H$12)</f>
        <v>1.0009665117157928E-2</v>
      </c>
      <c r="K114" s="3"/>
      <c r="L114" s="3">
        <f>+D114-H114</f>
        <v>-732.1</v>
      </c>
      <c r="M114" s="3"/>
      <c r="N114" s="20">
        <f>IF(H114=0,0,L114/H114)</f>
        <v>-1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>
        <f>--13615.06</f>
        <v>13615.06</v>
      </c>
      <c r="U114" s="3"/>
      <c r="V114" s="20">
        <f>IF(T$12=0,0,T114/T$12)</f>
        <v>2.9630599780545188E-2</v>
      </c>
      <c r="W114" s="3"/>
      <c r="X114" s="3">
        <f>+P114-T114</f>
        <v>-13615.06</v>
      </c>
      <c r="Y114" s="3"/>
      <c r="Z114" s="20">
        <f>IF(T114=0,0,X114/T114)</f>
        <v>-1</v>
      </c>
    </row>
    <row r="115" spans="1:26" s="69" customFormat="1" ht="15" hidden="1" customHeight="1" outlineLevel="1" x14ac:dyDescent="0.3">
      <c r="A115" s="42"/>
      <c r="B115" s="12" t="str">
        <f>CONCATENATE("          ","9165"," - ","OTHER INCOME")</f>
        <v xml:space="preserve">          9165 - OTHER INCOME</v>
      </c>
      <c r="C115" s="12"/>
      <c r="D115" s="3">
        <f>0</f>
        <v>0</v>
      </c>
      <c r="E115" s="3"/>
      <c r="F115" s="20">
        <f>IF(D$12=0,0,D115/D$12)</f>
        <v>0</v>
      </c>
      <c r="G115" s="3"/>
      <c r="H115" s="3">
        <f>--350.65</f>
        <v>350.65</v>
      </c>
      <c r="I115" s="3"/>
      <c r="J115" s="20">
        <f>IF(H$12=0,0,H115/H$12)</f>
        <v>4.7942754723827715E-3</v>
      </c>
      <c r="K115" s="3"/>
      <c r="L115" s="3">
        <f>+D115-H115</f>
        <v>-350.65</v>
      </c>
      <c r="M115" s="3"/>
      <c r="N115" s="20">
        <f>IF(H115=0,0,L115/H115)</f>
        <v>-1</v>
      </c>
      <c r="O115" s="12"/>
      <c r="P115" s="3">
        <f>0</f>
        <v>0</v>
      </c>
      <c r="Q115" s="3"/>
      <c r="R115" s="20">
        <f>IF(P$12=0,0,P115/P$12)</f>
        <v>0</v>
      </c>
      <c r="S115" s="3"/>
      <c r="T115" s="3">
        <f>--3488.86</f>
        <v>3488.86</v>
      </c>
      <c r="U115" s="3"/>
      <c r="V115" s="20">
        <f>IF(T$12=0,0,T115/T$12)</f>
        <v>7.5928430980365044E-3</v>
      </c>
      <c r="W115" s="3"/>
      <c r="X115" s="3">
        <f>+P115-T115</f>
        <v>-3488.86</v>
      </c>
      <c r="Y115" s="3"/>
      <c r="Z115" s="20">
        <f>IF(T115=0,0,X115/T115)</f>
        <v>-1</v>
      </c>
    </row>
    <row r="116" spans="1:26" ht="15" customHeight="1" x14ac:dyDescent="0.3">
      <c r="A116" s="10"/>
      <c r="B116" s="11"/>
      <c r="C116" s="11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O116" s="11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2" customFormat="1" ht="15" customHeight="1" x14ac:dyDescent="0.3">
      <c r="A117" s="11"/>
      <c r="B117" s="28" t="s">
        <v>291</v>
      </c>
      <c r="C117" s="28"/>
      <c r="D117" s="21">
        <f>+D33-D35+D112</f>
        <v>-40104.45000000007</v>
      </c>
      <c r="E117" s="15"/>
      <c r="F117" s="23">
        <f>IF(D$12=0,0,D117/D$12)</f>
        <v>-9.9326234202658639E-2</v>
      </c>
      <c r="G117" s="15"/>
      <c r="H117" s="21">
        <f>+H33-H35+H112</f>
        <v>-66588.630000000063</v>
      </c>
      <c r="I117" s="15"/>
      <c r="J117" s="23">
        <f>IF(H$12=0,0,H117/H$12)</f>
        <v>-0.91043557835041189</v>
      </c>
      <c r="K117" s="16"/>
      <c r="L117" s="21">
        <f>+D117-H117</f>
        <v>26484.179999999993</v>
      </c>
      <c r="M117" s="16"/>
      <c r="N117" s="23">
        <f>IF(H117=0,0,L117/H117)</f>
        <v>-0.39772826081569734</v>
      </c>
      <c r="O117" s="27"/>
      <c r="P117" s="21">
        <f>+P33-P35+P112</f>
        <v>-949501.35000000009</v>
      </c>
      <c r="Q117" s="15"/>
      <c r="R117" s="23">
        <f>IF(P$12=0,0,P117/P$12)</f>
        <v>-0.5268927333488066</v>
      </c>
      <c r="S117" s="15"/>
      <c r="T117" s="21">
        <f>+T33-T35+T112</f>
        <v>-907148.30000000028</v>
      </c>
      <c r="U117" s="15"/>
      <c r="V117" s="23">
        <f>IF(T$12=0,0,T117/T$12)</f>
        <v>-1.974236486574569</v>
      </c>
      <c r="W117" s="16"/>
      <c r="X117" s="21">
        <f>+P117-T117</f>
        <v>-42353.049999999814</v>
      </c>
      <c r="Y117" s="16"/>
      <c r="Z117" s="23">
        <f>IF(T117=0,0,X117/T117)</f>
        <v>4.6688121446074253E-2</v>
      </c>
    </row>
    <row r="118" spans="1:26" ht="15" customHeight="1" x14ac:dyDescent="0.3">
      <c r="A118" s="10"/>
      <c r="B118" s="11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2" customFormat="1" ht="15" customHeight="1" x14ac:dyDescent="0.3">
      <c r="A119" s="48"/>
      <c r="B119" s="11" t="s">
        <v>292</v>
      </c>
      <c r="C119" s="11"/>
      <c r="D119" s="5">
        <v>37261.17</v>
      </c>
      <c r="E119" s="5"/>
      <c r="F119" s="13">
        <f>IF(D$12=0,0,D119/D$12)</f>
        <v>9.228431503449297E-2</v>
      </c>
      <c r="G119" s="5"/>
      <c r="H119" s="5">
        <v>16503.580000000002</v>
      </c>
      <c r="I119" s="5"/>
      <c r="J119" s="13">
        <f>IF(H$12=0,0,H119/H$12)</f>
        <v>0.22564582575362008</v>
      </c>
      <c r="K119" s="5"/>
      <c r="L119" s="5">
        <f>+D119-H119</f>
        <v>20757.589999999997</v>
      </c>
      <c r="M119" s="5"/>
      <c r="N119" s="13">
        <f>IF(H119=0,0,L119/H119)</f>
        <v>1.257762861148914</v>
      </c>
      <c r="O119" s="11"/>
      <c r="P119" s="5">
        <v>204146.29</v>
      </c>
      <c r="Q119" s="5"/>
      <c r="R119" s="13">
        <f>IF(P$12=0,0,P119/P$12)</f>
        <v>0.11328387973447129</v>
      </c>
      <c r="S119" s="5"/>
      <c r="T119" s="5">
        <v>96127.85</v>
      </c>
      <c r="U119" s="5"/>
      <c r="V119" s="13">
        <f>IF(T$12=0,0,T119/T$12)</f>
        <v>0.20920406161370431</v>
      </c>
      <c r="W119" s="5"/>
      <c r="X119" s="5">
        <f>+P119-T119</f>
        <v>108018.44</v>
      </c>
      <c r="Y119" s="5"/>
      <c r="Z119" s="13">
        <f>IF(T119=0,0,X119/T119)</f>
        <v>1.123695578336559</v>
      </c>
    </row>
    <row r="120" spans="1:26" ht="15" customHeight="1" x14ac:dyDescent="0.3">
      <c r="A120" s="10"/>
      <c r="B120" s="11"/>
      <c r="C120" s="11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O120" s="11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2" customFormat="1" ht="15" customHeight="1" x14ac:dyDescent="0.3">
      <c r="A121" s="11"/>
      <c r="B121" s="28" t="s">
        <v>293</v>
      </c>
      <c r="C121" s="28"/>
      <c r="D121" s="34">
        <f>+D117-D119</f>
        <v>-77365.620000000068</v>
      </c>
      <c r="E121" s="15"/>
      <c r="F121" s="30">
        <f>IF(D$12=0,0,D121/D$12)</f>
        <v>-0.1916105492371516</v>
      </c>
      <c r="G121" s="15"/>
      <c r="H121" s="34">
        <f>+H117-H119</f>
        <v>-83092.210000000065</v>
      </c>
      <c r="I121" s="15"/>
      <c r="J121" s="30">
        <f>IF(H$12=0,0,H121/H$12)</f>
        <v>-1.1360814041040319</v>
      </c>
      <c r="K121" s="16"/>
      <c r="L121" s="34">
        <f>D121-H121</f>
        <v>5726.5899999999965</v>
      </c>
      <c r="M121" s="16"/>
      <c r="N121" s="30">
        <f>IF(H121=0,0,L121/H121)</f>
        <v>-6.8918494284843215E-2</v>
      </c>
      <c r="O121" s="27"/>
      <c r="P121" s="34">
        <f>+P117-P119</f>
        <v>-1153647.6400000001</v>
      </c>
      <c r="Q121" s="15"/>
      <c r="R121" s="30">
        <f>IF(P$12=0,0,P121/P$12)</f>
        <v>-0.64017661308327789</v>
      </c>
      <c r="S121" s="15"/>
      <c r="T121" s="34">
        <f>+T117-T119</f>
        <v>-1003276.1500000003</v>
      </c>
      <c r="U121" s="15"/>
      <c r="V121" s="30">
        <f>IF(T$12=0,0,T121/T$12)</f>
        <v>-2.183440548188273</v>
      </c>
      <c r="W121" s="16"/>
      <c r="X121" s="34">
        <f>P121-T121</f>
        <v>-150371.48999999987</v>
      </c>
      <c r="Y121" s="16"/>
      <c r="Z121" s="30">
        <f>IF(T121=0,0,X121/T121)</f>
        <v>0.1498804591338086</v>
      </c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ht="15" customHeight="1" x14ac:dyDescent="0.3">
      <c r="A123" s="10"/>
      <c r="B123" s="10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2" customFormat="1" ht="15" customHeight="1" x14ac:dyDescent="0.3">
      <c r="A124" s="11"/>
      <c r="B124" s="28" t="s">
        <v>296</v>
      </c>
      <c r="C124" s="28"/>
      <c r="D124" s="29">
        <f>SUM(D121:D123)</f>
        <v>-77365.620000000068</v>
      </c>
      <c r="E124" s="15"/>
      <c r="F124" s="35">
        <f>IF(D$12=0,0,D124/D$12)</f>
        <v>-0.1916105492371516</v>
      </c>
      <c r="G124" s="15"/>
      <c r="H124" s="29">
        <f>SUM(H121:H123)</f>
        <v>-83092.210000000065</v>
      </c>
      <c r="I124" s="15"/>
      <c r="J124" s="35">
        <f>IF(H$12=0,0,H124/H$12)</f>
        <v>-1.1360814041040319</v>
      </c>
      <c r="K124" s="16"/>
      <c r="L124" s="29">
        <f>+D124-H124</f>
        <v>5726.5899999999965</v>
      </c>
      <c r="M124" s="16"/>
      <c r="N124" s="35">
        <f>IF(H124=0,0,L124/H124)</f>
        <v>-6.8918494284843215E-2</v>
      </c>
      <c r="O124" s="27"/>
      <c r="P124" s="29">
        <f>SUM(P121:P123)</f>
        <v>-1153647.6400000001</v>
      </c>
      <c r="Q124" s="15"/>
      <c r="R124" s="35">
        <f>IF(P$12=0,0,P124/P$12)</f>
        <v>-0.64017661308327789</v>
      </c>
      <c r="S124" s="15"/>
      <c r="T124" s="29">
        <f>SUM(T121:T123)</f>
        <v>-1003276.1500000003</v>
      </c>
      <c r="U124" s="15"/>
      <c r="V124" s="35">
        <f>IF(T$12=0,0,T124/T$12)</f>
        <v>-2.183440548188273</v>
      </c>
      <c r="W124" s="16"/>
      <c r="X124" s="29">
        <f>+P124-T124</f>
        <v>-150371.48999999987</v>
      </c>
      <c r="Y124" s="16"/>
      <c r="Z124" s="35">
        <f>IF(T124=0,0,X124/T124)</f>
        <v>0.1498804591338086</v>
      </c>
    </row>
    <row r="125" spans="1:26" ht="15" customHeight="1" x14ac:dyDescent="0.3">
      <c r="A125" s="10"/>
      <c r="C125" s="10"/>
      <c r="D125" s="18"/>
      <c r="E125" s="18"/>
      <c r="G125" s="18"/>
      <c r="H125" s="18"/>
      <c r="I125" s="18"/>
      <c r="J125" s="40"/>
      <c r="K125" s="18"/>
      <c r="L125" s="18"/>
      <c r="M125" s="18"/>
      <c r="P125" s="18"/>
      <c r="Q125" s="18"/>
      <c r="R125" s="40"/>
      <c r="S125" s="18"/>
      <c r="T125" s="18"/>
      <c r="U125" s="18"/>
      <c r="V125" s="40"/>
      <c r="W125" s="18"/>
      <c r="X125" s="18"/>
    </row>
    <row r="126" spans="1:26" ht="15" customHeight="1" x14ac:dyDescent="0.3">
      <c r="A126" s="10"/>
      <c r="B126" s="56">
        <v>44694.890791782411</v>
      </c>
      <c r="D126" s="18"/>
      <c r="E126" s="18"/>
      <c r="G126" s="18"/>
      <c r="H126" s="18"/>
      <c r="I126" s="18"/>
      <c r="J126" s="40"/>
      <c r="K126" s="18"/>
      <c r="L126" s="18"/>
      <c r="M126" s="18"/>
      <c r="P126" s="18"/>
      <c r="Q126" s="18"/>
      <c r="R126" s="40"/>
      <c r="S126" s="18"/>
      <c r="T126" s="18"/>
      <c r="U126" s="18"/>
      <c r="V126" s="40"/>
      <c r="W126" s="18"/>
      <c r="X126" s="18"/>
    </row>
    <row r="127" spans="1:26" ht="15" customHeight="1" x14ac:dyDescent="0.3">
      <c r="A127" s="10"/>
      <c r="B127" s="52" t="s">
        <v>297</v>
      </c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3">
      <c r="A128" s="10"/>
      <c r="B128" s="58"/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  <row r="129" spans="4:24" ht="15" customHeight="1" x14ac:dyDescent="0.3">
      <c r="D129" s="18"/>
      <c r="E129" s="18"/>
      <c r="G129" s="18"/>
      <c r="H129" s="18"/>
      <c r="I129" s="18"/>
      <c r="J129" s="40"/>
      <c r="K129" s="18"/>
      <c r="L129" s="18"/>
      <c r="M129" s="18"/>
      <c r="P129" s="18"/>
      <c r="Q129" s="18"/>
      <c r="R129" s="40"/>
      <c r="S129" s="18"/>
      <c r="T129" s="18"/>
      <c r="U129" s="18"/>
      <c r="V129" s="40"/>
      <c r="W129" s="18"/>
      <c r="X12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00975-4C6D-5A64-2508-D8ADB114181C}">
  <sheetPr>
    <tabColor rgb="FFFFFF00"/>
    <outlinePr summaryBelow="0" summaryRight="0"/>
  </sheetPr>
  <dimension ref="A2:Z11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311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300260.02</v>
      </c>
      <c r="E12" s="5"/>
      <c r="F12" s="13"/>
      <c r="G12" s="5"/>
      <c r="H12" s="5">
        <f>SUM(OSRRefH13x_0)</f>
        <v>73087.41</v>
      </c>
      <c r="I12" s="5"/>
      <c r="J12" s="13"/>
      <c r="K12" s="5"/>
      <c r="L12" s="5">
        <f t="shared" ref="L12:L18" si="0">+D12-H12</f>
        <v>227172.61000000002</v>
      </c>
      <c r="M12" s="5"/>
      <c r="N12" s="13">
        <f t="shared" ref="N12:N18" si="1">IF(H12=0,0,L12/H12)</f>
        <v>3.1082317734340292</v>
      </c>
      <c r="O12" s="11"/>
      <c r="P12" s="5">
        <f>SUM(OSRRefP13x_0)</f>
        <v>1390532.5</v>
      </c>
      <c r="Q12" s="5"/>
      <c r="R12" s="13"/>
      <c r="S12" s="5"/>
      <c r="T12" s="5">
        <f>SUM(OSRRefT13x_0)</f>
        <v>456620.31</v>
      </c>
      <c r="U12" s="5"/>
      <c r="V12" s="13"/>
      <c r="W12" s="5"/>
      <c r="X12" s="5">
        <f t="shared" ref="X12:X18" si="2">+P12-T12</f>
        <v>933912.19</v>
      </c>
      <c r="Y12" s="5"/>
      <c r="Z12" s="13">
        <f t="shared" ref="Z12:Z18" si="3">IF(T12=0,0,X12/T12)</f>
        <v>2.0452708071614247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--55113.37</f>
        <v>55113.37</v>
      </c>
      <c r="E13" s="3"/>
      <c r="F13" s="20"/>
      <c r="G13" s="3"/>
      <c r="H13" s="3">
        <f>--6552.2</f>
        <v>6552.2</v>
      </c>
      <c r="I13" s="3"/>
      <c r="J13" s="20"/>
      <c r="K13" s="3"/>
      <c r="L13" s="3">
        <f t="shared" si="0"/>
        <v>48561.170000000006</v>
      </c>
      <c r="M13" s="3"/>
      <c r="N13" s="20">
        <f t="shared" si="1"/>
        <v>7.4114297487866683</v>
      </c>
      <c r="O13" s="12"/>
      <c r="P13" s="3">
        <f>--318908.25</f>
        <v>318908.25</v>
      </c>
      <c r="Q13" s="3"/>
      <c r="R13" s="20"/>
      <c r="S13" s="3"/>
      <c r="T13" s="3">
        <f>--32121.26</f>
        <v>32121.26</v>
      </c>
      <c r="U13" s="3"/>
      <c r="V13" s="20"/>
      <c r="W13" s="3"/>
      <c r="X13" s="3">
        <f t="shared" si="2"/>
        <v>286786.99</v>
      </c>
      <c r="Y13" s="3"/>
      <c r="Z13" s="20">
        <f t="shared" si="3"/>
        <v>8.9282609088186451</v>
      </c>
    </row>
    <row r="14" spans="1:26" s="69" customFormat="1" ht="15" hidden="1" customHeight="1" outlineLevel="1" x14ac:dyDescent="0.3">
      <c r="A14" s="42"/>
      <c r="B14" s="12" t="str">
        <f>CONCATENATE("          ","4052"," - ","TAXABLE SALES-FOOD")</f>
        <v xml:space="preserve">          4052 - TAXABLE SALES-FOOD</v>
      </c>
      <c r="C14" s="12"/>
      <c r="D14" s="3">
        <f>0</f>
        <v>0</v>
      </c>
      <c r="E14" s="3"/>
      <c r="F14" s="20"/>
      <c r="G14" s="3"/>
      <c r="H14" s="3">
        <f>--48734.68</f>
        <v>48734.68</v>
      </c>
      <c r="I14" s="3"/>
      <c r="J14" s="20"/>
      <c r="K14" s="3"/>
      <c r="L14" s="3">
        <f t="shared" si="0"/>
        <v>-48734.68</v>
      </c>
      <c r="M14" s="3"/>
      <c r="N14" s="20">
        <f t="shared" si="1"/>
        <v>-1</v>
      </c>
      <c r="O14" s="12"/>
      <c r="P14" s="3">
        <f>0</f>
        <v>0</v>
      </c>
      <c r="Q14" s="3"/>
      <c r="R14" s="20"/>
      <c r="S14" s="3"/>
      <c r="T14" s="3">
        <f>--380674.79</f>
        <v>380674.79</v>
      </c>
      <c r="U14" s="3"/>
      <c r="V14" s="20"/>
      <c r="W14" s="3"/>
      <c r="X14" s="3">
        <f t="shared" si="2"/>
        <v>-380674.79</v>
      </c>
      <c r="Y14" s="3"/>
      <c r="Z14" s="20">
        <f t="shared" si="3"/>
        <v>-1</v>
      </c>
    </row>
    <row r="15" spans="1:26" s="69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--7381.41</f>
        <v>7381.41</v>
      </c>
      <c r="E15" s="3"/>
      <c r="F15" s="20"/>
      <c r="G15" s="3"/>
      <c r="H15" s="3">
        <f>0</f>
        <v>0</v>
      </c>
      <c r="I15" s="3"/>
      <c r="J15" s="20"/>
      <c r="K15" s="3"/>
      <c r="L15" s="3">
        <f t="shared" si="0"/>
        <v>7381.41</v>
      </c>
      <c r="M15" s="3"/>
      <c r="N15" s="20">
        <f t="shared" si="1"/>
        <v>0</v>
      </c>
      <c r="O15" s="12"/>
      <c r="P15" s="3">
        <f>--24251.84</f>
        <v>24251.84</v>
      </c>
      <c r="Q15" s="3"/>
      <c r="R15" s="20"/>
      <c r="S15" s="3"/>
      <c r="T15" s="3">
        <f>0</f>
        <v>0</v>
      </c>
      <c r="U15" s="3"/>
      <c r="V15" s="20"/>
      <c r="W15" s="3"/>
      <c r="X15" s="3">
        <f t="shared" si="2"/>
        <v>24251.84</v>
      </c>
      <c r="Y15" s="3"/>
      <c r="Z15" s="20">
        <f t="shared" si="3"/>
        <v>0</v>
      </c>
    </row>
    <row r="16" spans="1:26" s="69" customFormat="1" ht="15" hidden="1" customHeight="1" outlineLevel="1" x14ac:dyDescent="0.3">
      <c r="A16" s="42"/>
      <c r="B16" s="12" t="str">
        <f>CONCATENATE("          ","4058"," - ","TAXABLE SALES-FOOD")</f>
        <v xml:space="preserve">          4058 - TAXABLE SALES-FOOD</v>
      </c>
      <c r="C16" s="12"/>
      <c r="D16" s="3">
        <f>0</f>
        <v>0</v>
      </c>
      <c r="E16" s="3"/>
      <c r="F16" s="20"/>
      <c r="G16" s="3"/>
      <c r="H16" s="3">
        <f>0</f>
        <v>0</v>
      </c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>
        <f>--974.91</f>
        <v>974.91</v>
      </c>
      <c r="U16" s="3"/>
      <c r="V16" s="20"/>
      <c r="W16" s="3"/>
      <c r="X16" s="3">
        <f t="shared" si="2"/>
        <v>-974.91</v>
      </c>
      <c r="Y16" s="3"/>
      <c r="Z16" s="20">
        <f t="shared" si="3"/>
        <v>-1</v>
      </c>
    </row>
    <row r="17" spans="1:26" s="69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--237765.24</f>
        <v>237765.24</v>
      </c>
      <c r="E17" s="3"/>
      <c r="F17" s="20"/>
      <c r="G17" s="3"/>
      <c r="H17" s="3">
        <f>--6219.58</f>
        <v>6219.58</v>
      </c>
      <c r="I17" s="3"/>
      <c r="J17" s="20"/>
      <c r="K17" s="3"/>
      <c r="L17" s="3">
        <f t="shared" si="0"/>
        <v>231545.66</v>
      </c>
      <c r="M17" s="3"/>
      <c r="N17" s="20">
        <f t="shared" si="1"/>
        <v>37.228504175523106</v>
      </c>
      <c r="O17" s="12"/>
      <c r="P17" s="3">
        <f>--1047372.41</f>
        <v>1047372.41</v>
      </c>
      <c r="Q17" s="3"/>
      <c r="R17" s="20"/>
      <c r="S17" s="3"/>
      <c r="T17" s="3">
        <f>--31268.4</f>
        <v>31268.400000000001</v>
      </c>
      <c r="U17" s="3"/>
      <c r="V17" s="20"/>
      <c r="W17" s="3"/>
      <c r="X17" s="3">
        <f t="shared" si="2"/>
        <v>1016104.01</v>
      </c>
      <c r="Y17" s="3"/>
      <c r="Z17" s="20">
        <f t="shared" si="3"/>
        <v>32.496194560642692</v>
      </c>
    </row>
    <row r="18" spans="1:26" s="69" customFormat="1" ht="15" hidden="1" customHeight="1" outlineLevel="1" x14ac:dyDescent="0.3">
      <c r="A18" s="42"/>
      <c r="B18" s="12" t="str">
        <f>CONCATENATE("          ","4152"," - ","NON-TAXABLE SALES-FOOD")</f>
        <v xml:space="preserve">          4152 - NON-TAXABLE SALES-FOOD</v>
      </c>
      <c r="C18" s="12"/>
      <c r="D18" s="3">
        <f>0</f>
        <v>0</v>
      </c>
      <c r="E18" s="3"/>
      <c r="F18" s="20"/>
      <c r="G18" s="3"/>
      <c r="H18" s="3">
        <f>--11580.95</f>
        <v>11580.95</v>
      </c>
      <c r="I18" s="3"/>
      <c r="J18" s="20"/>
      <c r="K18" s="3"/>
      <c r="L18" s="3">
        <f t="shared" si="0"/>
        <v>-11580.95</v>
      </c>
      <c r="M18" s="3"/>
      <c r="N18" s="20">
        <f t="shared" si="1"/>
        <v>-1</v>
      </c>
      <c r="O18" s="12"/>
      <c r="P18" s="3">
        <f>0</f>
        <v>0</v>
      </c>
      <c r="Q18" s="3"/>
      <c r="R18" s="20"/>
      <c r="S18" s="3"/>
      <c r="T18" s="3">
        <f>--11580.95</f>
        <v>11580.95</v>
      </c>
      <c r="U18" s="3"/>
      <c r="V18" s="20"/>
      <c r="W18" s="3"/>
      <c r="X18" s="3">
        <f t="shared" si="2"/>
        <v>-11580.95</v>
      </c>
      <c r="Y18" s="3"/>
      <c r="Z18" s="20">
        <f t="shared" si="3"/>
        <v>-1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collapsed="1" x14ac:dyDescent="0.3">
      <c r="A20" s="11"/>
      <c r="B20" s="27" t="s">
        <v>287</v>
      </c>
      <c r="C20" s="11"/>
      <c r="D20" s="5">
        <f>SUM(OSRRefD16x_0)</f>
        <v>94773.03</v>
      </c>
      <c r="E20" s="5"/>
      <c r="F20" s="13">
        <f>IF(D$12=0,0,D20/D$12)</f>
        <v>0.31563652730057101</v>
      </c>
      <c r="G20" s="5"/>
      <c r="H20" s="5">
        <f>SUM(OSRRefH16x_0)</f>
        <v>3876.35</v>
      </c>
      <c r="I20" s="5"/>
      <c r="J20" s="13">
        <f>IF(H$12=0,0,H20/H$12)</f>
        <v>5.3037178359446581E-2</v>
      </c>
      <c r="K20" s="5"/>
      <c r="L20" s="5">
        <f>+D20-H20</f>
        <v>90896.68</v>
      </c>
      <c r="M20" s="5"/>
      <c r="N20" s="13">
        <f>IF(H20=0,0,L20/H20)</f>
        <v>23.449038399525325</v>
      </c>
      <c r="O20" s="11"/>
      <c r="P20" s="5">
        <f>SUM(OSRRefP16x_0)</f>
        <v>517317.63</v>
      </c>
      <c r="Q20" s="5"/>
      <c r="R20" s="13">
        <f>IF(P$12=0,0,P20/P$12)</f>
        <v>0.37202843514984368</v>
      </c>
      <c r="S20" s="5"/>
      <c r="T20" s="5">
        <f>SUM(OSRRefT16x_0)</f>
        <v>13520.3</v>
      </c>
      <c r="U20" s="5"/>
      <c r="V20" s="13">
        <f>IF(T$12=0,0,T20/T$12)</f>
        <v>2.9609502039013549E-2</v>
      </c>
      <c r="W20" s="5"/>
      <c r="X20" s="5">
        <f>+P20-T20</f>
        <v>503797.33</v>
      </c>
      <c r="Y20" s="5"/>
      <c r="Z20" s="13">
        <f>IF(T20=0,0,X20/T20)</f>
        <v>37.262289298314393</v>
      </c>
    </row>
    <row r="21" spans="1:26" s="69" customFormat="1" ht="15" hidden="1" customHeight="1" outlineLevel="1" x14ac:dyDescent="0.3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75721.899999999994</v>
      </c>
      <c r="E21" s="3"/>
      <c r="F21" s="20">
        <f>IF(D$12=0,0,D21/D$12)</f>
        <v>0.25218775380085562</v>
      </c>
      <c r="G21" s="3"/>
      <c r="H21" s="3">
        <v>3742.42</v>
      </c>
      <c r="I21" s="3"/>
      <c r="J21" s="20">
        <f>IF(H$12=0,0,H21/H$12)</f>
        <v>5.1204715011792044E-2</v>
      </c>
      <c r="K21" s="3"/>
      <c r="L21" s="3">
        <f>+D21-H21</f>
        <v>71979.48</v>
      </c>
      <c r="M21" s="3"/>
      <c r="N21" s="20">
        <f>IF(H21=0,0,L21/H21)</f>
        <v>19.233405122888396</v>
      </c>
      <c r="O21" s="12"/>
      <c r="P21" s="3">
        <v>451215.26</v>
      </c>
      <c r="Q21" s="3"/>
      <c r="R21" s="20">
        <f>IF(P$12=0,0,P21/P$12)</f>
        <v>0.32449098456886122</v>
      </c>
      <c r="S21" s="3"/>
      <c r="T21" s="3">
        <v>8136.29</v>
      </c>
      <c r="U21" s="3"/>
      <c r="V21" s="20">
        <f>IF(T$12=0,0,T21/T$12)</f>
        <v>1.7818502203723701E-2</v>
      </c>
      <c r="W21" s="3"/>
      <c r="X21" s="3">
        <f>+P21-T21</f>
        <v>443078.97000000003</v>
      </c>
      <c r="Y21" s="3"/>
      <c r="Z21" s="20">
        <f>IF(T21=0,0,X21/T21)</f>
        <v>54.457126036559664</v>
      </c>
    </row>
    <row r="22" spans="1:26" s="69" customFormat="1" ht="15" hidden="1" customHeight="1" outlineLevel="1" x14ac:dyDescent="0.3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19051.13</v>
      </c>
      <c r="E22" s="3"/>
      <c r="F22" s="20">
        <f>IF(D$12=0,0,D22/D$12)</f>
        <v>6.3448773499715352E-2</v>
      </c>
      <c r="G22" s="3"/>
      <c r="H22" s="3">
        <v>133.93</v>
      </c>
      <c r="I22" s="3"/>
      <c r="J22" s="20">
        <f>IF(H$12=0,0,H22/H$12)</f>
        <v>1.8324633476545413E-3</v>
      </c>
      <c r="K22" s="3"/>
      <c r="L22" s="3">
        <f>+D22-H22</f>
        <v>18917.2</v>
      </c>
      <c r="M22" s="3"/>
      <c r="N22" s="20">
        <f>IF(H22=0,0,L22/H22)</f>
        <v>141.24692003285298</v>
      </c>
      <c r="O22" s="12"/>
      <c r="P22" s="3">
        <v>66102.37</v>
      </c>
      <c r="Q22" s="3"/>
      <c r="R22" s="20">
        <f>IF(P$12=0,0,P22/P$12)</f>
        <v>4.7537450580982465E-2</v>
      </c>
      <c r="S22" s="3"/>
      <c r="T22" s="3">
        <v>5384.01</v>
      </c>
      <c r="U22" s="3"/>
      <c r="V22" s="20">
        <f>IF(T$12=0,0,T22/T$12)</f>
        <v>1.1790999835289849E-2</v>
      </c>
      <c r="W22" s="3"/>
      <c r="X22" s="3">
        <f>+P22-T22</f>
        <v>60718.359999999993</v>
      </c>
      <c r="Y22" s="3"/>
      <c r="Z22" s="20">
        <f>IF(T22=0,0,X22/T22)</f>
        <v>11.277534774266762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11"/>
      <c r="B24" s="28" t="s">
        <v>288</v>
      </c>
      <c r="C24" s="28"/>
      <c r="D24" s="21">
        <f>D12-D20</f>
        <v>205486.99000000002</v>
      </c>
      <c r="E24" s="15"/>
      <c r="F24" s="23">
        <f>IF(D$12=0,0,D24/D$12)</f>
        <v>0.68436347269942899</v>
      </c>
      <c r="G24" s="15"/>
      <c r="H24" s="21">
        <f>H12-H20</f>
        <v>69211.06</v>
      </c>
      <c r="I24" s="15"/>
      <c r="J24" s="23">
        <f>IF(H$12=0,0,H24/H$12)</f>
        <v>0.94696282164055334</v>
      </c>
      <c r="K24" s="16"/>
      <c r="L24" s="21">
        <f>+D24-H24</f>
        <v>136275.93000000002</v>
      </c>
      <c r="M24" s="16"/>
      <c r="N24" s="23">
        <f>IF(H24=0,0,L24/H24)</f>
        <v>1.9689906497603133</v>
      </c>
      <c r="O24" s="27"/>
      <c r="P24" s="21">
        <f>P12-P20</f>
        <v>873214.87</v>
      </c>
      <c r="Q24" s="15"/>
      <c r="R24" s="23">
        <f>IF(P$12=0,0,P24/P$12)</f>
        <v>0.62797156485015637</v>
      </c>
      <c r="S24" s="15"/>
      <c r="T24" s="21">
        <f>T12-T20</f>
        <v>443100.01</v>
      </c>
      <c r="U24" s="15"/>
      <c r="V24" s="23">
        <f>IF(T$12=0,0,T24/T$12)</f>
        <v>0.97039049796098642</v>
      </c>
      <c r="W24" s="16"/>
      <c r="X24" s="21">
        <f>+P24-T24</f>
        <v>430114.86</v>
      </c>
      <c r="Y24" s="16"/>
      <c r="Z24" s="23">
        <f>IF(T24=0,0,X24/T24)</f>
        <v>0.97069476482295713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2" customFormat="1" ht="15" customHeight="1" x14ac:dyDescent="0.3">
      <c r="A26" s="11"/>
      <c r="B26" s="27" t="s">
        <v>289</v>
      </c>
      <c r="C26" s="11"/>
      <c r="D26" s="22" cm="1">
        <f t="array" ref="D26">SUM(OSRRefD22x_0)</f>
        <v>244929.50999999998</v>
      </c>
      <c r="E26" s="22"/>
      <c r="F26" s="32">
        <f t="shared" ref="F26:F57" si="4">IF(D$12=0,0,D26/D$12)</f>
        <v>0.81572468422535893</v>
      </c>
      <c r="G26" s="22"/>
      <c r="H26" s="22" cm="1">
        <f t="array" ref="H26">SUM(OSRRefH22x_0)</f>
        <v>121656.65000000002</v>
      </c>
      <c r="I26" s="22"/>
      <c r="J26" s="32">
        <f t="shared" ref="J26:J57" si="5">IF(H$12=0,0,H26/H$12)</f>
        <v>1.6645363408006935</v>
      </c>
      <c r="K26" s="5"/>
      <c r="L26" s="22">
        <f t="shared" ref="L26:L57" si="6">+D26-H26</f>
        <v>123272.85999999996</v>
      </c>
      <c r="M26" s="5"/>
      <c r="N26" s="32">
        <f t="shared" ref="N26:N57" si="7">IF(H26=0,0,L26/H26)</f>
        <v>1.0132850115468406</v>
      </c>
      <c r="O26" s="11"/>
      <c r="P26" s="22" cm="1">
        <f t="array" ref="P26">SUM(OSRRefP22x_0)</f>
        <v>1893480.4500000002</v>
      </c>
      <c r="Q26" s="22"/>
      <c r="R26" s="32">
        <f t="shared" ref="R26:R57" si="8">IF(P$12=0,0,P26/P$12)</f>
        <v>1.3616944947349308</v>
      </c>
      <c r="S26" s="22"/>
      <c r="T26" s="22" cm="1">
        <f t="array" ref="T26">SUM(OSRRefT22x_0)</f>
        <v>1114041.6900000004</v>
      </c>
      <c r="U26" s="22"/>
      <c r="V26" s="32">
        <f t="shared" ref="V26:V57" si="9">IF(T$12=0,0,T26/T$12)</f>
        <v>2.43975501221135</v>
      </c>
      <c r="W26" s="5"/>
      <c r="X26" s="22">
        <f t="shared" ref="X26:X57" si="10">+P26-T26</f>
        <v>779438.75999999978</v>
      </c>
      <c r="Y26" s="5"/>
      <c r="Z26" s="32">
        <f t="shared" ref="Z26:Z57" si="11">IF(T26=0,0,X26/T26)</f>
        <v>0.69964954363601917</v>
      </c>
    </row>
    <row r="27" spans="1:26" s="68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33726.42</v>
      </c>
      <c r="E27" s="2"/>
      <c r="F27" s="6">
        <f t="shared" si="4"/>
        <v>0.1123240450060584</v>
      </c>
      <c r="G27" s="2"/>
      <c r="H27" s="2">
        <f>SUM(OSRRefH22_0x_0)</f>
        <v>22024.969999999998</v>
      </c>
      <c r="I27" s="2"/>
      <c r="J27" s="6">
        <f t="shared" si="5"/>
        <v>0.30135108084962919</v>
      </c>
      <c r="K27" s="2"/>
      <c r="L27" s="2">
        <f t="shared" si="6"/>
        <v>11701.45</v>
      </c>
      <c r="M27" s="2"/>
      <c r="N27" s="6">
        <f t="shared" si="7"/>
        <v>0.53128108687548736</v>
      </c>
      <c r="O27" s="14"/>
      <c r="P27" s="2">
        <f>SUM(OSRRefP22_0x_0)</f>
        <v>309502.53000000003</v>
      </c>
      <c r="Q27" s="2"/>
      <c r="R27" s="6">
        <f t="shared" si="8"/>
        <v>0.22257842229505606</v>
      </c>
      <c r="S27" s="2"/>
      <c r="T27" s="2">
        <f>SUM(OSRRefT22_0x_0)</f>
        <v>208840.94</v>
      </c>
      <c r="U27" s="2"/>
      <c r="V27" s="6">
        <f t="shared" si="9"/>
        <v>0.45736235429387712</v>
      </c>
      <c r="W27" s="2"/>
      <c r="X27" s="2">
        <f t="shared" si="10"/>
        <v>100661.59000000003</v>
      </c>
      <c r="Y27" s="2"/>
      <c r="Z27" s="6">
        <f t="shared" si="11"/>
        <v>0.48200123021855784</v>
      </c>
    </row>
    <row r="28" spans="1:26" s="69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8">
        <v>7281.06</v>
      </c>
      <c r="E28" s="3"/>
      <c r="F28" s="7">
        <f t="shared" si="4"/>
        <v>2.4249182425285922E-2</v>
      </c>
      <c r="G28" s="3"/>
      <c r="H28" s="8">
        <v>3515.25</v>
      </c>
      <c r="I28" s="3"/>
      <c r="J28" s="7">
        <f t="shared" si="5"/>
        <v>4.8096518949022816E-2</v>
      </c>
      <c r="K28" s="3"/>
      <c r="L28" s="8">
        <f t="shared" si="6"/>
        <v>3765.8100000000004</v>
      </c>
      <c r="M28" s="3"/>
      <c r="N28" s="7">
        <f t="shared" si="7"/>
        <v>1.0712780029869855</v>
      </c>
      <c r="O28" s="12"/>
      <c r="P28" s="8">
        <v>47040.62</v>
      </c>
      <c r="Q28" s="3"/>
      <c r="R28" s="7">
        <f t="shared" si="8"/>
        <v>3.382921290944297E-2</v>
      </c>
      <c r="S28" s="3"/>
      <c r="T28" s="8">
        <v>25585.29</v>
      </c>
      <c r="U28" s="3"/>
      <c r="V28" s="7">
        <f t="shared" si="9"/>
        <v>5.6031870330077962E-2</v>
      </c>
      <c r="W28" s="3"/>
      <c r="X28" s="8">
        <f t="shared" si="10"/>
        <v>21455.33</v>
      </c>
      <c r="Y28" s="3"/>
      <c r="Z28" s="7">
        <f t="shared" si="11"/>
        <v>0.83858068444797773</v>
      </c>
    </row>
    <row r="29" spans="1:26" s="69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8">
        <v>2883.13</v>
      </c>
      <c r="E29" s="3"/>
      <c r="F29" s="7">
        <f t="shared" si="4"/>
        <v>9.6021108637773349E-3</v>
      </c>
      <c r="G29" s="3"/>
      <c r="H29" s="8">
        <v>611.07000000000005</v>
      </c>
      <c r="I29" s="3"/>
      <c r="J29" s="7">
        <f t="shared" si="5"/>
        <v>8.3608107059752156E-3</v>
      </c>
      <c r="K29" s="3"/>
      <c r="L29" s="8">
        <f t="shared" si="6"/>
        <v>2272.06</v>
      </c>
      <c r="M29" s="3"/>
      <c r="N29" s="7">
        <f t="shared" si="7"/>
        <v>3.7181664948369249</v>
      </c>
      <c r="O29" s="12"/>
      <c r="P29" s="8">
        <v>21885.58</v>
      </c>
      <c r="Q29" s="3"/>
      <c r="R29" s="7">
        <f t="shared" si="8"/>
        <v>1.5738992076776342E-2</v>
      </c>
      <c r="S29" s="3"/>
      <c r="T29" s="8">
        <v>7014.54</v>
      </c>
      <c r="U29" s="3"/>
      <c r="V29" s="7">
        <f t="shared" si="9"/>
        <v>1.5361865966934323E-2</v>
      </c>
      <c r="W29" s="3"/>
      <c r="X29" s="8">
        <f t="shared" si="10"/>
        <v>14871.04</v>
      </c>
      <c r="Y29" s="3"/>
      <c r="Z29" s="7">
        <f t="shared" si="11"/>
        <v>2.1200306791322028</v>
      </c>
    </row>
    <row r="30" spans="1:26" s="69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8">
        <v>10058.31</v>
      </c>
      <c r="E30" s="3"/>
      <c r="F30" s="7">
        <f t="shared" si="4"/>
        <v>3.3498665589911034E-2</v>
      </c>
      <c r="G30" s="3"/>
      <c r="H30" s="8">
        <v>8554.93</v>
      </c>
      <c r="I30" s="3"/>
      <c r="J30" s="7">
        <f t="shared" si="5"/>
        <v>0.11705066577130042</v>
      </c>
      <c r="K30" s="3"/>
      <c r="L30" s="8">
        <f t="shared" si="6"/>
        <v>1503.3799999999992</v>
      </c>
      <c r="M30" s="3"/>
      <c r="N30" s="7">
        <f t="shared" si="7"/>
        <v>0.17573258927893029</v>
      </c>
      <c r="O30" s="12"/>
      <c r="P30" s="8">
        <v>120631.31</v>
      </c>
      <c r="Q30" s="3"/>
      <c r="R30" s="7">
        <f t="shared" si="8"/>
        <v>8.6751881023996197E-2</v>
      </c>
      <c r="S30" s="3"/>
      <c r="T30" s="8">
        <v>95151.57</v>
      </c>
      <c r="U30" s="3"/>
      <c r="V30" s="7">
        <f t="shared" si="9"/>
        <v>0.20838225527024851</v>
      </c>
      <c r="W30" s="3"/>
      <c r="X30" s="8">
        <f t="shared" si="10"/>
        <v>25479.739999999991</v>
      </c>
      <c r="Y30" s="3"/>
      <c r="Z30" s="7">
        <f t="shared" si="11"/>
        <v>0.26778055264878958</v>
      </c>
    </row>
    <row r="31" spans="1:26" s="69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8">
        <v>238.35</v>
      </c>
      <c r="E31" s="3"/>
      <c r="F31" s="7">
        <f t="shared" si="4"/>
        <v>7.9381197669939536E-4</v>
      </c>
      <c r="G31" s="3"/>
      <c r="H31" s="8">
        <v>78.72</v>
      </c>
      <c r="I31" s="3"/>
      <c r="J31" s="7">
        <f t="shared" si="5"/>
        <v>1.0770664879217911E-3</v>
      </c>
      <c r="K31" s="3"/>
      <c r="L31" s="8">
        <f t="shared" si="6"/>
        <v>159.63</v>
      </c>
      <c r="M31" s="3"/>
      <c r="N31" s="7">
        <f t="shared" si="7"/>
        <v>2.0278201219512195</v>
      </c>
      <c r="O31" s="12"/>
      <c r="P31" s="8">
        <v>1892.72</v>
      </c>
      <c r="Q31" s="3"/>
      <c r="R31" s="7">
        <f t="shared" si="8"/>
        <v>1.3611476179089664E-3</v>
      </c>
      <c r="S31" s="3"/>
      <c r="T31" s="8">
        <v>911.97</v>
      </c>
      <c r="U31" s="3"/>
      <c r="V31" s="7">
        <f t="shared" si="9"/>
        <v>1.997217337967293E-3</v>
      </c>
      <c r="W31" s="3"/>
      <c r="X31" s="8">
        <f t="shared" si="10"/>
        <v>980.75</v>
      </c>
      <c r="Y31" s="3"/>
      <c r="Z31" s="7">
        <f t="shared" si="11"/>
        <v>1.0754191475596784</v>
      </c>
    </row>
    <row r="32" spans="1:26" s="69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8">
        <v>4424.92</v>
      </c>
      <c r="E32" s="3"/>
      <c r="F32" s="7">
        <f t="shared" si="4"/>
        <v>1.4736960318593197E-2</v>
      </c>
      <c r="G32" s="3"/>
      <c r="H32" s="8">
        <v>2720.89</v>
      </c>
      <c r="I32" s="3"/>
      <c r="J32" s="7">
        <f t="shared" si="5"/>
        <v>3.7227889180913645E-2</v>
      </c>
      <c r="K32" s="3"/>
      <c r="L32" s="8">
        <f t="shared" si="6"/>
        <v>1704.0300000000002</v>
      </c>
      <c r="M32" s="3"/>
      <c r="N32" s="7">
        <f t="shared" si="7"/>
        <v>0.62627669622807258</v>
      </c>
      <c r="O32" s="12"/>
      <c r="P32" s="8">
        <v>34867.57</v>
      </c>
      <c r="Q32" s="3"/>
      <c r="R32" s="7">
        <f t="shared" si="8"/>
        <v>2.5074976672605637E-2</v>
      </c>
      <c r="S32" s="3"/>
      <c r="T32" s="8">
        <v>32430.99</v>
      </c>
      <c r="U32" s="3"/>
      <c r="V32" s="7">
        <f t="shared" si="9"/>
        <v>7.1023976134570108E-2</v>
      </c>
      <c r="W32" s="3"/>
      <c r="X32" s="8">
        <f t="shared" si="10"/>
        <v>2436.5799999999981</v>
      </c>
      <c r="Y32" s="3"/>
      <c r="Z32" s="7">
        <f t="shared" si="11"/>
        <v>7.5131224794556015E-2</v>
      </c>
    </row>
    <row r="33" spans="1:26" s="69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56.4</v>
      </c>
      <c r="E33" s="3"/>
      <c r="F33" s="7">
        <f t="shared" si="4"/>
        <v>1.8783719524164422E-4</v>
      </c>
      <c r="G33" s="3"/>
      <c r="H33" s="8"/>
      <c r="I33" s="3"/>
      <c r="J33" s="7">
        <f t="shared" si="5"/>
        <v>0</v>
      </c>
      <c r="K33" s="3"/>
      <c r="L33" s="8">
        <f t="shared" si="6"/>
        <v>56.4</v>
      </c>
      <c r="M33" s="3"/>
      <c r="N33" s="7">
        <f t="shared" si="7"/>
        <v>0</v>
      </c>
      <c r="O33" s="12"/>
      <c r="P33" s="8">
        <v>192.92</v>
      </c>
      <c r="Q33" s="3"/>
      <c r="R33" s="7">
        <f t="shared" si="8"/>
        <v>1.3873821719377288E-4</v>
      </c>
      <c r="S33" s="3"/>
      <c r="T33" s="8"/>
      <c r="U33" s="3"/>
      <c r="V33" s="7">
        <f t="shared" si="9"/>
        <v>0</v>
      </c>
      <c r="W33" s="3"/>
      <c r="X33" s="8">
        <f t="shared" si="10"/>
        <v>192.92</v>
      </c>
      <c r="Y33" s="3"/>
      <c r="Z33" s="7">
        <f t="shared" si="11"/>
        <v>0</v>
      </c>
    </row>
    <row r="34" spans="1:26" s="69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4146.3599999999997</v>
      </c>
      <c r="E34" s="3"/>
      <c r="F34" s="7">
        <f t="shared" si="4"/>
        <v>1.3809231079116026E-2</v>
      </c>
      <c r="G34" s="3"/>
      <c r="H34" s="8">
        <v>3694.38</v>
      </c>
      <c r="I34" s="3"/>
      <c r="J34" s="7">
        <f t="shared" si="5"/>
        <v>5.0547419863421074E-2</v>
      </c>
      <c r="K34" s="3"/>
      <c r="L34" s="8">
        <f t="shared" si="6"/>
        <v>451.97999999999956</v>
      </c>
      <c r="M34" s="3"/>
      <c r="N34" s="7">
        <f t="shared" si="7"/>
        <v>0.12234258522404289</v>
      </c>
      <c r="O34" s="12"/>
      <c r="P34" s="8">
        <v>36113.64</v>
      </c>
      <c r="Q34" s="3"/>
      <c r="R34" s="7">
        <f t="shared" si="8"/>
        <v>2.597108661609851E-2</v>
      </c>
      <c r="S34" s="3"/>
      <c r="T34" s="8">
        <v>27129.3</v>
      </c>
      <c r="U34" s="3"/>
      <c r="V34" s="7">
        <f t="shared" si="9"/>
        <v>5.9413257373505793E-2</v>
      </c>
      <c r="W34" s="3"/>
      <c r="X34" s="8">
        <f t="shared" si="10"/>
        <v>8984.34</v>
      </c>
      <c r="Y34" s="3"/>
      <c r="Z34" s="7">
        <f t="shared" si="11"/>
        <v>0.33116740940606654</v>
      </c>
    </row>
    <row r="35" spans="1:26" s="69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3075.89</v>
      </c>
      <c r="E35" s="3"/>
      <c r="F35" s="7">
        <f t="shared" si="4"/>
        <v>1.0244087774323068E-2</v>
      </c>
      <c r="G35" s="3"/>
      <c r="H35" s="8">
        <v>2074.29</v>
      </c>
      <c r="I35" s="3"/>
      <c r="J35" s="7">
        <f t="shared" si="5"/>
        <v>2.8380948237186128E-2</v>
      </c>
      <c r="K35" s="3"/>
      <c r="L35" s="8">
        <f t="shared" si="6"/>
        <v>1001.5999999999999</v>
      </c>
      <c r="M35" s="3"/>
      <c r="N35" s="7">
        <f t="shared" si="7"/>
        <v>0.4828640161211788</v>
      </c>
      <c r="O35" s="12"/>
      <c r="P35" s="8">
        <v>31046.7</v>
      </c>
      <c r="Q35" s="3"/>
      <c r="R35" s="7">
        <f t="shared" si="8"/>
        <v>2.2327201989166021E-2</v>
      </c>
      <c r="S35" s="3"/>
      <c r="T35" s="8">
        <v>15582.43</v>
      </c>
      <c r="U35" s="3"/>
      <c r="V35" s="7">
        <f t="shared" si="9"/>
        <v>3.4125573608410016E-2</v>
      </c>
      <c r="W35" s="3"/>
      <c r="X35" s="8">
        <f t="shared" si="10"/>
        <v>15464.27</v>
      </c>
      <c r="Y35" s="3"/>
      <c r="Z35" s="7">
        <f t="shared" si="11"/>
        <v>0.99241710054208487</v>
      </c>
    </row>
    <row r="36" spans="1:26" s="69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1562</v>
      </c>
      <c r="E36" s="3"/>
      <c r="F36" s="7">
        <f t="shared" si="4"/>
        <v>5.2021577831107852E-3</v>
      </c>
      <c r="G36" s="3"/>
      <c r="H36" s="8">
        <v>775.44</v>
      </c>
      <c r="I36" s="3"/>
      <c r="J36" s="7">
        <f t="shared" si="5"/>
        <v>1.0609761653888132E-2</v>
      </c>
      <c r="K36" s="3"/>
      <c r="L36" s="8">
        <f t="shared" si="6"/>
        <v>786.56</v>
      </c>
      <c r="M36" s="3"/>
      <c r="N36" s="7">
        <f t="shared" si="7"/>
        <v>1.014340245538017</v>
      </c>
      <c r="O36" s="12"/>
      <c r="P36" s="8">
        <v>15831.47</v>
      </c>
      <c r="Q36" s="3"/>
      <c r="R36" s="7">
        <f t="shared" si="8"/>
        <v>1.1385185171867611E-2</v>
      </c>
      <c r="S36" s="3"/>
      <c r="T36" s="8">
        <v>5034.8500000000004</v>
      </c>
      <c r="U36" s="3"/>
      <c r="V36" s="7">
        <f t="shared" si="9"/>
        <v>1.1026338272163146E-2</v>
      </c>
      <c r="W36" s="3"/>
      <c r="X36" s="8">
        <f t="shared" si="10"/>
        <v>10796.619999999999</v>
      </c>
      <c r="Y36" s="3"/>
      <c r="Z36" s="7">
        <f t="shared" si="11"/>
        <v>2.1443776875179994</v>
      </c>
    </row>
    <row r="37" spans="1:26" s="68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111230.56999999999</v>
      </c>
      <c r="E37" s="2"/>
      <c r="F37" s="6">
        <f t="shared" si="4"/>
        <v>0.37044748748101725</v>
      </c>
      <c r="G37" s="2"/>
      <c r="H37" s="2">
        <f>SUM(OSRRefH22_1x_0)</f>
        <v>32003.24</v>
      </c>
      <c r="I37" s="2"/>
      <c r="J37" s="6">
        <f t="shared" si="5"/>
        <v>0.43787623613971272</v>
      </c>
      <c r="K37" s="2"/>
      <c r="L37" s="2">
        <f t="shared" si="6"/>
        <v>79227.329999999987</v>
      </c>
      <c r="M37" s="2"/>
      <c r="N37" s="6">
        <f t="shared" si="7"/>
        <v>2.4756034076549742</v>
      </c>
      <c r="O37" s="14"/>
      <c r="P37" s="2">
        <f>SUM(OSRRefP22_1x_0)</f>
        <v>737444.4</v>
      </c>
      <c r="Q37" s="2"/>
      <c r="R37" s="6">
        <f t="shared" si="8"/>
        <v>0.53033237267018207</v>
      </c>
      <c r="S37" s="2"/>
      <c r="T37" s="2">
        <f>SUM(OSRRefT22_1x_0)</f>
        <v>292927.56</v>
      </c>
      <c r="U37" s="2"/>
      <c r="V37" s="6">
        <f t="shared" si="9"/>
        <v>0.64151233220440851</v>
      </c>
      <c r="W37" s="2"/>
      <c r="X37" s="2">
        <f t="shared" si="10"/>
        <v>444516.84</v>
      </c>
      <c r="Y37" s="2"/>
      <c r="Z37" s="6">
        <f t="shared" si="11"/>
        <v>1.5174975000645212</v>
      </c>
    </row>
    <row r="38" spans="1:26" s="69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>
        <v>12087.68</v>
      </c>
      <c r="E38" s="3"/>
      <c r="F38" s="7">
        <f t="shared" si="4"/>
        <v>4.0257374258484364E-2</v>
      </c>
      <c r="G38" s="3"/>
      <c r="H38" s="8">
        <v>13836.92</v>
      </c>
      <c r="I38" s="3"/>
      <c r="J38" s="7">
        <f t="shared" si="5"/>
        <v>0.18932015787671228</v>
      </c>
      <c r="K38" s="3"/>
      <c r="L38" s="8">
        <f t="shared" si="6"/>
        <v>-1749.2399999999998</v>
      </c>
      <c r="M38" s="3"/>
      <c r="N38" s="7">
        <f t="shared" si="7"/>
        <v>-0.12641830696426659</v>
      </c>
      <c r="O38" s="12"/>
      <c r="P38" s="8">
        <v>112796.03</v>
      </c>
      <c r="Q38" s="3"/>
      <c r="R38" s="7">
        <f t="shared" si="8"/>
        <v>8.1117147567568534E-2</v>
      </c>
      <c r="S38" s="3"/>
      <c r="T38" s="8">
        <v>111056.17</v>
      </c>
      <c r="U38" s="3"/>
      <c r="V38" s="7">
        <f t="shared" si="9"/>
        <v>0.24321338225187575</v>
      </c>
      <c r="W38" s="3"/>
      <c r="X38" s="8">
        <f t="shared" si="10"/>
        <v>1739.8600000000006</v>
      </c>
      <c r="Y38" s="3"/>
      <c r="Z38" s="7">
        <f t="shared" si="11"/>
        <v>1.5666486607632882E-2</v>
      </c>
    </row>
    <row r="39" spans="1:26" s="69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25200</v>
      </c>
      <c r="E39" s="3"/>
      <c r="F39" s="7">
        <f t="shared" si="4"/>
        <v>8.392725744839423E-2</v>
      </c>
      <c r="G39" s="3"/>
      <c r="H39" s="8">
        <v>14540.3</v>
      </c>
      <c r="I39" s="3"/>
      <c r="J39" s="7">
        <f t="shared" si="5"/>
        <v>0.19894397680804393</v>
      </c>
      <c r="K39" s="3"/>
      <c r="L39" s="8">
        <f t="shared" si="6"/>
        <v>10659.7</v>
      </c>
      <c r="M39" s="3"/>
      <c r="N39" s="7">
        <f t="shared" si="7"/>
        <v>0.73311417233482123</v>
      </c>
      <c r="O39" s="12"/>
      <c r="P39" s="8">
        <v>226882.97</v>
      </c>
      <c r="Q39" s="3"/>
      <c r="R39" s="7">
        <f t="shared" si="8"/>
        <v>0.16316265171795696</v>
      </c>
      <c r="S39" s="3"/>
      <c r="T39" s="8">
        <v>149853.29</v>
      </c>
      <c r="U39" s="3"/>
      <c r="V39" s="7">
        <f t="shared" si="9"/>
        <v>0.32817920429338765</v>
      </c>
      <c r="W39" s="3"/>
      <c r="X39" s="8">
        <f t="shared" si="10"/>
        <v>77029.679999999993</v>
      </c>
      <c r="Y39" s="3"/>
      <c r="Z39" s="7">
        <f t="shared" si="11"/>
        <v>0.51403395948130326</v>
      </c>
    </row>
    <row r="40" spans="1:26" s="69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>
        <v>20034.490000000002</v>
      </c>
      <c r="E40" s="3"/>
      <c r="F40" s="7">
        <f t="shared" si="4"/>
        <v>6.672380159036824E-2</v>
      </c>
      <c r="G40" s="3"/>
      <c r="H40" s="8">
        <v>4020.03</v>
      </c>
      <c r="I40" s="3"/>
      <c r="J40" s="7">
        <f t="shared" si="5"/>
        <v>5.5003043615856687E-2</v>
      </c>
      <c r="K40" s="3"/>
      <c r="L40" s="8">
        <f t="shared" si="6"/>
        <v>16014.460000000001</v>
      </c>
      <c r="M40" s="3"/>
      <c r="N40" s="7">
        <f t="shared" si="7"/>
        <v>3.9836667885563042</v>
      </c>
      <c r="O40" s="12"/>
      <c r="P40" s="8">
        <v>110487.92</v>
      </c>
      <c r="Q40" s="3"/>
      <c r="R40" s="7">
        <f t="shared" si="8"/>
        <v>7.9457272663529976E-2</v>
      </c>
      <c r="S40" s="3"/>
      <c r="T40" s="8">
        <v>28579.360000000001</v>
      </c>
      <c r="U40" s="3"/>
      <c r="V40" s="7">
        <f t="shared" si="9"/>
        <v>6.2588893603966064E-2</v>
      </c>
      <c r="W40" s="3"/>
      <c r="X40" s="8">
        <f t="shared" si="10"/>
        <v>81908.56</v>
      </c>
      <c r="Y40" s="3"/>
      <c r="Z40" s="7">
        <f t="shared" si="11"/>
        <v>2.8660039972903522</v>
      </c>
    </row>
    <row r="41" spans="1:26" s="69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>
        <v>23609.31</v>
      </c>
      <c r="E41" s="3"/>
      <c r="F41" s="7">
        <f t="shared" si="4"/>
        <v>7.8629549148767797E-2</v>
      </c>
      <c r="G41" s="3"/>
      <c r="H41" s="8">
        <v>382.01</v>
      </c>
      <c r="I41" s="3"/>
      <c r="J41" s="7">
        <f t="shared" si="5"/>
        <v>5.2267551962779909E-3</v>
      </c>
      <c r="K41" s="3"/>
      <c r="L41" s="8">
        <f t="shared" si="6"/>
        <v>23227.300000000003</v>
      </c>
      <c r="M41" s="3"/>
      <c r="N41" s="7">
        <f t="shared" si="7"/>
        <v>60.802858563911947</v>
      </c>
      <c r="O41" s="12"/>
      <c r="P41" s="8">
        <v>118766.03</v>
      </c>
      <c r="Q41" s="3"/>
      <c r="R41" s="7">
        <f t="shared" si="8"/>
        <v>8.5410466853525532E-2</v>
      </c>
      <c r="S41" s="3"/>
      <c r="T41" s="8">
        <v>3291.05</v>
      </c>
      <c r="U41" s="3"/>
      <c r="V41" s="7">
        <f t="shared" si="9"/>
        <v>7.2074104631920559E-3</v>
      </c>
      <c r="W41" s="3"/>
      <c r="X41" s="8">
        <f t="shared" si="10"/>
        <v>115474.98</v>
      </c>
      <c r="Y41" s="3"/>
      <c r="Z41" s="7">
        <f t="shared" si="11"/>
        <v>35.087579951687147</v>
      </c>
    </row>
    <row r="42" spans="1:26" s="69" customFormat="1" ht="15" hidden="1" customHeight="1" outlineLevel="2" x14ac:dyDescent="0.3">
      <c r="A42" s="26"/>
      <c r="B42" s="12" t="str">
        <f>CONCATENATE("          ","6007"," - ","STUDENT HOURLY")</f>
        <v xml:space="preserve">          6007 - STUDENT HOURLY</v>
      </c>
      <c r="C42" s="12"/>
      <c r="D42" s="8">
        <v>26477.279999999999</v>
      </c>
      <c r="E42" s="3"/>
      <c r="F42" s="7">
        <f t="shared" si="4"/>
        <v>8.818117044020711E-2</v>
      </c>
      <c r="G42" s="3"/>
      <c r="H42" s="8">
        <v>-776.02</v>
      </c>
      <c r="I42" s="3"/>
      <c r="J42" s="7">
        <f t="shared" si="5"/>
        <v>-1.0617697357178206E-2</v>
      </c>
      <c r="K42" s="3"/>
      <c r="L42" s="8">
        <f t="shared" si="6"/>
        <v>27253.3</v>
      </c>
      <c r="M42" s="3"/>
      <c r="N42" s="7">
        <f t="shared" si="7"/>
        <v>-35.11932682147367</v>
      </c>
      <c r="O42" s="12"/>
      <c r="P42" s="8">
        <v>161454.51999999999</v>
      </c>
      <c r="Q42" s="3"/>
      <c r="R42" s="7">
        <f t="shared" si="8"/>
        <v>0.11610985000350585</v>
      </c>
      <c r="S42" s="3"/>
      <c r="T42" s="8">
        <v>147.69</v>
      </c>
      <c r="U42" s="3"/>
      <c r="V42" s="7">
        <f t="shared" si="9"/>
        <v>3.2344159198700558E-4</v>
      </c>
      <c r="W42" s="3"/>
      <c r="X42" s="8">
        <f t="shared" si="10"/>
        <v>161306.82999999999</v>
      </c>
      <c r="Y42" s="3"/>
      <c r="Z42" s="7">
        <f t="shared" si="11"/>
        <v>1092.1987270634436</v>
      </c>
    </row>
    <row r="43" spans="1:26" s="69" customFormat="1" ht="15" hidden="1" customHeight="1" outlineLevel="2" x14ac:dyDescent="0.3">
      <c r="A43" s="26"/>
      <c r="B43" s="12" t="str">
        <f>CONCATENATE("          ","6008"," - ","STUDENT HOURLY-FICA EXEMPT")</f>
        <v xml:space="preserve">          6008 - STUDENT HOURLY-FICA EXEMPT</v>
      </c>
      <c r="C43" s="12"/>
      <c r="D43" s="8">
        <v>3821.81</v>
      </c>
      <c r="E43" s="3"/>
      <c r="F43" s="7">
        <f t="shared" si="4"/>
        <v>1.2728334594795537E-2</v>
      </c>
      <c r="G43" s="3"/>
      <c r="H43" s="8"/>
      <c r="I43" s="3"/>
      <c r="J43" s="7">
        <f t="shared" si="5"/>
        <v>0</v>
      </c>
      <c r="K43" s="3"/>
      <c r="L43" s="8">
        <f t="shared" si="6"/>
        <v>3821.81</v>
      </c>
      <c r="M43" s="3"/>
      <c r="N43" s="7">
        <f t="shared" si="7"/>
        <v>0</v>
      </c>
      <c r="O43" s="12"/>
      <c r="P43" s="8">
        <v>7056.93</v>
      </c>
      <c r="Q43" s="3"/>
      <c r="R43" s="7">
        <f t="shared" si="8"/>
        <v>5.0749838640952302E-3</v>
      </c>
      <c r="S43" s="3"/>
      <c r="T43" s="8"/>
      <c r="U43" s="3"/>
      <c r="V43" s="7">
        <f t="shared" si="9"/>
        <v>0</v>
      </c>
      <c r="W43" s="3"/>
      <c r="X43" s="8">
        <f t="shared" si="10"/>
        <v>7056.93</v>
      </c>
      <c r="Y43" s="3"/>
      <c r="Z43" s="7">
        <f t="shared" si="11"/>
        <v>0</v>
      </c>
    </row>
    <row r="44" spans="1:26" s="68" customFormat="1" ht="15" customHeight="1" outlineLevel="1" collapsed="1" x14ac:dyDescent="0.3">
      <c r="A44" s="25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602.39</v>
      </c>
      <c r="E44" s="2"/>
      <c r="F44" s="6">
        <f t="shared" si="4"/>
        <v>2.0062278021562778E-3</v>
      </c>
      <c r="G44" s="2"/>
      <c r="H44" s="2">
        <f>SUM(OSRRefH22_2x_0)</f>
        <v>68.13</v>
      </c>
      <c r="I44" s="2"/>
      <c r="J44" s="6">
        <f t="shared" si="5"/>
        <v>9.3217149164267815E-4</v>
      </c>
      <c r="K44" s="2"/>
      <c r="L44" s="2">
        <f t="shared" si="6"/>
        <v>534.26</v>
      </c>
      <c r="M44" s="2"/>
      <c r="N44" s="6">
        <f t="shared" si="7"/>
        <v>7.8417730808747983</v>
      </c>
      <c r="O44" s="14"/>
      <c r="P44" s="2">
        <f>SUM(OSRRefP22_2x_0)</f>
        <v>2144.27</v>
      </c>
      <c r="Q44" s="2"/>
      <c r="R44" s="6">
        <f t="shared" si="8"/>
        <v>1.5420495385760492E-3</v>
      </c>
      <c r="S44" s="2"/>
      <c r="T44" s="2">
        <f>SUM(OSRRefT22_2x_0)</f>
        <v>441.15</v>
      </c>
      <c r="U44" s="2"/>
      <c r="V44" s="6">
        <f t="shared" si="9"/>
        <v>9.6611996956508565E-4</v>
      </c>
      <c r="W44" s="2"/>
      <c r="X44" s="2">
        <f t="shared" si="10"/>
        <v>1703.12</v>
      </c>
      <c r="Y44" s="2"/>
      <c r="Z44" s="6">
        <f t="shared" si="11"/>
        <v>3.8606369715516262</v>
      </c>
    </row>
    <row r="45" spans="1:26" s="69" customFormat="1" ht="15" hidden="1" customHeight="1" outlineLevel="2" x14ac:dyDescent="0.3">
      <c r="A45" s="26"/>
      <c r="B45" s="12" t="str">
        <f>CONCATENATE("          ","6362"," - ","ADVERTISING EXPENSE")</f>
        <v xml:space="preserve">          6362 - ADVERTISING EXPENSE</v>
      </c>
      <c r="C45" s="12"/>
      <c r="D45" s="8">
        <v>602.39</v>
      </c>
      <c r="E45" s="3"/>
      <c r="F45" s="7">
        <f t="shared" si="4"/>
        <v>2.0062278021562778E-3</v>
      </c>
      <c r="G45" s="3"/>
      <c r="H45" s="8">
        <v>68.13</v>
      </c>
      <c r="I45" s="3"/>
      <c r="J45" s="7">
        <f t="shared" si="5"/>
        <v>9.3217149164267815E-4</v>
      </c>
      <c r="K45" s="3"/>
      <c r="L45" s="8">
        <f t="shared" si="6"/>
        <v>534.26</v>
      </c>
      <c r="M45" s="3"/>
      <c r="N45" s="7">
        <f t="shared" si="7"/>
        <v>7.8417730808747983</v>
      </c>
      <c r="O45" s="12"/>
      <c r="P45" s="8">
        <v>2144.27</v>
      </c>
      <c r="Q45" s="3"/>
      <c r="R45" s="7">
        <f t="shared" si="8"/>
        <v>1.5420495385760492E-3</v>
      </c>
      <c r="S45" s="3"/>
      <c r="T45" s="8">
        <v>441.15</v>
      </c>
      <c r="U45" s="3"/>
      <c r="V45" s="7">
        <f t="shared" si="9"/>
        <v>9.6611996956508565E-4</v>
      </c>
      <c r="W45" s="3"/>
      <c r="X45" s="8">
        <f t="shared" si="10"/>
        <v>1703.12</v>
      </c>
      <c r="Y45" s="3"/>
      <c r="Z45" s="7">
        <f t="shared" si="11"/>
        <v>3.8606369715516262</v>
      </c>
    </row>
    <row r="46" spans="1:26" s="68" customFormat="1" ht="15" customHeight="1" outlineLevel="1" collapsed="1" x14ac:dyDescent="0.3">
      <c r="A46" s="25"/>
      <c r="B46" s="14" t="str">
        <f>CONCATENATE("     ","Bad Debts/Over/Short                              ")</f>
        <v xml:space="preserve">     Bad Debts/Over/Short                              </v>
      </c>
      <c r="C46" s="14"/>
      <c r="D46" s="2">
        <f>SUM(OSRRefD22_3x_0)</f>
        <v>10.1</v>
      </c>
      <c r="E46" s="2"/>
      <c r="F46" s="6">
        <f t="shared" si="4"/>
        <v>3.3637511913840538E-5</v>
      </c>
      <c r="G46" s="2"/>
      <c r="H46" s="2">
        <f>SUM(OSRRefH22_3x_0)</f>
        <v>0.57999999999999996</v>
      </c>
      <c r="I46" s="2"/>
      <c r="J46" s="6">
        <f t="shared" si="5"/>
        <v>7.9357032900741721E-6</v>
      </c>
      <c r="K46" s="2"/>
      <c r="L46" s="2">
        <f t="shared" si="6"/>
        <v>9.52</v>
      </c>
      <c r="M46" s="2"/>
      <c r="N46" s="6">
        <f t="shared" si="7"/>
        <v>16.413793103448278</v>
      </c>
      <c r="O46" s="14"/>
      <c r="P46" s="2">
        <f>SUM(OSRRefP22_3x_0)</f>
        <v>-18.72</v>
      </c>
      <c r="Q46" s="2"/>
      <c r="R46" s="6">
        <f t="shared" si="8"/>
        <v>-1.3462468514759633E-5</v>
      </c>
      <c r="S46" s="2"/>
      <c r="T46" s="2">
        <f>SUM(OSRRefT22_3x_0)</f>
        <v>8.98</v>
      </c>
      <c r="U46" s="2"/>
      <c r="V46" s="6">
        <f t="shared" si="9"/>
        <v>1.9666229914302323E-5</v>
      </c>
      <c r="W46" s="2"/>
      <c r="X46" s="2">
        <f t="shared" si="10"/>
        <v>-27.7</v>
      </c>
      <c r="Y46" s="2"/>
      <c r="Z46" s="6">
        <f t="shared" si="11"/>
        <v>-3.084632516703786</v>
      </c>
    </row>
    <row r="47" spans="1:26" s="69" customFormat="1" ht="15" hidden="1" customHeight="1" outlineLevel="2" x14ac:dyDescent="0.3">
      <c r="A47" s="26"/>
      <c r="B47" s="12" t="str">
        <f>CONCATENATE("          ","6272"," - ","CASH (OVER/SHORT)")</f>
        <v xml:space="preserve">          6272 - CASH (OVER/SHORT)</v>
      </c>
      <c r="C47" s="12"/>
      <c r="D47" s="8">
        <v>10.1</v>
      </c>
      <c r="E47" s="3"/>
      <c r="F47" s="7">
        <f t="shared" si="4"/>
        <v>3.3637511913840538E-5</v>
      </c>
      <c r="G47" s="3"/>
      <c r="H47" s="8">
        <v>0.57999999999999996</v>
      </c>
      <c r="I47" s="3"/>
      <c r="J47" s="7">
        <f t="shared" si="5"/>
        <v>7.9357032900741721E-6</v>
      </c>
      <c r="K47" s="3"/>
      <c r="L47" s="8">
        <f t="shared" si="6"/>
        <v>9.52</v>
      </c>
      <c r="M47" s="3"/>
      <c r="N47" s="7">
        <f t="shared" si="7"/>
        <v>16.413793103448278</v>
      </c>
      <c r="O47" s="12"/>
      <c r="P47" s="8">
        <v>-18.72</v>
      </c>
      <c r="Q47" s="3"/>
      <c r="R47" s="7">
        <f t="shared" si="8"/>
        <v>-1.3462468514759633E-5</v>
      </c>
      <c r="S47" s="3"/>
      <c r="T47" s="8">
        <v>8.98</v>
      </c>
      <c r="U47" s="3"/>
      <c r="V47" s="7">
        <f t="shared" si="9"/>
        <v>1.9666229914302323E-5</v>
      </c>
      <c r="W47" s="3"/>
      <c r="X47" s="8">
        <f t="shared" si="10"/>
        <v>-27.7</v>
      </c>
      <c r="Y47" s="3"/>
      <c r="Z47" s="7">
        <f t="shared" si="11"/>
        <v>-3.084632516703786</v>
      </c>
    </row>
    <row r="48" spans="1:26" s="68" customFormat="1" ht="15" customHeight="1" outlineLevel="1" collapsed="1" x14ac:dyDescent="0.3">
      <c r="A48" s="25"/>
      <c r="B48" s="14" t="str">
        <f>CONCATENATE("     ","Bank/card Fees                                    ")</f>
        <v xml:space="preserve">     Bank/card Fees                                    </v>
      </c>
      <c r="C48" s="14"/>
      <c r="D48" s="2">
        <f>SUM(OSRRefD22_4x_0)</f>
        <v>6980.11</v>
      </c>
      <c r="E48" s="2"/>
      <c r="F48" s="6">
        <f t="shared" si="4"/>
        <v>2.3246884483655198E-2</v>
      </c>
      <c r="G48" s="2"/>
      <c r="H48" s="2">
        <f>SUM(OSRRefH22_4x_0)</f>
        <v>965.2</v>
      </c>
      <c r="I48" s="2"/>
      <c r="J48" s="6">
        <f t="shared" si="5"/>
        <v>1.3206104854447571E-2</v>
      </c>
      <c r="K48" s="2"/>
      <c r="L48" s="2">
        <f t="shared" si="6"/>
        <v>6014.91</v>
      </c>
      <c r="M48" s="2"/>
      <c r="N48" s="6">
        <f t="shared" si="7"/>
        <v>6.2317757977621211</v>
      </c>
      <c r="O48" s="14"/>
      <c r="P48" s="2">
        <f>SUM(OSRRefP22_4x_0)</f>
        <v>45754.12</v>
      </c>
      <c r="Q48" s="2"/>
      <c r="R48" s="6">
        <f t="shared" si="8"/>
        <v>3.2904027773532803E-2</v>
      </c>
      <c r="S48" s="2"/>
      <c r="T48" s="2">
        <f>SUM(OSRRefT22_4x_0)</f>
        <v>6323.05</v>
      </c>
      <c r="U48" s="2"/>
      <c r="V48" s="6">
        <f t="shared" si="9"/>
        <v>1.3847500563433108E-2</v>
      </c>
      <c r="W48" s="2"/>
      <c r="X48" s="2">
        <f t="shared" si="10"/>
        <v>39431.07</v>
      </c>
      <c r="Y48" s="2"/>
      <c r="Z48" s="6">
        <f t="shared" si="11"/>
        <v>6.2360838519385418</v>
      </c>
    </row>
    <row r="49" spans="1:26" s="69" customFormat="1" ht="15" hidden="1" customHeight="1" outlineLevel="2" x14ac:dyDescent="0.3">
      <c r="A49" s="26"/>
      <c r="B49" s="12" t="str">
        <f>CONCATENATE("          ","6381"," - ","BANK/CREDIT CARD FEES")</f>
        <v xml:space="preserve">          6381 - BANK/CREDIT CARD FEES</v>
      </c>
      <c r="C49" s="12"/>
      <c r="D49" s="8">
        <v>6980.11</v>
      </c>
      <c r="E49" s="3"/>
      <c r="F49" s="7">
        <f t="shared" si="4"/>
        <v>2.3246884483655198E-2</v>
      </c>
      <c r="G49" s="3"/>
      <c r="H49" s="8">
        <v>965.2</v>
      </c>
      <c r="I49" s="3"/>
      <c r="J49" s="7">
        <f t="shared" si="5"/>
        <v>1.3206104854447571E-2</v>
      </c>
      <c r="K49" s="3"/>
      <c r="L49" s="8">
        <f t="shared" si="6"/>
        <v>6014.91</v>
      </c>
      <c r="M49" s="3"/>
      <c r="N49" s="7">
        <f t="shared" si="7"/>
        <v>6.2317757977621211</v>
      </c>
      <c r="O49" s="12"/>
      <c r="P49" s="8">
        <v>45754.12</v>
      </c>
      <c r="Q49" s="3"/>
      <c r="R49" s="7">
        <f t="shared" si="8"/>
        <v>3.2904027773532803E-2</v>
      </c>
      <c r="S49" s="3"/>
      <c r="T49" s="8">
        <v>6323.05</v>
      </c>
      <c r="U49" s="3"/>
      <c r="V49" s="7">
        <f t="shared" si="9"/>
        <v>1.3847500563433108E-2</v>
      </c>
      <c r="W49" s="3"/>
      <c r="X49" s="8">
        <f t="shared" si="10"/>
        <v>39431.07</v>
      </c>
      <c r="Y49" s="3"/>
      <c r="Z49" s="7">
        <f t="shared" si="11"/>
        <v>6.2360838519385418</v>
      </c>
    </row>
    <row r="50" spans="1:26" s="68" customFormat="1" ht="15" customHeight="1" outlineLevel="1" collapsed="1" x14ac:dyDescent="0.3">
      <c r="A50" s="25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SUM(OSRRefD22_5x_0)</f>
        <v>36077.72</v>
      </c>
      <c r="E50" s="2"/>
      <c r="F50" s="6">
        <f t="shared" si="4"/>
        <v>0.12015492438853498</v>
      </c>
      <c r="G50" s="2"/>
      <c r="H50" s="2">
        <f>SUM(OSRRefH22_5x_0)</f>
        <v>36720.76</v>
      </c>
      <c r="I50" s="2"/>
      <c r="J50" s="6">
        <f t="shared" si="5"/>
        <v>0.50242251025176565</v>
      </c>
      <c r="K50" s="2"/>
      <c r="L50" s="2">
        <f t="shared" si="6"/>
        <v>-643.04000000000087</v>
      </c>
      <c r="M50" s="2"/>
      <c r="N50" s="6">
        <f t="shared" si="7"/>
        <v>-1.7511620129866616E-2</v>
      </c>
      <c r="O50" s="14"/>
      <c r="P50" s="2">
        <f>SUM(OSRRefP22_5x_0)</f>
        <v>330629.42000000004</v>
      </c>
      <c r="Q50" s="2"/>
      <c r="R50" s="6">
        <f t="shared" si="8"/>
        <v>0.23777180324803632</v>
      </c>
      <c r="S50" s="2"/>
      <c r="T50" s="2">
        <f>SUM(OSRRefT22_5x_0)</f>
        <v>370031.12</v>
      </c>
      <c r="U50" s="2"/>
      <c r="V50" s="6">
        <f t="shared" si="9"/>
        <v>0.81036938545287218</v>
      </c>
      <c r="W50" s="2"/>
      <c r="X50" s="2">
        <f t="shared" si="10"/>
        <v>-39401.699999999953</v>
      </c>
      <c r="Y50" s="2"/>
      <c r="Z50" s="6">
        <f t="shared" si="11"/>
        <v>-0.1064821250709939</v>
      </c>
    </row>
    <row r="51" spans="1:26" s="69" customFormat="1" ht="15" hidden="1" customHeight="1" outlineLevel="2" x14ac:dyDescent="0.3">
      <c r="A51" s="26"/>
      <c r="B51" s="12" t="str">
        <f>CONCATENATE("          ","6321"," - ","BUILDING DEPRECIATION")</f>
        <v xml:space="preserve">          6321 - BUILDING DEPRECIATION</v>
      </c>
      <c r="C51" s="12"/>
      <c r="D51" s="8">
        <v>23539.4</v>
      </c>
      <c r="E51" s="3"/>
      <c r="F51" s="7">
        <f t="shared" si="4"/>
        <v>7.8396717618282985E-2</v>
      </c>
      <c r="G51" s="3"/>
      <c r="H51" s="8">
        <v>23583.49</v>
      </c>
      <c r="I51" s="3"/>
      <c r="J51" s="7">
        <f t="shared" si="5"/>
        <v>0.32267513652488167</v>
      </c>
      <c r="K51" s="3"/>
      <c r="L51" s="8">
        <f t="shared" si="6"/>
        <v>-44.090000000000146</v>
      </c>
      <c r="M51" s="3"/>
      <c r="N51" s="7">
        <f t="shared" si="7"/>
        <v>-1.8695282165616769E-3</v>
      </c>
      <c r="O51" s="12"/>
      <c r="P51" s="8">
        <v>235482.14</v>
      </c>
      <c r="Q51" s="3"/>
      <c r="R51" s="7">
        <f t="shared" si="8"/>
        <v>0.16934673587276819</v>
      </c>
      <c r="S51" s="3"/>
      <c r="T51" s="8">
        <v>236619.09</v>
      </c>
      <c r="U51" s="3"/>
      <c r="V51" s="7">
        <f t="shared" si="9"/>
        <v>0.5181965953288411</v>
      </c>
      <c r="W51" s="3"/>
      <c r="X51" s="8">
        <f t="shared" si="10"/>
        <v>-1136.9499999999825</v>
      </c>
      <c r="Y51" s="3"/>
      <c r="Z51" s="7">
        <f t="shared" si="11"/>
        <v>-4.8049800208427081E-3</v>
      </c>
    </row>
    <row r="52" spans="1:26" s="69" customFormat="1" ht="15" hidden="1" customHeight="1" outlineLevel="2" x14ac:dyDescent="0.3">
      <c r="A52" s="26"/>
      <c r="B52" s="12" t="str">
        <f>CONCATENATE("          ","6322"," - ","EQUIPMENT DEPRECIATION EXPENSE")</f>
        <v xml:space="preserve">          6322 - EQUIPMENT DEPRECIATION EXPENSE</v>
      </c>
      <c r="C52" s="12"/>
      <c r="D52" s="8">
        <v>12538.32</v>
      </c>
      <c r="E52" s="3"/>
      <c r="F52" s="7">
        <f t="shared" si="4"/>
        <v>4.1758206770251993E-2</v>
      </c>
      <c r="G52" s="3"/>
      <c r="H52" s="8">
        <v>13137.27</v>
      </c>
      <c r="I52" s="3"/>
      <c r="J52" s="7">
        <f t="shared" si="5"/>
        <v>0.17974737372688401</v>
      </c>
      <c r="K52" s="3"/>
      <c r="L52" s="8">
        <f t="shared" si="6"/>
        <v>-598.95000000000073</v>
      </c>
      <c r="M52" s="3"/>
      <c r="N52" s="7">
        <f t="shared" si="7"/>
        <v>-4.5591664021520505E-2</v>
      </c>
      <c r="O52" s="12"/>
      <c r="P52" s="8">
        <v>95147.28</v>
      </c>
      <c r="Q52" s="3"/>
      <c r="R52" s="7">
        <f t="shared" si="8"/>
        <v>6.84250673752681E-2</v>
      </c>
      <c r="S52" s="3"/>
      <c r="T52" s="8">
        <v>133412.03</v>
      </c>
      <c r="U52" s="3"/>
      <c r="V52" s="7">
        <f t="shared" si="9"/>
        <v>0.29217279012403108</v>
      </c>
      <c r="W52" s="3"/>
      <c r="X52" s="8">
        <f t="shared" si="10"/>
        <v>-38264.75</v>
      </c>
      <c r="Y52" s="3"/>
      <c r="Z52" s="7">
        <f t="shared" si="11"/>
        <v>-0.28681633882641616</v>
      </c>
    </row>
    <row r="53" spans="1:26" s="68" customFormat="1" ht="15" customHeight="1" outlineLevel="1" collapsed="1" x14ac:dyDescent="0.3">
      <c r="A53" s="25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SUM(OSRRefD22_6x_0)</f>
        <v>61.45</v>
      </c>
      <c r="E53" s="2"/>
      <c r="F53" s="6">
        <f t="shared" si="4"/>
        <v>2.0465595119856451E-4</v>
      </c>
      <c r="G53" s="2"/>
      <c r="H53" s="2">
        <f>SUM(OSRRefH22_6x_0)</f>
        <v>0</v>
      </c>
      <c r="I53" s="2"/>
      <c r="J53" s="6">
        <f t="shared" si="5"/>
        <v>0</v>
      </c>
      <c r="K53" s="2"/>
      <c r="L53" s="2">
        <f t="shared" si="6"/>
        <v>61.45</v>
      </c>
      <c r="M53" s="2"/>
      <c r="N53" s="6">
        <f t="shared" si="7"/>
        <v>0</v>
      </c>
      <c r="O53" s="14"/>
      <c r="P53" s="2">
        <f>SUM(OSRRefP22_6x_0)</f>
        <v>376.32</v>
      </c>
      <c r="Q53" s="2"/>
      <c r="R53" s="6">
        <f t="shared" si="8"/>
        <v>2.7063013629670645E-4</v>
      </c>
      <c r="S53" s="2"/>
      <c r="T53" s="2">
        <f>SUM(OSRRefT22_6x_0)</f>
        <v>10</v>
      </c>
      <c r="U53" s="2"/>
      <c r="V53" s="6">
        <f t="shared" si="9"/>
        <v>2.1900033312140671E-5</v>
      </c>
      <c r="W53" s="2"/>
      <c r="X53" s="2">
        <f t="shared" si="10"/>
        <v>366.32</v>
      </c>
      <c r="Y53" s="2"/>
      <c r="Z53" s="6">
        <f t="shared" si="11"/>
        <v>36.631999999999998</v>
      </c>
    </row>
    <row r="54" spans="1:26" s="69" customFormat="1" ht="15" hidden="1" customHeight="1" outlineLevel="2" x14ac:dyDescent="0.3">
      <c r="A54" s="26"/>
      <c r="B54" s="12" t="str">
        <f>CONCATENATE("          ","6277"," - ","EMPLOYEE APPRECIATION")</f>
        <v xml:space="preserve">          6277 - EMPLOYEE APPRECIATION</v>
      </c>
      <c r="C54" s="12"/>
      <c r="D54" s="8">
        <v>61.45</v>
      </c>
      <c r="E54" s="3"/>
      <c r="F54" s="7">
        <f t="shared" si="4"/>
        <v>2.0465595119856451E-4</v>
      </c>
      <c r="G54" s="3"/>
      <c r="H54" s="8"/>
      <c r="I54" s="3"/>
      <c r="J54" s="7">
        <f t="shared" si="5"/>
        <v>0</v>
      </c>
      <c r="K54" s="3"/>
      <c r="L54" s="8">
        <f t="shared" si="6"/>
        <v>61.45</v>
      </c>
      <c r="M54" s="3"/>
      <c r="N54" s="7">
        <f t="shared" si="7"/>
        <v>0</v>
      </c>
      <c r="O54" s="12"/>
      <c r="P54" s="8">
        <v>376.32</v>
      </c>
      <c r="Q54" s="3"/>
      <c r="R54" s="7">
        <f t="shared" si="8"/>
        <v>2.7063013629670645E-4</v>
      </c>
      <c r="S54" s="3"/>
      <c r="T54" s="8">
        <v>10</v>
      </c>
      <c r="U54" s="3"/>
      <c r="V54" s="7">
        <f t="shared" si="9"/>
        <v>2.1900033312140671E-5</v>
      </c>
      <c r="W54" s="3"/>
      <c r="X54" s="8">
        <f t="shared" si="10"/>
        <v>366.32</v>
      </c>
      <c r="Y54" s="3"/>
      <c r="Z54" s="7">
        <f t="shared" si="11"/>
        <v>36.631999999999998</v>
      </c>
    </row>
    <row r="55" spans="1:26" s="68" customFormat="1" ht="15" customHeight="1" outlineLevel="1" collapsed="1" x14ac:dyDescent="0.3">
      <c r="A55" s="25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SUM(OSRRefD22_7x_0)</f>
        <v>1997.37</v>
      </c>
      <c r="E55" s="2"/>
      <c r="F55" s="6">
        <f t="shared" si="4"/>
        <v>6.6521343734007605E-3</v>
      </c>
      <c r="G55" s="2"/>
      <c r="H55" s="2">
        <f>SUM(OSRRefH22_7x_0)</f>
        <v>567.59</v>
      </c>
      <c r="I55" s="2"/>
      <c r="J55" s="6">
        <f t="shared" si="5"/>
        <v>7.7659066041606897E-3</v>
      </c>
      <c r="K55" s="2"/>
      <c r="L55" s="2">
        <f t="shared" si="6"/>
        <v>1429.7799999999997</v>
      </c>
      <c r="M55" s="2"/>
      <c r="N55" s="6">
        <f t="shared" si="7"/>
        <v>2.5190366285522994</v>
      </c>
      <c r="O55" s="14"/>
      <c r="P55" s="2">
        <f>SUM(OSRRefP22_7x_0)</f>
        <v>10020.709999999999</v>
      </c>
      <c r="Q55" s="2"/>
      <c r="R55" s="6">
        <f t="shared" si="8"/>
        <v>7.2063831661611641E-3</v>
      </c>
      <c r="S55" s="2"/>
      <c r="T55" s="2">
        <f>SUM(OSRRefT22_7x_0)</f>
        <v>5451.82</v>
      </c>
      <c r="U55" s="2"/>
      <c r="V55" s="6">
        <f t="shared" si="9"/>
        <v>1.1939503961179475E-2</v>
      </c>
      <c r="W55" s="2"/>
      <c r="X55" s="2">
        <f t="shared" si="10"/>
        <v>4568.8899999999994</v>
      </c>
      <c r="Y55" s="2"/>
      <c r="Z55" s="6">
        <f t="shared" si="11"/>
        <v>0.83804857827294366</v>
      </c>
    </row>
    <row r="56" spans="1:26" s="69" customFormat="1" ht="15" hidden="1" customHeight="1" outlineLevel="2" x14ac:dyDescent="0.3">
      <c r="A56" s="26"/>
      <c r="B56" s="12" t="str">
        <f>CONCATENATE("          ","6351"," - ","EQUIPMENT RENTAL")</f>
        <v xml:space="preserve">          6351 - EQUIPMENT RENTAL</v>
      </c>
      <c r="C56" s="12"/>
      <c r="D56" s="8">
        <v>1997.37</v>
      </c>
      <c r="E56" s="3"/>
      <c r="F56" s="7">
        <f t="shared" si="4"/>
        <v>6.6521343734007605E-3</v>
      </c>
      <c r="G56" s="3"/>
      <c r="H56" s="8">
        <v>567.59</v>
      </c>
      <c r="I56" s="3"/>
      <c r="J56" s="7">
        <f t="shared" si="5"/>
        <v>7.7659066041606897E-3</v>
      </c>
      <c r="K56" s="3"/>
      <c r="L56" s="8">
        <f t="shared" si="6"/>
        <v>1429.7799999999997</v>
      </c>
      <c r="M56" s="3"/>
      <c r="N56" s="7">
        <f t="shared" si="7"/>
        <v>2.5190366285522994</v>
      </c>
      <c r="O56" s="12"/>
      <c r="P56" s="8">
        <v>10020.709999999999</v>
      </c>
      <c r="Q56" s="3"/>
      <c r="R56" s="7">
        <f t="shared" si="8"/>
        <v>7.2063831661611641E-3</v>
      </c>
      <c r="S56" s="3"/>
      <c r="T56" s="8">
        <v>5451.82</v>
      </c>
      <c r="U56" s="3"/>
      <c r="V56" s="7">
        <f t="shared" si="9"/>
        <v>1.1939503961179475E-2</v>
      </c>
      <c r="W56" s="3"/>
      <c r="X56" s="8">
        <f t="shared" si="10"/>
        <v>4568.8899999999994</v>
      </c>
      <c r="Y56" s="3"/>
      <c r="Z56" s="7">
        <f t="shared" si="11"/>
        <v>0.83804857827294366</v>
      </c>
    </row>
    <row r="57" spans="1:26" s="68" customFormat="1" ht="15" customHeight="1" outlineLevel="1" collapsed="1" x14ac:dyDescent="0.3">
      <c r="A57" s="25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SUM(OSRRefD22_8x_0)</f>
        <v>0</v>
      </c>
      <c r="E57" s="2"/>
      <c r="F57" s="6">
        <f t="shared" si="4"/>
        <v>0</v>
      </c>
      <c r="G57" s="2"/>
      <c r="H57" s="2">
        <f>SUM(OSRRefH22_8x_0)</f>
        <v>2.96</v>
      </c>
      <c r="I57" s="2"/>
      <c r="J57" s="6">
        <f t="shared" si="5"/>
        <v>4.0499451273481982E-5</v>
      </c>
      <c r="K57" s="2"/>
      <c r="L57" s="2">
        <f t="shared" si="6"/>
        <v>-2.96</v>
      </c>
      <c r="M57" s="2"/>
      <c r="N57" s="6">
        <f t="shared" si="7"/>
        <v>-1</v>
      </c>
      <c r="O57" s="14"/>
      <c r="P57" s="2">
        <f>SUM(OSRRefP22_8x_0)</f>
        <v>0</v>
      </c>
      <c r="Q57" s="2"/>
      <c r="R57" s="6">
        <f t="shared" si="8"/>
        <v>0</v>
      </c>
      <c r="S57" s="2"/>
      <c r="T57" s="2">
        <f>SUM(OSRRefT22_8x_0)</f>
        <v>-2.4500000000000002</v>
      </c>
      <c r="U57" s="2"/>
      <c r="V57" s="6">
        <f t="shared" si="9"/>
        <v>-5.3655081614744646E-6</v>
      </c>
      <c r="W57" s="2"/>
      <c r="X57" s="2">
        <f t="shared" si="10"/>
        <v>2.4500000000000002</v>
      </c>
      <c r="Y57" s="2"/>
      <c r="Z57" s="6">
        <f t="shared" si="11"/>
        <v>-1</v>
      </c>
    </row>
    <row r="58" spans="1:26" s="69" customFormat="1" ht="15" hidden="1" customHeight="1" outlineLevel="2" x14ac:dyDescent="0.3">
      <c r="A58" s="26"/>
      <c r="B58" s="12" t="str">
        <f>CONCATENATE("          ","6307"," - ","POSTAGE")</f>
        <v xml:space="preserve">          6307 - POSTAGE</v>
      </c>
      <c r="C58" s="12"/>
      <c r="D58" s="8"/>
      <c r="E58" s="3"/>
      <c r="F58" s="7">
        <f t="shared" ref="F58:F89" si="12">IF(D$12=0,0,D58/D$12)</f>
        <v>0</v>
      </c>
      <c r="G58" s="3"/>
      <c r="H58" s="8">
        <v>2.96</v>
      </c>
      <c r="I58" s="3"/>
      <c r="J58" s="7">
        <f t="shared" ref="J58:J89" si="13">IF(H$12=0,0,H58/H$12)</f>
        <v>4.0499451273481982E-5</v>
      </c>
      <c r="K58" s="3"/>
      <c r="L58" s="8">
        <f t="shared" ref="L58:L89" si="14">+D58-H58</f>
        <v>-2.96</v>
      </c>
      <c r="M58" s="3"/>
      <c r="N58" s="7">
        <f t="shared" ref="N58:N89" si="15">IF(H58=0,0,L58/H58)</f>
        <v>-1</v>
      </c>
      <c r="O58" s="12"/>
      <c r="P58" s="8"/>
      <c r="Q58" s="3"/>
      <c r="R58" s="7">
        <f t="shared" ref="R58:R89" si="16">IF(P$12=0,0,P58/P$12)</f>
        <v>0</v>
      </c>
      <c r="S58" s="3"/>
      <c r="T58" s="8">
        <v>-2.4500000000000002</v>
      </c>
      <c r="U58" s="3"/>
      <c r="V58" s="7">
        <f t="shared" ref="V58:V89" si="17">IF(T$12=0,0,T58/T$12)</f>
        <v>-5.3655081614744646E-6</v>
      </c>
      <c r="W58" s="3"/>
      <c r="X58" s="8">
        <f t="shared" ref="X58:X89" si="18">+P58-T58</f>
        <v>2.4500000000000002</v>
      </c>
      <c r="Y58" s="3"/>
      <c r="Z58" s="7">
        <f t="shared" ref="Z58:Z89" si="19">IF(T58=0,0,X58/T58)</f>
        <v>-1</v>
      </c>
    </row>
    <row r="59" spans="1:26" s="68" customFormat="1" ht="15" customHeight="1" outlineLevel="1" collapsed="1" x14ac:dyDescent="0.3">
      <c r="A59" s="25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SUM(OSRRefD22_9x_0)</f>
        <v>-316.45</v>
      </c>
      <c r="E59" s="2"/>
      <c r="F59" s="6">
        <f t="shared" si="12"/>
        <v>-1.0539198658549346E-3</v>
      </c>
      <c r="G59" s="2"/>
      <c r="H59" s="2">
        <f>SUM(OSRRefH22_9x_0)</f>
        <v>205</v>
      </c>
      <c r="I59" s="2"/>
      <c r="J59" s="6">
        <f t="shared" si="13"/>
        <v>2.8048606456296645E-3</v>
      </c>
      <c r="K59" s="2"/>
      <c r="L59" s="2">
        <f t="shared" si="14"/>
        <v>-521.45000000000005</v>
      </c>
      <c r="M59" s="2"/>
      <c r="N59" s="6">
        <f t="shared" si="15"/>
        <v>-2.5436585365853661</v>
      </c>
      <c r="O59" s="14"/>
      <c r="P59" s="2">
        <f>SUM(OSRRefP22_9x_0)</f>
        <v>19639.64</v>
      </c>
      <c r="Q59" s="2"/>
      <c r="R59" s="6">
        <f t="shared" si="16"/>
        <v>1.4123826663526382E-2</v>
      </c>
      <c r="S59" s="2"/>
      <c r="T59" s="2">
        <f>SUM(OSRRefT22_9x_0)</f>
        <v>7630.48</v>
      </c>
      <c r="U59" s="2"/>
      <c r="V59" s="6">
        <f t="shared" si="17"/>
        <v>1.6710776618762312E-2</v>
      </c>
      <c r="W59" s="2"/>
      <c r="X59" s="2">
        <f t="shared" si="18"/>
        <v>12009.16</v>
      </c>
      <c r="Y59" s="2"/>
      <c r="Z59" s="6">
        <f t="shared" si="19"/>
        <v>1.5738407020266092</v>
      </c>
    </row>
    <row r="60" spans="1:26" s="69" customFormat="1" ht="15" hidden="1" customHeight="1" outlineLevel="2" x14ac:dyDescent="0.3">
      <c r="A60" s="26"/>
      <c r="B60" s="12" t="str">
        <f>CONCATENATE("          ","6279"," - ","GENERAL EXPENSE")</f>
        <v xml:space="preserve">          6279 - GENERAL EXPENSE</v>
      </c>
      <c r="C60" s="12"/>
      <c r="D60" s="8">
        <v>-316.45</v>
      </c>
      <c r="E60" s="3"/>
      <c r="F60" s="7">
        <f t="shared" si="12"/>
        <v>-1.0539198658549346E-3</v>
      </c>
      <c r="G60" s="3"/>
      <c r="H60" s="8">
        <v>205</v>
      </c>
      <c r="I60" s="3"/>
      <c r="J60" s="7">
        <f t="shared" si="13"/>
        <v>2.8048606456296645E-3</v>
      </c>
      <c r="K60" s="3"/>
      <c r="L60" s="8">
        <f t="shared" si="14"/>
        <v>-521.45000000000005</v>
      </c>
      <c r="M60" s="3"/>
      <c r="N60" s="7">
        <f t="shared" si="15"/>
        <v>-2.5436585365853661</v>
      </c>
      <c r="O60" s="12"/>
      <c r="P60" s="8">
        <v>19639.64</v>
      </c>
      <c r="Q60" s="3"/>
      <c r="R60" s="7">
        <f t="shared" si="16"/>
        <v>1.4123826663526382E-2</v>
      </c>
      <c r="S60" s="3"/>
      <c r="T60" s="8">
        <v>7630.48</v>
      </c>
      <c r="U60" s="3"/>
      <c r="V60" s="7">
        <f t="shared" si="17"/>
        <v>1.6710776618762312E-2</v>
      </c>
      <c r="W60" s="3"/>
      <c r="X60" s="8">
        <f t="shared" si="18"/>
        <v>12009.16</v>
      </c>
      <c r="Y60" s="3"/>
      <c r="Z60" s="7">
        <f t="shared" si="19"/>
        <v>1.5738407020266092</v>
      </c>
    </row>
    <row r="61" spans="1:26" s="68" customFormat="1" ht="15" customHeight="1" outlineLevel="1" collapsed="1" x14ac:dyDescent="0.3">
      <c r="A61" s="25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SUM(OSRRefD22_10x_0)</f>
        <v>5756.21</v>
      </c>
      <c r="E61" s="2"/>
      <c r="F61" s="6">
        <f t="shared" si="12"/>
        <v>1.9170750737977037E-2</v>
      </c>
      <c r="G61" s="2"/>
      <c r="H61" s="2">
        <f>SUM(OSRRefH22_10x_0)</f>
        <v>4240.13</v>
      </c>
      <c r="I61" s="2"/>
      <c r="J61" s="6">
        <f t="shared" si="13"/>
        <v>5.8014506191969316E-2</v>
      </c>
      <c r="K61" s="2"/>
      <c r="L61" s="2">
        <f t="shared" si="14"/>
        <v>1516.08</v>
      </c>
      <c r="M61" s="2"/>
      <c r="N61" s="6">
        <f t="shared" si="15"/>
        <v>0.35755507496232425</v>
      </c>
      <c r="O61" s="14"/>
      <c r="P61" s="2">
        <f>SUM(OSRRefP22_10x_0)</f>
        <v>64445.1</v>
      </c>
      <c r="Q61" s="2"/>
      <c r="R61" s="6">
        <f t="shared" si="16"/>
        <v>4.634562658549872E-2</v>
      </c>
      <c r="S61" s="2"/>
      <c r="T61" s="2">
        <f>SUM(OSRRefT22_10x_0)</f>
        <v>48513.3</v>
      </c>
      <c r="U61" s="2"/>
      <c r="V61" s="6">
        <f t="shared" si="17"/>
        <v>0.10624428860818741</v>
      </c>
      <c r="W61" s="2"/>
      <c r="X61" s="2">
        <f t="shared" si="18"/>
        <v>15931.799999999996</v>
      </c>
      <c r="Y61" s="2"/>
      <c r="Z61" s="6">
        <f t="shared" si="19"/>
        <v>0.32840066538454393</v>
      </c>
    </row>
    <row r="62" spans="1:26" s="69" customFormat="1" ht="15" hidden="1" customHeight="1" outlineLevel="2" x14ac:dyDescent="0.3">
      <c r="A62" s="26"/>
      <c r="B62" s="12" t="str">
        <f>CONCATENATE("          ","6314"," - ","LIABILITY INSURANCE")</f>
        <v xml:space="preserve">          6314 - LIABILITY INSURANCE</v>
      </c>
      <c r="C62" s="12"/>
      <c r="D62" s="8">
        <v>5756.21</v>
      </c>
      <c r="E62" s="3"/>
      <c r="F62" s="7">
        <f t="shared" si="12"/>
        <v>1.9170750737977037E-2</v>
      </c>
      <c r="G62" s="3"/>
      <c r="H62" s="8">
        <v>4240.13</v>
      </c>
      <c r="I62" s="3"/>
      <c r="J62" s="7">
        <f t="shared" si="13"/>
        <v>5.8014506191969316E-2</v>
      </c>
      <c r="K62" s="3"/>
      <c r="L62" s="8">
        <f t="shared" si="14"/>
        <v>1516.08</v>
      </c>
      <c r="M62" s="3"/>
      <c r="N62" s="7">
        <f t="shared" si="15"/>
        <v>0.35755507496232425</v>
      </c>
      <c r="O62" s="12"/>
      <c r="P62" s="8">
        <v>64445.1</v>
      </c>
      <c r="Q62" s="3"/>
      <c r="R62" s="7">
        <f t="shared" si="16"/>
        <v>4.634562658549872E-2</v>
      </c>
      <c r="S62" s="3"/>
      <c r="T62" s="8">
        <v>48513.3</v>
      </c>
      <c r="U62" s="3"/>
      <c r="V62" s="7">
        <f t="shared" si="17"/>
        <v>0.10624428860818741</v>
      </c>
      <c r="W62" s="3"/>
      <c r="X62" s="8">
        <f t="shared" si="18"/>
        <v>15931.799999999996</v>
      </c>
      <c r="Y62" s="3"/>
      <c r="Z62" s="7">
        <f t="shared" si="19"/>
        <v>0.32840066538454393</v>
      </c>
    </row>
    <row r="63" spans="1:26" s="68" customFormat="1" ht="15" customHeight="1" outlineLevel="1" collapsed="1" x14ac:dyDescent="0.3">
      <c r="A63" s="25"/>
      <c r="B63" s="14" t="str">
        <f>CONCATENATE("     ","Interest                                          ")</f>
        <v xml:space="preserve">     Interest                                          </v>
      </c>
      <c r="C63" s="14"/>
      <c r="D63" s="2">
        <f>SUM(OSRRefD22_11x_0)</f>
        <v>5629</v>
      </c>
      <c r="E63" s="2"/>
      <c r="F63" s="6">
        <f t="shared" si="12"/>
        <v>1.8747084610198854E-2</v>
      </c>
      <c r="G63" s="2"/>
      <c r="H63" s="2">
        <f>SUM(OSRRefH22_11x_0)</f>
        <v>5967</v>
      </c>
      <c r="I63" s="2"/>
      <c r="J63" s="6">
        <f t="shared" si="13"/>
        <v>8.164196815840101E-2</v>
      </c>
      <c r="K63" s="2"/>
      <c r="L63" s="2">
        <f t="shared" si="14"/>
        <v>-338</v>
      </c>
      <c r="M63" s="2"/>
      <c r="N63" s="6">
        <f t="shared" si="15"/>
        <v>-5.6644880174291937E-2</v>
      </c>
      <c r="O63" s="14"/>
      <c r="P63" s="2">
        <f>SUM(OSRRefP22_11x_0)</f>
        <v>70392</v>
      </c>
      <c r="Q63" s="2"/>
      <c r="R63" s="6">
        <f t="shared" si="16"/>
        <v>5.0622333530500004E-2</v>
      </c>
      <c r="S63" s="2"/>
      <c r="T63" s="2">
        <f>SUM(OSRRefT22_11x_0)</f>
        <v>73070.149999999994</v>
      </c>
      <c r="U63" s="2"/>
      <c r="V63" s="6">
        <f t="shared" si="17"/>
        <v>0.16002387191231154</v>
      </c>
      <c r="W63" s="2"/>
      <c r="X63" s="2">
        <f t="shared" si="18"/>
        <v>-2678.1499999999942</v>
      </c>
      <c r="Y63" s="2"/>
      <c r="Z63" s="6">
        <f t="shared" si="19"/>
        <v>-3.66517654609987E-2</v>
      </c>
    </row>
    <row r="64" spans="1:26" s="69" customFormat="1" ht="15" hidden="1" customHeight="1" outlineLevel="2" x14ac:dyDescent="0.3">
      <c r="A64" s="26"/>
      <c r="B64" s="12" t="str">
        <f>CONCATENATE("          ","6401"," - ","INTEREST EXPENSE")</f>
        <v xml:space="preserve">          6401 - INTEREST EXPENSE</v>
      </c>
      <c r="C64" s="12"/>
      <c r="D64" s="8">
        <v>5629</v>
      </c>
      <c r="E64" s="3"/>
      <c r="F64" s="7">
        <f t="shared" si="12"/>
        <v>1.8747084610198854E-2</v>
      </c>
      <c r="G64" s="3"/>
      <c r="H64" s="8">
        <v>5967</v>
      </c>
      <c r="I64" s="3"/>
      <c r="J64" s="7">
        <f t="shared" si="13"/>
        <v>8.164196815840101E-2</v>
      </c>
      <c r="K64" s="3"/>
      <c r="L64" s="8">
        <f t="shared" si="14"/>
        <v>-338</v>
      </c>
      <c r="M64" s="3"/>
      <c r="N64" s="7">
        <f t="shared" si="15"/>
        <v>-5.6644880174291937E-2</v>
      </c>
      <c r="O64" s="12"/>
      <c r="P64" s="8">
        <v>70392</v>
      </c>
      <c r="Q64" s="3"/>
      <c r="R64" s="7">
        <f t="shared" si="16"/>
        <v>5.0622333530500004E-2</v>
      </c>
      <c r="S64" s="3"/>
      <c r="T64" s="8">
        <v>73070.149999999994</v>
      </c>
      <c r="U64" s="3"/>
      <c r="V64" s="7">
        <f t="shared" si="17"/>
        <v>0.16002387191231154</v>
      </c>
      <c r="W64" s="3"/>
      <c r="X64" s="8">
        <f t="shared" si="18"/>
        <v>-2678.1499999999942</v>
      </c>
      <c r="Y64" s="3"/>
      <c r="Z64" s="7">
        <f t="shared" si="19"/>
        <v>-3.66517654609987E-2</v>
      </c>
    </row>
    <row r="65" spans="1:26" s="68" customFormat="1" ht="15" customHeight="1" outlineLevel="1" collapsed="1" x14ac:dyDescent="0.3">
      <c r="A65" s="25"/>
      <c r="B65" s="14" t="str">
        <f>CONCATENATE("     ","Rent                                              ")</f>
        <v xml:space="preserve">     Rent                                              </v>
      </c>
      <c r="C65" s="14"/>
      <c r="D65" s="2">
        <f>SUM(OSRRefD22_12x_0)</f>
        <v>1850</v>
      </c>
      <c r="E65" s="2"/>
      <c r="F65" s="6">
        <f t="shared" si="12"/>
        <v>6.1613264396638617E-3</v>
      </c>
      <c r="G65" s="2"/>
      <c r="H65" s="2">
        <f>SUM(OSRRefH22_12x_0)</f>
        <v>1850</v>
      </c>
      <c r="I65" s="2"/>
      <c r="J65" s="6">
        <f t="shared" si="13"/>
        <v>2.531215704592624E-2</v>
      </c>
      <c r="K65" s="2"/>
      <c r="L65" s="2">
        <f t="shared" si="14"/>
        <v>0</v>
      </c>
      <c r="M65" s="2"/>
      <c r="N65" s="6">
        <f t="shared" si="15"/>
        <v>0</v>
      </c>
      <c r="O65" s="14"/>
      <c r="P65" s="2">
        <f>SUM(OSRRefP22_12x_0)</f>
        <v>18500</v>
      </c>
      <c r="Q65" s="2"/>
      <c r="R65" s="6">
        <f t="shared" si="16"/>
        <v>1.3304255743752843E-2</v>
      </c>
      <c r="S65" s="2"/>
      <c r="T65" s="2">
        <f>SUM(OSRRefT22_12x_0)</f>
        <v>12950</v>
      </c>
      <c r="U65" s="2"/>
      <c r="V65" s="6">
        <f t="shared" si="17"/>
        <v>2.836054313922217E-2</v>
      </c>
      <c r="W65" s="2"/>
      <c r="X65" s="2">
        <f t="shared" si="18"/>
        <v>5550</v>
      </c>
      <c r="Y65" s="2"/>
      <c r="Z65" s="6">
        <f t="shared" si="19"/>
        <v>0.42857142857142855</v>
      </c>
    </row>
    <row r="66" spans="1:26" s="69" customFormat="1" ht="15" hidden="1" customHeight="1" outlineLevel="2" x14ac:dyDescent="0.3">
      <c r="A66" s="26"/>
      <c r="B66" s="12" t="str">
        <f>CONCATENATE("          ","6273"," - ","RENT")</f>
        <v xml:space="preserve">          6273 - RENT</v>
      </c>
      <c r="C66" s="12"/>
      <c r="D66" s="8">
        <v>1850</v>
      </c>
      <c r="E66" s="3"/>
      <c r="F66" s="7">
        <f t="shared" si="12"/>
        <v>6.1613264396638617E-3</v>
      </c>
      <c r="G66" s="3"/>
      <c r="H66" s="8">
        <v>1850</v>
      </c>
      <c r="I66" s="3"/>
      <c r="J66" s="7">
        <f t="shared" si="13"/>
        <v>2.531215704592624E-2</v>
      </c>
      <c r="K66" s="3"/>
      <c r="L66" s="8">
        <f t="shared" si="14"/>
        <v>0</v>
      </c>
      <c r="M66" s="3"/>
      <c r="N66" s="7">
        <f t="shared" si="15"/>
        <v>0</v>
      </c>
      <c r="O66" s="12"/>
      <c r="P66" s="8">
        <v>18500</v>
      </c>
      <c r="Q66" s="3"/>
      <c r="R66" s="7">
        <f t="shared" si="16"/>
        <v>1.3304255743752843E-2</v>
      </c>
      <c r="S66" s="3"/>
      <c r="T66" s="8">
        <v>12950</v>
      </c>
      <c r="U66" s="3"/>
      <c r="V66" s="7">
        <f t="shared" si="17"/>
        <v>2.836054313922217E-2</v>
      </c>
      <c r="W66" s="3"/>
      <c r="X66" s="8">
        <f t="shared" si="18"/>
        <v>5550</v>
      </c>
      <c r="Y66" s="3"/>
      <c r="Z66" s="7">
        <f t="shared" si="19"/>
        <v>0.42857142857142855</v>
      </c>
    </row>
    <row r="67" spans="1:26" s="68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SUM(OSRRefD22_13x_0)</f>
        <v>17878.2</v>
      </c>
      <c r="E67" s="2"/>
      <c r="F67" s="6">
        <f t="shared" si="12"/>
        <v>5.9542392623566733E-2</v>
      </c>
      <c r="G67" s="2"/>
      <c r="H67" s="2">
        <f>SUM(OSRRefH22_13x_0)</f>
        <v>2052.63</v>
      </c>
      <c r="I67" s="2"/>
      <c r="J67" s="6">
        <f t="shared" si="13"/>
        <v>2.8084590766043017E-2</v>
      </c>
      <c r="K67" s="2"/>
      <c r="L67" s="2">
        <f t="shared" si="14"/>
        <v>15825.57</v>
      </c>
      <c r="M67" s="2"/>
      <c r="N67" s="6">
        <f t="shared" si="15"/>
        <v>7.709899007614621</v>
      </c>
      <c r="O67" s="14"/>
      <c r="P67" s="2">
        <f>SUM(OSRRefP22_13x_0)</f>
        <v>83753.84</v>
      </c>
      <c r="Q67" s="2"/>
      <c r="R67" s="6">
        <f t="shared" si="16"/>
        <v>6.0231486858451706E-2</v>
      </c>
      <c r="S67" s="2"/>
      <c r="T67" s="2">
        <f>SUM(OSRRefT22_13x_0)</f>
        <v>43906.66</v>
      </c>
      <c r="U67" s="2"/>
      <c r="V67" s="6">
        <f t="shared" si="17"/>
        <v>9.6155731662483437E-2</v>
      </c>
      <c r="W67" s="2"/>
      <c r="X67" s="2">
        <f t="shared" si="18"/>
        <v>39847.179999999993</v>
      </c>
      <c r="Y67" s="2"/>
      <c r="Z67" s="6">
        <f t="shared" si="19"/>
        <v>0.90754295589780665</v>
      </c>
    </row>
    <row r="68" spans="1:26" s="69" customFormat="1" ht="15" hidden="1" customHeight="1" outlineLevel="2" x14ac:dyDescent="0.3">
      <c r="A68" s="26"/>
      <c r="B68" s="12" t="str">
        <f>CONCATENATE("          ","6371"," - ","COMPUTER SOFTWARE MAINTENANCE")</f>
        <v xml:space="preserve">          6371 - COMPUTER SOFTWARE MAINTENANCE</v>
      </c>
      <c r="C68" s="12"/>
      <c r="D68" s="8">
        <v>8966.19</v>
      </c>
      <c r="E68" s="3"/>
      <c r="F68" s="7">
        <f t="shared" si="12"/>
        <v>2.986141811354039E-2</v>
      </c>
      <c r="G68" s="3"/>
      <c r="H68" s="8"/>
      <c r="I68" s="3"/>
      <c r="J68" s="7">
        <f t="shared" si="13"/>
        <v>0</v>
      </c>
      <c r="K68" s="3"/>
      <c r="L68" s="8">
        <f t="shared" si="14"/>
        <v>8966.19</v>
      </c>
      <c r="M68" s="3"/>
      <c r="N68" s="7">
        <f t="shared" si="15"/>
        <v>0</v>
      </c>
      <c r="O68" s="12"/>
      <c r="P68" s="8">
        <v>16567.060000000001</v>
      </c>
      <c r="Q68" s="3"/>
      <c r="R68" s="7">
        <f t="shared" si="16"/>
        <v>1.1914183954708E-2</v>
      </c>
      <c r="S68" s="3"/>
      <c r="T68" s="8">
        <v>702.27</v>
      </c>
      <c r="U68" s="3"/>
      <c r="V68" s="7">
        <f t="shared" si="17"/>
        <v>1.5379736394117028E-3</v>
      </c>
      <c r="W68" s="3"/>
      <c r="X68" s="8">
        <f t="shared" si="18"/>
        <v>15864.79</v>
      </c>
      <c r="Y68" s="3"/>
      <c r="Z68" s="7">
        <f t="shared" si="19"/>
        <v>22.590727213180116</v>
      </c>
    </row>
    <row r="69" spans="1:26" s="69" customFormat="1" ht="15" hidden="1" customHeight="1" outlineLevel="2" x14ac:dyDescent="0.3">
      <c r="A69" s="26"/>
      <c r="B69" s="12" t="str">
        <f>CONCATENATE("          ","6372"," - ","COMPUTER HARDWARE MAINTENANCE")</f>
        <v xml:space="preserve">          6372 - COMPUTER HARDWARE MAINTENANCE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/>
      <c r="Q69" s="3"/>
      <c r="R69" s="7">
        <f t="shared" si="16"/>
        <v>0</v>
      </c>
      <c r="S69" s="3"/>
      <c r="T69" s="8">
        <v>100</v>
      </c>
      <c r="U69" s="3"/>
      <c r="V69" s="7">
        <f t="shared" si="17"/>
        <v>2.1900033312140672E-4</v>
      </c>
      <c r="W69" s="3"/>
      <c r="X69" s="8">
        <f t="shared" si="18"/>
        <v>-100</v>
      </c>
      <c r="Y69" s="3"/>
      <c r="Z69" s="7">
        <f t="shared" si="19"/>
        <v>-1</v>
      </c>
    </row>
    <row r="70" spans="1:26" s="69" customFormat="1" ht="15" hidden="1" customHeight="1" outlineLevel="2" x14ac:dyDescent="0.3">
      <c r="A70" s="26"/>
      <c r="B70" s="12" t="str">
        <f>CONCATENATE("          ","6373"," - ","MAINTENANCE CONTRACTS")</f>
        <v xml:space="preserve">          6373 - MAINTENANCE CONTRACTS</v>
      </c>
      <c r="C70" s="12"/>
      <c r="D70" s="8">
        <v>-4.3499999999999996</v>
      </c>
      <c r="E70" s="3"/>
      <c r="F70" s="7">
        <f t="shared" si="12"/>
        <v>-1.448744325002043E-5</v>
      </c>
      <c r="G70" s="3"/>
      <c r="H70" s="8"/>
      <c r="I70" s="3"/>
      <c r="J70" s="7">
        <f t="shared" si="13"/>
        <v>0</v>
      </c>
      <c r="K70" s="3"/>
      <c r="L70" s="8">
        <f t="shared" si="14"/>
        <v>-4.3499999999999996</v>
      </c>
      <c r="M70" s="3"/>
      <c r="N70" s="7">
        <f t="shared" si="15"/>
        <v>0</v>
      </c>
      <c r="O70" s="12"/>
      <c r="P70" s="8">
        <v>16529.8</v>
      </c>
      <c r="Q70" s="3"/>
      <c r="R70" s="7">
        <f t="shared" si="16"/>
        <v>1.1887388464491121E-2</v>
      </c>
      <c r="S70" s="3"/>
      <c r="T70" s="8">
        <v>18223.8</v>
      </c>
      <c r="U70" s="3"/>
      <c r="V70" s="7">
        <f t="shared" si="17"/>
        <v>3.9910182707378915E-2</v>
      </c>
      <c r="W70" s="3"/>
      <c r="X70" s="8">
        <f t="shared" si="18"/>
        <v>-1694</v>
      </c>
      <c r="Y70" s="3"/>
      <c r="Z70" s="7">
        <f t="shared" si="19"/>
        <v>-9.2955366059767994E-2</v>
      </c>
    </row>
    <row r="71" spans="1:26" s="69" customFormat="1" ht="15" hidden="1" customHeight="1" outlineLevel="2" x14ac:dyDescent="0.3">
      <c r="A71" s="26"/>
      <c r="B71" s="12" t="str">
        <f>CONCATENATE("          ","6375"," - ","OUTSIDE REPAIRS &amp; MAINTENANCE")</f>
        <v xml:space="preserve">          6375 - OUTSIDE REPAIRS &amp; MAINTENANCE</v>
      </c>
      <c r="C71" s="12"/>
      <c r="D71" s="8">
        <v>8916.36</v>
      </c>
      <c r="E71" s="3"/>
      <c r="F71" s="7">
        <f t="shared" si="12"/>
        <v>2.9695461953276363E-2</v>
      </c>
      <c r="G71" s="3"/>
      <c r="H71" s="8">
        <v>2052.63</v>
      </c>
      <c r="I71" s="3"/>
      <c r="J71" s="7">
        <f t="shared" si="13"/>
        <v>2.8084590766043017E-2</v>
      </c>
      <c r="K71" s="3"/>
      <c r="L71" s="8">
        <f t="shared" si="14"/>
        <v>6863.7300000000005</v>
      </c>
      <c r="M71" s="3"/>
      <c r="N71" s="7">
        <f t="shared" si="15"/>
        <v>3.3438710337469493</v>
      </c>
      <c r="O71" s="12"/>
      <c r="P71" s="8">
        <v>50656.98</v>
      </c>
      <c r="Q71" s="3"/>
      <c r="R71" s="7">
        <f t="shared" si="16"/>
        <v>3.6429914439252593E-2</v>
      </c>
      <c r="S71" s="3"/>
      <c r="T71" s="8">
        <v>24880.59</v>
      </c>
      <c r="U71" s="3"/>
      <c r="V71" s="7">
        <f t="shared" si="17"/>
        <v>5.4488574982571404E-2</v>
      </c>
      <c r="W71" s="3"/>
      <c r="X71" s="8">
        <f t="shared" si="18"/>
        <v>25776.390000000003</v>
      </c>
      <c r="Y71" s="3"/>
      <c r="Z71" s="7">
        <f t="shared" si="19"/>
        <v>1.0360039693592475</v>
      </c>
    </row>
    <row r="72" spans="1:26" s="68" customFormat="1" ht="15" customHeight="1" outlineLevel="1" collapsed="1" x14ac:dyDescent="0.3">
      <c r="A72" s="25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2">
        <f>SUM(OSRRefD22_14x_0)</f>
        <v>1845.35</v>
      </c>
      <c r="E72" s="2"/>
      <c r="F72" s="6">
        <f t="shared" si="12"/>
        <v>6.1458398623965979E-3</v>
      </c>
      <c r="G72" s="2"/>
      <c r="H72" s="2">
        <f>SUM(OSRRefH22_14x_0)</f>
        <v>0</v>
      </c>
      <c r="I72" s="2"/>
      <c r="J72" s="6">
        <f t="shared" si="13"/>
        <v>0</v>
      </c>
      <c r="K72" s="2"/>
      <c r="L72" s="2">
        <f t="shared" si="14"/>
        <v>1845.35</v>
      </c>
      <c r="M72" s="2"/>
      <c r="N72" s="6">
        <f t="shared" si="15"/>
        <v>0</v>
      </c>
      <c r="O72" s="14"/>
      <c r="P72" s="2">
        <f>SUM(OSRRefP22_14x_0)</f>
        <v>6063.06</v>
      </c>
      <c r="Q72" s="2"/>
      <c r="R72" s="6">
        <f t="shared" si="16"/>
        <v>4.3602432880928714E-3</v>
      </c>
      <c r="S72" s="2"/>
      <c r="T72" s="2">
        <f>SUM(OSRRefT22_14x_0)</f>
        <v>0</v>
      </c>
      <c r="U72" s="2"/>
      <c r="V72" s="6">
        <f t="shared" si="17"/>
        <v>0</v>
      </c>
      <c r="W72" s="2"/>
      <c r="X72" s="2">
        <f t="shared" si="18"/>
        <v>6063.06</v>
      </c>
      <c r="Y72" s="2"/>
      <c r="Z72" s="6">
        <f t="shared" si="19"/>
        <v>0</v>
      </c>
    </row>
    <row r="73" spans="1:26" s="69" customFormat="1" ht="15" hidden="1" customHeight="1" outlineLevel="2" x14ac:dyDescent="0.3">
      <c r="A73" s="26"/>
      <c r="B73" s="12" t="str">
        <f>CONCATENATE("          ","6254"," - ","ROYALTY &amp; COMMISSIONS")</f>
        <v xml:space="preserve">          6254 - ROYALTY &amp; COMMISSIONS</v>
      </c>
      <c r="C73" s="12"/>
      <c r="D73" s="8">
        <v>1845.35</v>
      </c>
      <c r="E73" s="3"/>
      <c r="F73" s="7">
        <f t="shared" si="12"/>
        <v>6.1458398623965979E-3</v>
      </c>
      <c r="G73" s="3"/>
      <c r="H73" s="8"/>
      <c r="I73" s="3"/>
      <c r="J73" s="7">
        <f t="shared" si="13"/>
        <v>0</v>
      </c>
      <c r="K73" s="3"/>
      <c r="L73" s="8">
        <f t="shared" si="14"/>
        <v>1845.35</v>
      </c>
      <c r="M73" s="3"/>
      <c r="N73" s="7">
        <f t="shared" si="15"/>
        <v>0</v>
      </c>
      <c r="O73" s="12"/>
      <c r="P73" s="8">
        <v>6063.06</v>
      </c>
      <c r="Q73" s="3"/>
      <c r="R73" s="7">
        <f t="shared" si="16"/>
        <v>4.3602432880928714E-3</v>
      </c>
      <c r="S73" s="3"/>
      <c r="T73" s="8"/>
      <c r="U73" s="3"/>
      <c r="V73" s="7">
        <f t="shared" si="17"/>
        <v>0</v>
      </c>
      <c r="W73" s="3"/>
      <c r="X73" s="8">
        <f t="shared" si="18"/>
        <v>6063.06</v>
      </c>
      <c r="Y73" s="3"/>
      <c r="Z73" s="7">
        <f t="shared" si="19"/>
        <v>0</v>
      </c>
    </row>
    <row r="74" spans="1:26" s="68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SUM(OSRRefD22_15x_0)</f>
        <v>7338.3799999999992</v>
      </c>
      <c r="E74" s="2"/>
      <c r="F74" s="6">
        <f t="shared" si="12"/>
        <v>2.4440083631513777E-2</v>
      </c>
      <c r="G74" s="2"/>
      <c r="H74" s="2">
        <f>SUM(OSRRefH22_15x_0)</f>
        <v>10464.52</v>
      </c>
      <c r="I74" s="2"/>
      <c r="J74" s="6">
        <f t="shared" si="13"/>
        <v>0.14317814791904651</v>
      </c>
      <c r="K74" s="2"/>
      <c r="L74" s="2">
        <f t="shared" si="14"/>
        <v>-3126.1400000000012</v>
      </c>
      <c r="M74" s="2"/>
      <c r="N74" s="6">
        <f t="shared" si="15"/>
        <v>-0.29873706581859477</v>
      </c>
      <c r="O74" s="14"/>
      <c r="P74" s="2">
        <f>SUM(OSRRefP22_15x_0)</f>
        <v>68143.929999999993</v>
      </c>
      <c r="Q74" s="2"/>
      <c r="R74" s="6">
        <f t="shared" si="16"/>
        <v>4.9005636329967114E-2</v>
      </c>
      <c r="S74" s="2"/>
      <c r="T74" s="2">
        <f>SUM(OSRRefT22_15x_0)</f>
        <v>54881.23</v>
      </c>
      <c r="U74" s="2"/>
      <c r="V74" s="6">
        <f t="shared" si="17"/>
        <v>0.1201900765211254</v>
      </c>
      <c r="W74" s="2"/>
      <c r="X74" s="2">
        <f t="shared" si="18"/>
        <v>13262.69999999999</v>
      </c>
      <c r="Y74" s="2"/>
      <c r="Z74" s="6">
        <f t="shared" si="19"/>
        <v>0.24166185779728314</v>
      </c>
    </row>
    <row r="75" spans="1:26" s="69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1538.6</v>
      </c>
      <c r="E75" s="3"/>
      <c r="F75" s="7">
        <f t="shared" si="12"/>
        <v>5.1242253297658471E-3</v>
      </c>
      <c r="G75" s="3"/>
      <c r="H75" s="8">
        <v>1710</v>
      </c>
      <c r="I75" s="3"/>
      <c r="J75" s="7">
        <f t="shared" si="13"/>
        <v>2.3396642458666957E-2</v>
      </c>
      <c r="K75" s="3"/>
      <c r="L75" s="8">
        <f t="shared" si="14"/>
        <v>-171.40000000000009</v>
      </c>
      <c r="M75" s="3"/>
      <c r="N75" s="7">
        <f t="shared" si="15"/>
        <v>-0.10023391812865502</v>
      </c>
      <c r="O75" s="12"/>
      <c r="P75" s="8">
        <v>11118.76</v>
      </c>
      <c r="Q75" s="3"/>
      <c r="R75" s="7">
        <f t="shared" si="16"/>
        <v>7.9960446807248297E-3</v>
      </c>
      <c r="S75" s="3"/>
      <c r="T75" s="8">
        <v>10115.43</v>
      </c>
      <c r="U75" s="3"/>
      <c r="V75" s="7">
        <f t="shared" si="17"/>
        <v>2.2152825396662711E-2</v>
      </c>
      <c r="W75" s="3"/>
      <c r="X75" s="8">
        <f t="shared" si="18"/>
        <v>1003.3299999999999</v>
      </c>
      <c r="Y75" s="3"/>
      <c r="Z75" s="7">
        <f t="shared" si="19"/>
        <v>9.9188072083935125E-2</v>
      </c>
    </row>
    <row r="76" spans="1:26" s="69" customFormat="1" ht="15" hidden="1" customHeight="1" outlineLevel="2" x14ac:dyDescent="0.3">
      <c r="A76" s="26"/>
      <c r="B76" s="12" t="str">
        <f>CONCATENATE("          ","6284"," - ","TRASH REMOVAL EXPENSE")</f>
        <v xml:space="preserve">          6284 - TRASH REMOVAL EXPENSE</v>
      </c>
      <c r="C76" s="12"/>
      <c r="D76" s="8"/>
      <c r="E76" s="3"/>
      <c r="F76" s="7">
        <f t="shared" si="12"/>
        <v>0</v>
      </c>
      <c r="G76" s="3"/>
      <c r="H76" s="8">
        <v>5369</v>
      </c>
      <c r="I76" s="3"/>
      <c r="J76" s="7">
        <f t="shared" si="13"/>
        <v>7.3459984421393509E-2</v>
      </c>
      <c r="K76" s="3"/>
      <c r="L76" s="8">
        <f t="shared" si="14"/>
        <v>-5369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26012</v>
      </c>
      <c r="U76" s="3"/>
      <c r="V76" s="7">
        <f t="shared" si="17"/>
        <v>5.6966366651540312E-2</v>
      </c>
      <c r="W76" s="3"/>
      <c r="X76" s="8">
        <f t="shared" si="18"/>
        <v>-26012</v>
      </c>
      <c r="Y76" s="3"/>
      <c r="Z76" s="7">
        <f t="shared" si="19"/>
        <v>-1</v>
      </c>
    </row>
    <row r="77" spans="1:26" s="69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>
        <v>4101.2</v>
      </c>
      <c r="E77" s="3"/>
      <c r="F77" s="7">
        <f t="shared" si="12"/>
        <v>1.3658828105053745E-2</v>
      </c>
      <c r="G77" s="3"/>
      <c r="H77" s="8">
        <v>3385.52</v>
      </c>
      <c r="I77" s="3"/>
      <c r="J77" s="7">
        <f t="shared" si="13"/>
        <v>4.6321521038986055E-2</v>
      </c>
      <c r="K77" s="3"/>
      <c r="L77" s="8">
        <f t="shared" si="14"/>
        <v>715.67999999999984</v>
      </c>
      <c r="M77" s="3"/>
      <c r="N77" s="7">
        <f t="shared" si="15"/>
        <v>0.2113944091306505</v>
      </c>
      <c r="O77" s="12"/>
      <c r="P77" s="8">
        <v>51909.38</v>
      </c>
      <c r="Q77" s="3"/>
      <c r="R77" s="7">
        <f t="shared" si="16"/>
        <v>3.7330576595656695E-2</v>
      </c>
      <c r="S77" s="3"/>
      <c r="T77" s="8">
        <v>17849.09</v>
      </c>
      <c r="U77" s="3"/>
      <c r="V77" s="7">
        <f t="shared" si="17"/>
        <v>3.9089566559139692E-2</v>
      </c>
      <c r="W77" s="3"/>
      <c r="X77" s="8">
        <f t="shared" si="18"/>
        <v>34060.289999999994</v>
      </c>
      <c r="Y77" s="3"/>
      <c r="Z77" s="7">
        <f t="shared" si="19"/>
        <v>1.9082367784576129</v>
      </c>
    </row>
    <row r="78" spans="1:26" s="69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8">
        <v>1698.58</v>
      </c>
      <c r="E78" s="3"/>
      <c r="F78" s="7">
        <f t="shared" si="12"/>
        <v>5.6570301966941848E-3</v>
      </c>
      <c r="G78" s="3"/>
      <c r="H78" s="8"/>
      <c r="I78" s="3"/>
      <c r="J78" s="7">
        <f t="shared" si="13"/>
        <v>0</v>
      </c>
      <c r="K78" s="3"/>
      <c r="L78" s="8">
        <f t="shared" si="14"/>
        <v>1698.58</v>
      </c>
      <c r="M78" s="3"/>
      <c r="N78" s="7">
        <f t="shared" si="15"/>
        <v>0</v>
      </c>
      <c r="O78" s="12"/>
      <c r="P78" s="8">
        <v>5115.79</v>
      </c>
      <c r="Q78" s="3"/>
      <c r="R78" s="7">
        <f t="shared" si="16"/>
        <v>3.6790150535855868E-3</v>
      </c>
      <c r="S78" s="3"/>
      <c r="T78" s="8">
        <v>904.71</v>
      </c>
      <c r="U78" s="3"/>
      <c r="V78" s="7">
        <f t="shared" si="17"/>
        <v>1.9813179137826787E-3</v>
      </c>
      <c r="W78" s="3"/>
      <c r="X78" s="8">
        <f t="shared" si="18"/>
        <v>4211.08</v>
      </c>
      <c r="Y78" s="3"/>
      <c r="Z78" s="7">
        <f t="shared" si="19"/>
        <v>4.6546186070674578</v>
      </c>
    </row>
    <row r="79" spans="1:26" s="68" customFormat="1" ht="15" customHeight="1" outlineLevel="1" collapsed="1" x14ac:dyDescent="0.3">
      <c r="A79" s="25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2">
        <f>SUM(OSRRefD22_16x_0)</f>
        <v>560.5</v>
      </c>
      <c r="E79" s="2"/>
      <c r="F79" s="6">
        <f t="shared" si="12"/>
        <v>1.8667153888819428E-3</v>
      </c>
      <c r="G79" s="2"/>
      <c r="H79" s="2">
        <f>SUM(OSRRefH22_16x_0)</f>
        <v>0</v>
      </c>
      <c r="I79" s="2"/>
      <c r="J79" s="6">
        <f t="shared" si="13"/>
        <v>0</v>
      </c>
      <c r="K79" s="2"/>
      <c r="L79" s="2">
        <f t="shared" si="14"/>
        <v>560.5</v>
      </c>
      <c r="M79" s="2"/>
      <c r="N79" s="6">
        <f t="shared" si="15"/>
        <v>0</v>
      </c>
      <c r="O79" s="14"/>
      <c r="P79" s="2">
        <f>SUM(OSRRefP22_16x_0)</f>
        <v>6407.4</v>
      </c>
      <c r="Q79" s="2"/>
      <c r="R79" s="6">
        <f t="shared" si="16"/>
        <v>4.6078750406768629E-3</v>
      </c>
      <c r="S79" s="2"/>
      <c r="T79" s="2">
        <f>SUM(OSRRefT22_16x_0)</f>
        <v>916.08</v>
      </c>
      <c r="U79" s="2"/>
      <c r="V79" s="6">
        <f t="shared" si="17"/>
        <v>2.0062182516585826E-3</v>
      </c>
      <c r="W79" s="2"/>
      <c r="X79" s="2">
        <f t="shared" si="18"/>
        <v>5491.32</v>
      </c>
      <c r="Y79" s="2"/>
      <c r="Z79" s="6">
        <f t="shared" si="19"/>
        <v>5.9943673041655741</v>
      </c>
    </row>
    <row r="80" spans="1:26" s="69" customFormat="1" ht="15" hidden="1" customHeight="1" outlineLevel="2" x14ac:dyDescent="0.3">
      <c r="A80" s="26"/>
      <c r="B80" s="12" t="str">
        <f>CONCATENATE("          ","6275"," - ","SUBSCRIPTIONS")</f>
        <v xml:space="preserve">          6275 - SUBSCRIPTIONS</v>
      </c>
      <c r="C80" s="12"/>
      <c r="D80" s="8">
        <v>560.5</v>
      </c>
      <c r="E80" s="3"/>
      <c r="F80" s="7">
        <f t="shared" si="12"/>
        <v>1.8667153888819428E-3</v>
      </c>
      <c r="G80" s="3"/>
      <c r="H80" s="8"/>
      <c r="I80" s="3"/>
      <c r="J80" s="7">
        <f t="shared" si="13"/>
        <v>0</v>
      </c>
      <c r="K80" s="3"/>
      <c r="L80" s="8">
        <f t="shared" si="14"/>
        <v>560.5</v>
      </c>
      <c r="M80" s="3"/>
      <c r="N80" s="7">
        <f t="shared" si="15"/>
        <v>0</v>
      </c>
      <c r="O80" s="12"/>
      <c r="P80" s="8">
        <v>6407.4</v>
      </c>
      <c r="Q80" s="3"/>
      <c r="R80" s="7">
        <f t="shared" si="16"/>
        <v>4.6078750406768629E-3</v>
      </c>
      <c r="S80" s="3"/>
      <c r="T80" s="8">
        <v>916.08</v>
      </c>
      <c r="U80" s="3"/>
      <c r="V80" s="7">
        <f t="shared" si="17"/>
        <v>2.0062182516585826E-3</v>
      </c>
      <c r="W80" s="3"/>
      <c r="X80" s="8">
        <f t="shared" si="18"/>
        <v>5491.32</v>
      </c>
      <c r="Y80" s="3"/>
      <c r="Z80" s="7">
        <f t="shared" si="19"/>
        <v>5.9943673041655741</v>
      </c>
    </row>
    <row r="81" spans="1:26" s="68" customFormat="1" ht="15" customHeight="1" outlineLevel="1" collapsed="1" x14ac:dyDescent="0.3">
      <c r="A81" s="25"/>
      <c r="B81" s="14" t="str">
        <f>CONCATENATE("     ","Supplies                                          ")</f>
        <v xml:space="preserve">     Supplies                                          </v>
      </c>
      <c r="C81" s="14"/>
      <c r="D81" s="2">
        <f>SUM(OSRRefD22_17x_0)</f>
        <v>4498.2399999999989</v>
      </c>
      <c r="E81" s="2"/>
      <c r="F81" s="6">
        <f t="shared" si="12"/>
        <v>1.4981148672407331E-2</v>
      </c>
      <c r="G81" s="2"/>
      <c r="H81" s="2">
        <f>SUM(OSRRefH22_17x_0)</f>
        <v>627.34</v>
      </c>
      <c r="I81" s="2"/>
      <c r="J81" s="6">
        <f t="shared" si="13"/>
        <v>8.5834208655088482E-3</v>
      </c>
      <c r="K81" s="2"/>
      <c r="L81" s="2">
        <f t="shared" si="14"/>
        <v>3870.8999999999987</v>
      </c>
      <c r="M81" s="2"/>
      <c r="N81" s="6">
        <f t="shared" si="15"/>
        <v>6.1703382535785991</v>
      </c>
      <c r="O81" s="14"/>
      <c r="P81" s="2">
        <f>SUM(OSRRefP22_17x_0)</f>
        <v>33618.700000000004</v>
      </c>
      <c r="Q81" s="2"/>
      <c r="R81" s="6">
        <f t="shared" si="16"/>
        <v>2.4176853112027229E-2</v>
      </c>
      <c r="S81" s="2"/>
      <c r="T81" s="2">
        <f>SUM(OSRRefT22_17x_0)</f>
        <v>-20624.599999999999</v>
      </c>
      <c r="U81" s="2"/>
      <c r="V81" s="6">
        <f t="shared" si="17"/>
        <v>-4.5167942704957643E-2</v>
      </c>
      <c r="W81" s="2"/>
      <c r="X81" s="2">
        <f t="shared" si="18"/>
        <v>54243.3</v>
      </c>
      <c r="Y81" s="2"/>
      <c r="Z81" s="6">
        <f t="shared" si="19"/>
        <v>-2.6300291884448672</v>
      </c>
    </row>
    <row r="82" spans="1:26" s="69" customFormat="1" ht="15" hidden="1" customHeight="1" outlineLevel="2" x14ac:dyDescent="0.3">
      <c r="A82" s="26"/>
      <c r="B82" s="12" t="str">
        <f>CONCATENATE("          ","6234"," - ","EXPENDABLE SUPPLIES &amp; EQUIPMEN")</f>
        <v xml:space="preserve">          6234 - EXPENDABLE SUPPLIES &amp; EQUIPMEN</v>
      </c>
      <c r="C82" s="12"/>
      <c r="D82" s="8">
        <v>175.34</v>
      </c>
      <c r="E82" s="3"/>
      <c r="F82" s="7">
        <f t="shared" si="12"/>
        <v>5.8396052861116841E-4</v>
      </c>
      <c r="G82" s="3"/>
      <c r="H82" s="8">
        <v>26.25</v>
      </c>
      <c r="I82" s="3"/>
      <c r="J82" s="7">
        <f t="shared" si="13"/>
        <v>3.5915898511111556E-4</v>
      </c>
      <c r="K82" s="3"/>
      <c r="L82" s="8">
        <f t="shared" si="14"/>
        <v>149.09</v>
      </c>
      <c r="M82" s="3"/>
      <c r="N82" s="7">
        <f t="shared" si="15"/>
        <v>5.679619047619048</v>
      </c>
      <c r="O82" s="12"/>
      <c r="P82" s="8">
        <v>341.84</v>
      </c>
      <c r="Q82" s="3"/>
      <c r="R82" s="7">
        <f t="shared" si="16"/>
        <v>2.4583388018618765E-4</v>
      </c>
      <c r="S82" s="3"/>
      <c r="T82" s="8">
        <v>337.16</v>
      </c>
      <c r="U82" s="3"/>
      <c r="V82" s="7">
        <f t="shared" si="17"/>
        <v>7.3838152315213498E-4</v>
      </c>
      <c r="W82" s="3"/>
      <c r="X82" s="8">
        <f t="shared" si="18"/>
        <v>4.67999999999995</v>
      </c>
      <c r="Y82" s="3"/>
      <c r="Z82" s="7">
        <f t="shared" si="19"/>
        <v>1.3880650136433591E-2</v>
      </c>
    </row>
    <row r="83" spans="1:26" s="69" customFormat="1" ht="15" hidden="1" customHeight="1" outlineLevel="2" x14ac:dyDescent="0.3">
      <c r="A83" s="26"/>
      <c r="B83" s="12" t="str">
        <f>CONCATENATE("          ","6235"," - ","COVID-19 EXPENSES")</f>
        <v xml:space="preserve">          6235 - COVID-19 EXPENSES</v>
      </c>
      <c r="C83" s="12"/>
      <c r="D83" s="8"/>
      <c r="E83" s="3"/>
      <c r="F83" s="7">
        <f t="shared" si="12"/>
        <v>0</v>
      </c>
      <c r="G83" s="3"/>
      <c r="H83" s="8">
        <v>65.45</v>
      </c>
      <c r="I83" s="3"/>
      <c r="J83" s="7">
        <f t="shared" si="13"/>
        <v>8.9550306954371483E-4</v>
      </c>
      <c r="K83" s="3"/>
      <c r="L83" s="8">
        <f t="shared" si="14"/>
        <v>-65.45</v>
      </c>
      <c r="M83" s="3"/>
      <c r="N83" s="7">
        <f t="shared" si="15"/>
        <v>-1</v>
      </c>
      <c r="O83" s="12"/>
      <c r="P83" s="8">
        <v>619.08000000000004</v>
      </c>
      <c r="Q83" s="3"/>
      <c r="R83" s="7">
        <f t="shared" si="16"/>
        <v>4.452107376131087E-4</v>
      </c>
      <c r="S83" s="3"/>
      <c r="T83" s="8">
        <v>6947.31</v>
      </c>
      <c r="U83" s="3"/>
      <c r="V83" s="7">
        <f t="shared" si="17"/>
        <v>1.5214632042976801E-2</v>
      </c>
      <c r="W83" s="3"/>
      <c r="X83" s="8">
        <f t="shared" si="18"/>
        <v>-6328.2300000000005</v>
      </c>
      <c r="Y83" s="3"/>
      <c r="Z83" s="7">
        <f t="shared" si="19"/>
        <v>-0.9108892506596078</v>
      </c>
    </row>
    <row r="84" spans="1:26" s="69" customFormat="1" ht="15" hidden="1" customHeight="1" outlineLevel="2" x14ac:dyDescent="0.3">
      <c r="A84" s="26"/>
      <c r="B84" s="12" t="str">
        <f>CONCATENATE("          ","6237"," - ","JANITORIAL SUPPLIES")</f>
        <v xml:space="preserve">          6237 - JANITORIAL SUPPLIES</v>
      </c>
      <c r="C84" s="12"/>
      <c r="D84" s="8">
        <v>953.14</v>
      </c>
      <c r="E84" s="3"/>
      <c r="F84" s="7">
        <f t="shared" si="12"/>
        <v>3.1743819906493043E-3</v>
      </c>
      <c r="G84" s="3"/>
      <c r="H84" s="8"/>
      <c r="I84" s="3"/>
      <c r="J84" s="7">
        <f t="shared" si="13"/>
        <v>0</v>
      </c>
      <c r="K84" s="3"/>
      <c r="L84" s="8">
        <f t="shared" si="14"/>
        <v>953.14</v>
      </c>
      <c r="M84" s="3"/>
      <c r="N84" s="7">
        <f t="shared" si="15"/>
        <v>0</v>
      </c>
      <c r="O84" s="12"/>
      <c r="P84" s="8">
        <v>7827.76</v>
      </c>
      <c r="Q84" s="3"/>
      <c r="R84" s="7">
        <f t="shared" si="16"/>
        <v>5.6293254562550677E-3</v>
      </c>
      <c r="S84" s="3"/>
      <c r="T84" s="8">
        <v>358.91</v>
      </c>
      <c r="U84" s="3"/>
      <c r="V84" s="7">
        <f t="shared" si="17"/>
        <v>7.8601409560604091E-4</v>
      </c>
      <c r="W84" s="3"/>
      <c r="X84" s="8">
        <f t="shared" si="18"/>
        <v>7468.85</v>
      </c>
      <c r="Y84" s="3"/>
      <c r="Z84" s="7">
        <f t="shared" si="19"/>
        <v>20.809813045053076</v>
      </c>
    </row>
    <row r="85" spans="1:26" s="69" customFormat="1" ht="15" hidden="1" customHeight="1" outlineLevel="2" x14ac:dyDescent="0.3">
      <c r="A85" s="26"/>
      <c r="B85" s="12" t="str">
        <f>CONCATENATE("          ","6239"," - ","KITCHEN SUPPLIES")</f>
        <v xml:space="preserve">          6239 - KITCHEN SUPPLIES</v>
      </c>
      <c r="C85" s="12"/>
      <c r="D85" s="8">
        <v>1727.21</v>
      </c>
      <c r="E85" s="3"/>
      <c r="F85" s="7">
        <f t="shared" si="12"/>
        <v>5.752380886406388E-3</v>
      </c>
      <c r="G85" s="3"/>
      <c r="H85" s="8"/>
      <c r="I85" s="3"/>
      <c r="J85" s="7">
        <f t="shared" si="13"/>
        <v>0</v>
      </c>
      <c r="K85" s="3"/>
      <c r="L85" s="8">
        <f t="shared" si="14"/>
        <v>1727.21</v>
      </c>
      <c r="M85" s="3"/>
      <c r="N85" s="7">
        <f t="shared" si="15"/>
        <v>0</v>
      </c>
      <c r="O85" s="12"/>
      <c r="P85" s="8">
        <v>8928.15</v>
      </c>
      <c r="Q85" s="3"/>
      <c r="R85" s="7">
        <f t="shared" si="16"/>
        <v>6.4206697793830775E-3</v>
      </c>
      <c r="S85" s="3"/>
      <c r="T85" s="8">
        <v>19.829999999999998</v>
      </c>
      <c r="U85" s="3"/>
      <c r="V85" s="7">
        <f t="shared" si="17"/>
        <v>4.3427766057974945E-5</v>
      </c>
      <c r="W85" s="3"/>
      <c r="X85" s="8">
        <f t="shared" si="18"/>
        <v>8908.32</v>
      </c>
      <c r="Y85" s="3"/>
      <c r="Z85" s="7">
        <f t="shared" si="19"/>
        <v>449.23449319213313</v>
      </c>
    </row>
    <row r="86" spans="1:26" s="69" customFormat="1" ht="15" hidden="1" customHeight="1" outlineLevel="2" x14ac:dyDescent="0.3">
      <c r="A86" s="26"/>
      <c r="B86" s="12" t="str">
        <f>CONCATENATE("          ","6241"," - ","OFFICE EXPENSE")</f>
        <v xml:space="preserve">          6241 - OFFICE EXPENSE</v>
      </c>
      <c r="C86" s="12"/>
      <c r="D86" s="8">
        <v>97.93</v>
      </c>
      <c r="E86" s="3"/>
      <c r="F86" s="7">
        <f t="shared" si="12"/>
        <v>3.2615064769528758E-4</v>
      </c>
      <c r="G86" s="3"/>
      <c r="H86" s="8">
        <v>440.72</v>
      </c>
      <c r="I86" s="3"/>
      <c r="J86" s="7">
        <f t="shared" si="13"/>
        <v>6.030039920692223E-3</v>
      </c>
      <c r="K86" s="3"/>
      <c r="L86" s="8">
        <f t="shared" si="14"/>
        <v>-342.79</v>
      </c>
      <c r="M86" s="3"/>
      <c r="N86" s="7">
        <f t="shared" si="15"/>
        <v>-0.77779542566709026</v>
      </c>
      <c r="O86" s="12"/>
      <c r="P86" s="8">
        <v>7613.4</v>
      </c>
      <c r="Q86" s="3"/>
      <c r="R86" s="7">
        <f t="shared" si="16"/>
        <v>5.4751686853777241E-3</v>
      </c>
      <c r="S86" s="3"/>
      <c r="T86" s="8">
        <v>-28543.14</v>
      </c>
      <c r="U86" s="3"/>
      <c r="V86" s="7">
        <f t="shared" si="17"/>
        <v>-6.2509571683309492E-2</v>
      </c>
      <c r="W86" s="3"/>
      <c r="X86" s="8">
        <f t="shared" si="18"/>
        <v>36156.54</v>
      </c>
      <c r="Y86" s="3"/>
      <c r="Z86" s="7">
        <f t="shared" si="19"/>
        <v>-1.2667330924348197</v>
      </c>
    </row>
    <row r="87" spans="1:26" s="69" customFormat="1" ht="15" hidden="1" customHeight="1" outlineLevel="2" x14ac:dyDescent="0.3">
      <c r="A87" s="26"/>
      <c r="B87" s="12" t="str">
        <f>CONCATENATE("          ","6243"," - ","PAPER SUPPLIES")</f>
        <v xml:space="preserve">          6243 - PAPER SUPPLIES</v>
      </c>
      <c r="C87" s="12"/>
      <c r="D87" s="8">
        <v>1449.52</v>
      </c>
      <c r="E87" s="3"/>
      <c r="F87" s="7">
        <f t="shared" si="12"/>
        <v>4.8275491355792219E-3</v>
      </c>
      <c r="G87" s="3"/>
      <c r="H87" s="8">
        <v>94.92</v>
      </c>
      <c r="I87" s="3"/>
      <c r="J87" s="7">
        <f t="shared" si="13"/>
        <v>1.2987188901617938E-3</v>
      </c>
      <c r="K87" s="3"/>
      <c r="L87" s="8">
        <f t="shared" si="14"/>
        <v>1354.6</v>
      </c>
      <c r="M87" s="3"/>
      <c r="N87" s="7">
        <f t="shared" si="15"/>
        <v>14.270965023177411</v>
      </c>
      <c r="O87" s="12"/>
      <c r="P87" s="8">
        <v>3271.43</v>
      </c>
      <c r="Q87" s="3"/>
      <c r="R87" s="7">
        <f t="shared" si="16"/>
        <v>2.3526454793397493E-3</v>
      </c>
      <c r="S87" s="3"/>
      <c r="T87" s="8">
        <v>255.33</v>
      </c>
      <c r="U87" s="3"/>
      <c r="V87" s="7">
        <f t="shared" si="17"/>
        <v>5.5917355055888781E-4</v>
      </c>
      <c r="W87" s="3"/>
      <c r="X87" s="8">
        <f t="shared" si="18"/>
        <v>3016.1</v>
      </c>
      <c r="Y87" s="3"/>
      <c r="Z87" s="7">
        <f t="shared" si="19"/>
        <v>11.812556299690595</v>
      </c>
    </row>
    <row r="88" spans="1:26" s="69" customFormat="1" ht="15" hidden="1" customHeight="1" outlineLevel="2" x14ac:dyDescent="0.3">
      <c r="A88" s="26"/>
      <c r="B88" s="12" t="str">
        <f>CONCATENATE("          ","6245"," - ","PRINTING")</f>
        <v xml:space="preserve">          6245 - PRINTING</v>
      </c>
      <c r="C88" s="12"/>
      <c r="D88" s="8"/>
      <c r="E88" s="3"/>
      <c r="F88" s="7">
        <f t="shared" si="12"/>
        <v>0</v>
      </c>
      <c r="G88" s="3"/>
      <c r="H88" s="8"/>
      <c r="I88" s="3"/>
      <c r="J88" s="7">
        <f t="shared" si="13"/>
        <v>0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>
        <v>1071</v>
      </c>
      <c r="Q88" s="3"/>
      <c r="R88" s="7">
        <f t="shared" si="16"/>
        <v>7.7020853521942139E-4</v>
      </c>
      <c r="S88" s="3"/>
      <c r="T88" s="8"/>
      <c r="U88" s="3"/>
      <c r="V88" s="7">
        <f t="shared" si="17"/>
        <v>0</v>
      </c>
      <c r="W88" s="3"/>
      <c r="X88" s="8">
        <f t="shared" si="18"/>
        <v>1071</v>
      </c>
      <c r="Y88" s="3"/>
      <c r="Z88" s="7">
        <f t="shared" si="19"/>
        <v>0</v>
      </c>
    </row>
    <row r="89" spans="1:26" s="69" customFormat="1" ht="15" hidden="1" customHeight="1" outlineLevel="2" x14ac:dyDescent="0.3">
      <c r="A89" s="26"/>
      <c r="B89" s="12" t="str">
        <f>CONCATENATE("          ","6247"," - ","STORE SUPPLIES")</f>
        <v xml:space="preserve">          6247 - STORE SUPPLIES</v>
      </c>
      <c r="C89" s="12"/>
      <c r="D89" s="8">
        <v>-103.35</v>
      </c>
      <c r="E89" s="3"/>
      <c r="F89" s="7">
        <f t="shared" si="12"/>
        <v>-3.4420166894014056E-4</v>
      </c>
      <c r="G89" s="3"/>
      <c r="H89" s="8"/>
      <c r="I89" s="3"/>
      <c r="J89" s="7">
        <f t="shared" si="13"/>
        <v>0</v>
      </c>
      <c r="K89" s="3"/>
      <c r="L89" s="8">
        <f t="shared" si="14"/>
        <v>-103.35</v>
      </c>
      <c r="M89" s="3"/>
      <c r="N89" s="7">
        <f t="shared" si="15"/>
        <v>0</v>
      </c>
      <c r="O89" s="12"/>
      <c r="P89" s="8">
        <v>957.59</v>
      </c>
      <c r="Q89" s="3"/>
      <c r="R89" s="7">
        <f t="shared" si="16"/>
        <v>6.8864985176542084E-4</v>
      </c>
      <c r="S89" s="3"/>
      <c r="T89" s="8"/>
      <c r="U89" s="3"/>
      <c r="V89" s="7">
        <f t="shared" si="17"/>
        <v>0</v>
      </c>
      <c r="W89" s="3"/>
      <c r="X89" s="8">
        <f t="shared" si="18"/>
        <v>957.59</v>
      </c>
      <c r="Y89" s="3"/>
      <c r="Z89" s="7">
        <f t="shared" si="19"/>
        <v>0</v>
      </c>
    </row>
    <row r="90" spans="1:26" s="69" customFormat="1" ht="15" hidden="1" customHeight="1" outlineLevel="2" x14ac:dyDescent="0.3">
      <c r="A90" s="26"/>
      <c r="B90" s="12" t="str">
        <f>CONCATENATE("          ","6248"," - ","UNIFORMS")</f>
        <v xml:space="preserve">          6248 - UNIFORMS</v>
      </c>
      <c r="C90" s="12"/>
      <c r="D90" s="8">
        <v>198.45</v>
      </c>
      <c r="E90" s="3"/>
      <c r="F90" s="7">
        <f t="shared" ref="F90:F99" si="20">IF(D$12=0,0,D90/D$12)</f>
        <v>6.6092715240610451E-4</v>
      </c>
      <c r="G90" s="3"/>
      <c r="H90" s="8"/>
      <c r="I90" s="3"/>
      <c r="J90" s="7">
        <f t="shared" ref="J90:J99" si="21">IF(H$12=0,0,H90/H$12)</f>
        <v>0</v>
      </c>
      <c r="K90" s="3"/>
      <c r="L90" s="8">
        <f t="shared" ref="L90:L99" si="22">+D90-H90</f>
        <v>198.45</v>
      </c>
      <c r="M90" s="3"/>
      <c r="N90" s="7">
        <f t="shared" ref="N90:N99" si="23">IF(H90=0,0,L90/H90)</f>
        <v>0</v>
      </c>
      <c r="O90" s="12"/>
      <c r="P90" s="8">
        <v>2988.45</v>
      </c>
      <c r="Q90" s="3"/>
      <c r="R90" s="7">
        <f t="shared" ref="R90:R99" si="24">IF(P$12=0,0,P90/P$12)</f>
        <v>2.149140706887469E-3</v>
      </c>
      <c r="S90" s="3"/>
      <c r="T90" s="8"/>
      <c r="U90" s="3"/>
      <c r="V90" s="7">
        <f t="shared" ref="V90:V99" si="25">IF(T$12=0,0,T90/T$12)</f>
        <v>0</v>
      </c>
      <c r="W90" s="3"/>
      <c r="X90" s="8">
        <f t="shared" ref="X90:X99" si="26">+P90-T90</f>
        <v>2988.45</v>
      </c>
      <c r="Y90" s="3"/>
      <c r="Z90" s="7">
        <f t="shared" ref="Z90:Z99" si="27">IF(T90=0,0,X90/T90)</f>
        <v>0</v>
      </c>
    </row>
    <row r="91" spans="1:26" s="68" customFormat="1" ht="15" customHeight="1" outlineLevel="1" collapsed="1" x14ac:dyDescent="0.3">
      <c r="A91" s="25"/>
      <c r="B91" s="14" t="str">
        <f>CONCATENATE("     ","Telephone/Data Lines                              ")</f>
        <v xml:space="preserve">     Telephone/Data Lines                              </v>
      </c>
      <c r="C91" s="14"/>
      <c r="D91" s="2">
        <f>SUM(OSRRefD22_18x_0)</f>
        <v>1038</v>
      </c>
      <c r="E91" s="2"/>
      <c r="F91" s="6">
        <f t="shared" si="20"/>
        <v>3.4570036996600479E-3</v>
      </c>
      <c r="G91" s="2"/>
      <c r="H91" s="2">
        <f>SUM(OSRRefH22_18x_0)</f>
        <v>248.6</v>
      </c>
      <c r="I91" s="2"/>
      <c r="J91" s="6">
        <f t="shared" si="21"/>
        <v>3.4014066170904127E-3</v>
      </c>
      <c r="K91" s="2"/>
      <c r="L91" s="2">
        <f t="shared" si="22"/>
        <v>789.4</v>
      </c>
      <c r="M91" s="2"/>
      <c r="N91" s="6">
        <f t="shared" si="23"/>
        <v>3.1753821399839097</v>
      </c>
      <c r="O91" s="14"/>
      <c r="P91" s="2">
        <f>SUM(OSRRefP22_18x_0)</f>
        <v>6926.54</v>
      </c>
      <c r="Q91" s="2"/>
      <c r="R91" s="6">
        <f t="shared" si="24"/>
        <v>4.9812140313153412E-3</v>
      </c>
      <c r="S91" s="2"/>
      <c r="T91" s="2">
        <f>SUM(OSRRefT22_18x_0)</f>
        <v>5846.01</v>
      </c>
      <c r="U91" s="2"/>
      <c r="V91" s="6">
        <f t="shared" si="25"/>
        <v>1.2802781374310748E-2</v>
      </c>
      <c r="W91" s="2"/>
      <c r="X91" s="2">
        <f t="shared" si="26"/>
        <v>1080.5299999999997</v>
      </c>
      <c r="Y91" s="2"/>
      <c r="Z91" s="6">
        <f t="shared" si="27"/>
        <v>0.1848320478411771</v>
      </c>
    </row>
    <row r="92" spans="1:26" s="69" customFormat="1" ht="15" hidden="1" customHeight="1" outlineLevel="2" x14ac:dyDescent="0.3">
      <c r="A92" s="26"/>
      <c r="B92" s="12" t="str">
        <f>CONCATENATE("          ","6309"," - ","TELEPHONE")</f>
        <v xml:space="preserve">          6309 - TELEPHONE</v>
      </c>
      <c r="C92" s="12"/>
      <c r="D92" s="8">
        <v>1038</v>
      </c>
      <c r="E92" s="3"/>
      <c r="F92" s="7">
        <f t="shared" si="20"/>
        <v>3.4570036996600479E-3</v>
      </c>
      <c r="G92" s="3"/>
      <c r="H92" s="8">
        <v>248.6</v>
      </c>
      <c r="I92" s="3"/>
      <c r="J92" s="7">
        <f t="shared" si="21"/>
        <v>3.4014066170904127E-3</v>
      </c>
      <c r="K92" s="3"/>
      <c r="L92" s="8">
        <f t="shared" si="22"/>
        <v>789.4</v>
      </c>
      <c r="M92" s="3"/>
      <c r="N92" s="7">
        <f t="shared" si="23"/>
        <v>3.1753821399839097</v>
      </c>
      <c r="O92" s="12"/>
      <c r="P92" s="8">
        <v>6926.54</v>
      </c>
      <c r="Q92" s="3"/>
      <c r="R92" s="7">
        <f t="shared" si="24"/>
        <v>4.9812140313153412E-3</v>
      </c>
      <c r="S92" s="3"/>
      <c r="T92" s="8">
        <v>5846.01</v>
      </c>
      <c r="U92" s="3"/>
      <c r="V92" s="7">
        <f t="shared" si="25"/>
        <v>1.2802781374310748E-2</v>
      </c>
      <c r="W92" s="3"/>
      <c r="X92" s="8">
        <f t="shared" si="26"/>
        <v>1080.5299999999997</v>
      </c>
      <c r="Y92" s="3"/>
      <c r="Z92" s="7">
        <f t="shared" si="27"/>
        <v>0.1848320478411771</v>
      </c>
    </row>
    <row r="93" spans="1:26" s="68" customFormat="1" ht="15" customHeight="1" outlineLevel="1" collapsed="1" x14ac:dyDescent="0.3">
      <c r="A93" s="25"/>
      <c r="B93" s="14" t="str">
        <f>CONCATENATE("     ","Training                                          ")</f>
        <v xml:space="preserve">     Training                                          </v>
      </c>
      <c r="C93" s="14"/>
      <c r="D93" s="2">
        <f>SUM(OSRRefD22_19x_0)</f>
        <v>15.95</v>
      </c>
      <c r="E93" s="2"/>
      <c r="F93" s="6">
        <f t="shared" si="20"/>
        <v>5.3120625250074913E-5</v>
      </c>
      <c r="G93" s="2"/>
      <c r="H93" s="2">
        <f>SUM(OSRRefH22_19x_0)</f>
        <v>0</v>
      </c>
      <c r="I93" s="2"/>
      <c r="J93" s="6">
        <f t="shared" si="21"/>
        <v>0</v>
      </c>
      <c r="K93" s="2"/>
      <c r="L93" s="2">
        <f t="shared" si="22"/>
        <v>15.95</v>
      </c>
      <c r="M93" s="2"/>
      <c r="N93" s="6">
        <f t="shared" si="23"/>
        <v>0</v>
      </c>
      <c r="O93" s="14"/>
      <c r="P93" s="2">
        <f>SUM(OSRRefP22_19x_0)</f>
        <v>495.95</v>
      </c>
      <c r="Q93" s="2"/>
      <c r="R93" s="6">
        <f t="shared" si="24"/>
        <v>3.5666192627644447E-4</v>
      </c>
      <c r="S93" s="2"/>
      <c r="T93" s="2">
        <f>SUM(OSRRefT22_19x_0)</f>
        <v>400</v>
      </c>
      <c r="U93" s="2"/>
      <c r="V93" s="6">
        <f t="shared" si="25"/>
        <v>8.7600133248562687E-4</v>
      </c>
      <c r="W93" s="2"/>
      <c r="X93" s="2">
        <f t="shared" si="26"/>
        <v>95.949999999999989</v>
      </c>
      <c r="Y93" s="2"/>
      <c r="Z93" s="6">
        <f t="shared" si="27"/>
        <v>0.23987499999999998</v>
      </c>
    </row>
    <row r="94" spans="1:26" s="69" customFormat="1" ht="15" hidden="1" customHeight="1" outlineLevel="2" x14ac:dyDescent="0.3">
      <c r="A94" s="26"/>
      <c r="B94" s="12" t="str">
        <f>CONCATENATE("          ","6376"," - ","TRAINING")</f>
        <v xml:space="preserve">          6376 - TRAINING</v>
      </c>
      <c r="C94" s="12"/>
      <c r="D94" s="8">
        <v>15.95</v>
      </c>
      <c r="E94" s="3"/>
      <c r="F94" s="7">
        <f t="shared" si="20"/>
        <v>5.3120625250074913E-5</v>
      </c>
      <c r="G94" s="3"/>
      <c r="H94" s="8"/>
      <c r="I94" s="3"/>
      <c r="J94" s="7">
        <f t="shared" si="21"/>
        <v>0</v>
      </c>
      <c r="K94" s="3"/>
      <c r="L94" s="8">
        <f t="shared" si="22"/>
        <v>15.95</v>
      </c>
      <c r="M94" s="3"/>
      <c r="N94" s="7">
        <f t="shared" si="23"/>
        <v>0</v>
      </c>
      <c r="O94" s="12"/>
      <c r="P94" s="8">
        <v>495.95</v>
      </c>
      <c r="Q94" s="3"/>
      <c r="R94" s="7">
        <f t="shared" si="24"/>
        <v>3.5666192627644447E-4</v>
      </c>
      <c r="S94" s="3"/>
      <c r="T94" s="8">
        <v>400</v>
      </c>
      <c r="U94" s="3"/>
      <c r="V94" s="7">
        <f t="shared" si="25"/>
        <v>8.7600133248562687E-4</v>
      </c>
      <c r="W94" s="3"/>
      <c r="X94" s="8">
        <f t="shared" si="26"/>
        <v>95.949999999999989</v>
      </c>
      <c r="Y94" s="3"/>
      <c r="Z94" s="7">
        <f t="shared" si="27"/>
        <v>0.23987499999999998</v>
      </c>
    </row>
    <row r="95" spans="1:26" s="68" customFormat="1" ht="15" customHeight="1" outlineLevel="1" collapsed="1" x14ac:dyDescent="0.3">
      <c r="A95" s="25"/>
      <c r="B95" s="14" t="str">
        <f>CONCATENATE("     ","Travel                                            ")</f>
        <v xml:space="preserve">     Travel                                            </v>
      </c>
      <c r="C95" s="14"/>
      <c r="D95" s="2">
        <f>SUM(OSRRefD22_20x_0)</f>
        <v>0</v>
      </c>
      <c r="E95" s="2"/>
      <c r="F95" s="6">
        <f t="shared" si="20"/>
        <v>0</v>
      </c>
      <c r="G95" s="2"/>
      <c r="H95" s="2">
        <f>SUM(OSRRefH22_20x_0)</f>
        <v>0</v>
      </c>
      <c r="I95" s="2"/>
      <c r="J95" s="6">
        <f t="shared" si="21"/>
        <v>0</v>
      </c>
      <c r="K95" s="2"/>
      <c r="L95" s="2">
        <f t="shared" si="22"/>
        <v>0</v>
      </c>
      <c r="M95" s="2"/>
      <c r="N95" s="6">
        <f t="shared" si="23"/>
        <v>0</v>
      </c>
      <c r="O95" s="14"/>
      <c r="P95" s="2">
        <f>SUM(OSRRefP22_20x_0)</f>
        <v>141.24</v>
      </c>
      <c r="Q95" s="2"/>
      <c r="R95" s="6">
        <f t="shared" si="24"/>
        <v>1.0157259898635955E-4</v>
      </c>
      <c r="S95" s="2"/>
      <c r="T95" s="2">
        <f>SUM(OSRRefT22_20x_0)</f>
        <v>332.21</v>
      </c>
      <c r="U95" s="2"/>
      <c r="V95" s="6">
        <f t="shared" si="25"/>
        <v>7.2754100666262516E-4</v>
      </c>
      <c r="W95" s="2"/>
      <c r="X95" s="2">
        <f t="shared" si="26"/>
        <v>-190.96999999999997</v>
      </c>
      <c r="Y95" s="2"/>
      <c r="Z95" s="6">
        <f t="shared" si="27"/>
        <v>-0.5748472351825652</v>
      </c>
    </row>
    <row r="96" spans="1:26" s="69" customFormat="1" ht="15" hidden="1" customHeight="1" outlineLevel="2" x14ac:dyDescent="0.3">
      <c r="A96" s="26"/>
      <c r="B96" s="12" t="str">
        <f>CONCATENATE("          ","6292"," - ","TRAVEL/CONFERENCE")</f>
        <v xml:space="preserve">          6292 - TRAVEL/CONFERENCE</v>
      </c>
      <c r="C96" s="12"/>
      <c r="D96" s="8"/>
      <c r="E96" s="3"/>
      <c r="F96" s="7">
        <f t="shared" si="20"/>
        <v>0</v>
      </c>
      <c r="G96" s="3"/>
      <c r="H96" s="8"/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>
        <v>18.59</v>
      </c>
      <c r="Q96" s="3"/>
      <c r="R96" s="7">
        <f t="shared" si="24"/>
        <v>1.3368979150073802E-5</v>
      </c>
      <c r="S96" s="3"/>
      <c r="T96" s="8"/>
      <c r="U96" s="3"/>
      <c r="V96" s="7">
        <f t="shared" si="25"/>
        <v>0</v>
      </c>
      <c r="W96" s="3"/>
      <c r="X96" s="8">
        <f t="shared" si="26"/>
        <v>18.59</v>
      </c>
      <c r="Y96" s="3"/>
      <c r="Z96" s="7">
        <f t="shared" si="27"/>
        <v>0</v>
      </c>
    </row>
    <row r="97" spans="1:26" s="69" customFormat="1" ht="15" hidden="1" customHeight="1" outlineLevel="2" x14ac:dyDescent="0.3">
      <c r="A97" s="26"/>
      <c r="B97" s="12" t="str">
        <f>CONCATENATE("          ","6298"," - ","VEHICLE MILEAGE")</f>
        <v xml:space="preserve">          6298 - VEHICLE MILEAGE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122.65</v>
      </c>
      <c r="Q97" s="3"/>
      <c r="R97" s="7">
        <f t="shared" si="24"/>
        <v>8.8203619836285741E-5</v>
      </c>
      <c r="S97" s="3"/>
      <c r="T97" s="8">
        <v>332.21</v>
      </c>
      <c r="U97" s="3"/>
      <c r="V97" s="7">
        <f t="shared" si="25"/>
        <v>7.2754100666262516E-4</v>
      </c>
      <c r="W97" s="3"/>
      <c r="X97" s="8">
        <f t="shared" si="26"/>
        <v>-209.55999999999997</v>
      </c>
      <c r="Y97" s="3"/>
      <c r="Z97" s="7">
        <f t="shared" si="27"/>
        <v>-0.63080581559856708</v>
      </c>
    </row>
    <row r="98" spans="1:26" s="68" customFormat="1" ht="15" customHeight="1" outlineLevel="1" collapsed="1" x14ac:dyDescent="0.3">
      <c r="A98" s="25"/>
      <c r="B98" s="14" t="str">
        <f>CONCATENATE("     ","Utilities                                         ")</f>
        <v xml:space="preserve">     Utilities                                         </v>
      </c>
      <c r="C98" s="14"/>
      <c r="D98" s="2">
        <f>SUM(OSRRefD22_21x_0)</f>
        <v>8150</v>
      </c>
      <c r="E98" s="2"/>
      <c r="F98" s="6">
        <f t="shared" si="20"/>
        <v>2.7143140801762417E-2</v>
      </c>
      <c r="G98" s="2"/>
      <c r="H98" s="2">
        <f>SUM(OSRRefH22_21x_0)</f>
        <v>3648</v>
      </c>
      <c r="I98" s="2"/>
      <c r="J98" s="6">
        <f t="shared" si="21"/>
        <v>4.9912837245156175E-2</v>
      </c>
      <c r="K98" s="2"/>
      <c r="L98" s="2">
        <f t="shared" si="22"/>
        <v>4502</v>
      </c>
      <c r="M98" s="2"/>
      <c r="N98" s="6">
        <f t="shared" si="23"/>
        <v>1.2341008771929824</v>
      </c>
      <c r="O98" s="14"/>
      <c r="P98" s="2">
        <f>SUM(OSRRefP22_21x_0)</f>
        <v>79100</v>
      </c>
      <c r="Q98" s="2"/>
      <c r="R98" s="6">
        <f t="shared" si="24"/>
        <v>5.6884682666532425E-2</v>
      </c>
      <c r="S98" s="2"/>
      <c r="T98" s="2">
        <f>SUM(OSRRefT22_21x_0)</f>
        <v>2188</v>
      </c>
      <c r="U98" s="2"/>
      <c r="V98" s="6">
        <f t="shared" si="25"/>
        <v>4.7917272886963793E-3</v>
      </c>
      <c r="W98" s="2"/>
      <c r="X98" s="2">
        <f t="shared" si="26"/>
        <v>76912</v>
      </c>
      <c r="Y98" s="2"/>
      <c r="Z98" s="6">
        <f t="shared" si="27"/>
        <v>35.151736745886652</v>
      </c>
    </row>
    <row r="99" spans="1:26" s="69" customFormat="1" ht="15" hidden="1" customHeight="1" outlineLevel="2" x14ac:dyDescent="0.3">
      <c r="A99" s="26"/>
      <c r="B99" s="12" t="str">
        <f>CONCATENATE("          ","6274"," - ","UTILITIES")</f>
        <v xml:space="preserve">          6274 - UTILITIES</v>
      </c>
      <c r="C99" s="12"/>
      <c r="D99" s="8">
        <v>8150</v>
      </c>
      <c r="E99" s="3"/>
      <c r="F99" s="7">
        <f t="shared" si="20"/>
        <v>2.7143140801762417E-2</v>
      </c>
      <c r="G99" s="3"/>
      <c r="H99" s="8">
        <v>3648</v>
      </c>
      <c r="I99" s="3"/>
      <c r="J99" s="7">
        <f t="shared" si="21"/>
        <v>4.9912837245156175E-2</v>
      </c>
      <c r="K99" s="3"/>
      <c r="L99" s="8">
        <f t="shared" si="22"/>
        <v>4502</v>
      </c>
      <c r="M99" s="3"/>
      <c r="N99" s="7">
        <f t="shared" si="23"/>
        <v>1.2341008771929824</v>
      </c>
      <c r="O99" s="12"/>
      <c r="P99" s="8">
        <v>79100</v>
      </c>
      <c r="Q99" s="3"/>
      <c r="R99" s="7">
        <f t="shared" si="24"/>
        <v>5.6884682666532425E-2</v>
      </c>
      <c r="S99" s="3"/>
      <c r="T99" s="8">
        <v>2188</v>
      </c>
      <c r="U99" s="3"/>
      <c r="V99" s="7">
        <f t="shared" si="25"/>
        <v>4.7917272886963793E-3</v>
      </c>
      <c r="W99" s="3"/>
      <c r="X99" s="8">
        <f t="shared" si="26"/>
        <v>76912</v>
      </c>
      <c r="Y99" s="3"/>
      <c r="Z99" s="7">
        <f t="shared" si="27"/>
        <v>35.151736745886652</v>
      </c>
    </row>
    <row r="100" spans="1:26" s="64" customFormat="1" ht="15" customHeight="1" x14ac:dyDescent="0.3">
      <c r="A100" s="36"/>
      <c r="B100" s="36"/>
      <c r="C100" s="36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36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62" customFormat="1" ht="15" customHeight="1" collapsed="1" x14ac:dyDescent="0.3">
      <c r="A101" s="11"/>
      <c r="B101" s="27" t="s">
        <v>290</v>
      </c>
      <c r="C101" s="11"/>
      <c r="D101" s="5">
        <f>SUM(OSRRefD25x_0)</f>
        <v>6601.19</v>
      </c>
      <c r="E101" s="5"/>
      <c r="F101" s="13">
        <f>IF(D$12=0,0,D101/D$12)</f>
        <v>2.1984911610943073E-2</v>
      </c>
      <c r="G101" s="5"/>
      <c r="H101" s="5">
        <f>SUM(OSRRefH25x_0)</f>
        <v>1579.7400000000002</v>
      </c>
      <c r="I101" s="5"/>
      <c r="J101" s="13">
        <f>IF(H$12=0,0,H101/H$12)</f>
        <v>2.1614392957692716E-2</v>
      </c>
      <c r="K101" s="5"/>
      <c r="L101" s="5">
        <f>+D101-H101</f>
        <v>5021.4499999999989</v>
      </c>
      <c r="M101" s="5"/>
      <c r="N101" s="13">
        <f>IF(H101=0,0,L101/H101)</f>
        <v>3.1786559813640207</v>
      </c>
      <c r="O101" s="11"/>
      <c r="P101" s="5">
        <f>SUM(OSRRefP25x_0)</f>
        <v>175136.04</v>
      </c>
      <c r="Q101" s="5"/>
      <c r="R101" s="13">
        <f>IF(P$12=0,0,P101/P$12)</f>
        <v>0.12594890087070962</v>
      </c>
      <c r="S101" s="5"/>
      <c r="T101" s="5">
        <f>SUM(OSRRefT25x_0)</f>
        <v>22445.4</v>
      </c>
      <c r="U101" s="5"/>
      <c r="V101" s="13">
        <f>IF(T$12=0,0,T101/T$12)</f>
        <v>4.9155500770432223E-2</v>
      </c>
      <c r="W101" s="5"/>
      <c r="X101" s="5">
        <f>+P101-T101</f>
        <v>152690.64000000001</v>
      </c>
      <c r="Y101" s="5"/>
      <c r="Z101" s="13">
        <f>IF(T101=0,0,X101/T101)</f>
        <v>6.8027586944318212</v>
      </c>
    </row>
    <row r="102" spans="1:26" s="69" customFormat="1" ht="15" hidden="1" customHeight="1" outlineLevel="1" x14ac:dyDescent="0.3">
      <c r="A102" s="42"/>
      <c r="B102" s="12" t="str">
        <f>CONCATENATE("          ","9150"," - ","MISC. INCOME")</f>
        <v xml:space="preserve">          9150 - MISC. INCOME</v>
      </c>
      <c r="C102" s="12"/>
      <c r="D102" s="3">
        <f>--6601.19</f>
        <v>6601.19</v>
      </c>
      <c r="E102" s="3"/>
      <c r="F102" s="20">
        <f>IF(D$12=0,0,D102/D$12)</f>
        <v>2.1984911610943073E-2</v>
      </c>
      <c r="G102" s="3"/>
      <c r="H102" s="3">
        <f>--496.99</f>
        <v>496.99</v>
      </c>
      <c r="I102" s="3"/>
      <c r="J102" s="20">
        <f>IF(H$12=0,0,H102/H$12)</f>
        <v>6.7999399622999364E-3</v>
      </c>
      <c r="K102" s="3"/>
      <c r="L102" s="3">
        <f>+D102-H102</f>
        <v>6104.2</v>
      </c>
      <c r="M102" s="3"/>
      <c r="N102" s="20">
        <f>IF(H102=0,0,L102/H102)</f>
        <v>12.282339684903116</v>
      </c>
      <c r="O102" s="12"/>
      <c r="P102" s="3">
        <f>--175136.04</f>
        <v>175136.04</v>
      </c>
      <c r="Q102" s="3"/>
      <c r="R102" s="20">
        <f>IF(P$12=0,0,P102/P$12)</f>
        <v>0.12594890087070962</v>
      </c>
      <c r="S102" s="3"/>
      <c r="T102" s="3">
        <f>--5341.48</f>
        <v>5341.48</v>
      </c>
      <c r="U102" s="3"/>
      <c r="V102" s="20">
        <f>IF(T$12=0,0,T102/T$12)</f>
        <v>1.1697858993613315E-2</v>
      </c>
      <c r="W102" s="3"/>
      <c r="X102" s="3">
        <f>+P102-T102</f>
        <v>169794.56</v>
      </c>
      <c r="Y102" s="3"/>
      <c r="Z102" s="20">
        <f>IF(T102=0,0,X102/T102)</f>
        <v>31.787923946172224</v>
      </c>
    </row>
    <row r="103" spans="1:26" s="69" customFormat="1" ht="15" hidden="1" customHeight="1" outlineLevel="1" x14ac:dyDescent="0.3">
      <c r="A103" s="42"/>
      <c r="B103" s="12" t="str">
        <f>CONCATENATE("          ","9160"," - ","MISC. INCOME")</f>
        <v xml:space="preserve">          9160 - MISC. INCOME</v>
      </c>
      <c r="C103" s="12"/>
      <c r="D103" s="3">
        <f>0</f>
        <v>0</v>
      </c>
      <c r="E103" s="3"/>
      <c r="F103" s="20">
        <f>IF(D$12=0,0,D103/D$12)</f>
        <v>0</v>
      </c>
      <c r="G103" s="3"/>
      <c r="H103" s="3">
        <f>--732.1</f>
        <v>732.1</v>
      </c>
      <c r="I103" s="3"/>
      <c r="J103" s="20">
        <f>IF(H$12=0,0,H103/H$12)</f>
        <v>1.0016773066660866E-2</v>
      </c>
      <c r="K103" s="3"/>
      <c r="L103" s="3">
        <f>+D103-H103</f>
        <v>-732.1</v>
      </c>
      <c r="M103" s="3"/>
      <c r="N103" s="20">
        <f>IF(H103=0,0,L103/H103)</f>
        <v>-1</v>
      </c>
      <c r="O103" s="12"/>
      <c r="P103" s="3">
        <f>0</f>
        <v>0</v>
      </c>
      <c r="Q103" s="3"/>
      <c r="R103" s="20">
        <f>IF(P$12=0,0,P103/P$12)</f>
        <v>0</v>
      </c>
      <c r="S103" s="3"/>
      <c r="T103" s="3">
        <f>--13615.06</f>
        <v>13615.06</v>
      </c>
      <c r="U103" s="3"/>
      <c r="V103" s="20">
        <f>IF(T$12=0,0,T103/T$12)</f>
        <v>2.9817026754679395E-2</v>
      </c>
      <c r="W103" s="3"/>
      <c r="X103" s="3">
        <f>+P103-T103</f>
        <v>-13615.06</v>
      </c>
      <c r="Y103" s="3"/>
      <c r="Z103" s="20">
        <f>IF(T103=0,0,X103/T103)</f>
        <v>-1</v>
      </c>
    </row>
    <row r="104" spans="1:26" s="69" customFormat="1" ht="15" hidden="1" customHeight="1" outlineLevel="1" x14ac:dyDescent="0.3">
      <c r="A104" s="42"/>
      <c r="B104" s="12" t="str">
        <f>CONCATENATE("          ","9165"," - ","OTHER INCOME")</f>
        <v xml:space="preserve">          9165 - OTHER INCOME</v>
      </c>
      <c r="C104" s="12"/>
      <c r="D104" s="3">
        <f>0</f>
        <v>0</v>
      </c>
      <c r="E104" s="3"/>
      <c r="F104" s="20">
        <f>IF(D$12=0,0,D104/D$12)</f>
        <v>0</v>
      </c>
      <c r="G104" s="3"/>
      <c r="H104" s="3">
        <f>--350.65</f>
        <v>350.65</v>
      </c>
      <c r="I104" s="3"/>
      <c r="J104" s="20">
        <f>IF(H$12=0,0,H104/H$12)</f>
        <v>4.7976799287319108E-3</v>
      </c>
      <c r="K104" s="3"/>
      <c r="L104" s="3">
        <f>+D104-H104</f>
        <v>-350.65</v>
      </c>
      <c r="M104" s="3"/>
      <c r="N104" s="20">
        <f>IF(H104=0,0,L104/H104)</f>
        <v>-1</v>
      </c>
      <c r="O104" s="12"/>
      <c r="P104" s="3">
        <f>0</f>
        <v>0</v>
      </c>
      <c r="Q104" s="3"/>
      <c r="R104" s="20">
        <f>IF(P$12=0,0,P104/P$12)</f>
        <v>0</v>
      </c>
      <c r="S104" s="3"/>
      <c r="T104" s="3">
        <f>--3488.86</f>
        <v>3488.86</v>
      </c>
      <c r="U104" s="3"/>
      <c r="V104" s="20">
        <f>IF(T$12=0,0,T104/T$12)</f>
        <v>7.6406150221395106E-3</v>
      </c>
      <c r="W104" s="3"/>
      <c r="X104" s="3">
        <f>+P104-T104</f>
        <v>-3488.86</v>
      </c>
      <c r="Y104" s="3"/>
      <c r="Z104" s="20">
        <f>IF(T104=0,0,X104/T104)</f>
        <v>-1</v>
      </c>
    </row>
    <row r="105" spans="1:26" ht="15" customHeight="1" x14ac:dyDescent="0.3">
      <c r="A105" s="10"/>
      <c r="B105" s="11"/>
      <c r="C105" s="11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O105" s="11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2" customFormat="1" ht="15" customHeight="1" x14ac:dyDescent="0.3">
      <c r="A106" s="11"/>
      <c r="B106" s="28" t="s">
        <v>291</v>
      </c>
      <c r="C106" s="28"/>
      <c r="D106" s="21">
        <f>+D24-D26+D101</f>
        <v>-32841.329999999958</v>
      </c>
      <c r="E106" s="15"/>
      <c r="F106" s="23">
        <f>IF(D$12=0,0,D106/D$12)</f>
        <v>-0.10937629991498687</v>
      </c>
      <c r="G106" s="15"/>
      <c r="H106" s="21">
        <f>+H24-H26+H101</f>
        <v>-50865.850000000028</v>
      </c>
      <c r="I106" s="15"/>
      <c r="J106" s="23">
        <f>IF(H$12=0,0,H106/H$12)</f>
        <v>-0.69595912620244749</v>
      </c>
      <c r="K106" s="16"/>
      <c r="L106" s="21">
        <f>+D106-H106</f>
        <v>18024.52000000007</v>
      </c>
      <c r="M106" s="16"/>
      <c r="N106" s="23">
        <f>IF(H106=0,0,L106/H106)</f>
        <v>-0.35435405090055627</v>
      </c>
      <c r="O106" s="27"/>
      <c r="P106" s="21">
        <f>+P24-P26+P101</f>
        <v>-845129.54000000015</v>
      </c>
      <c r="Q106" s="15"/>
      <c r="R106" s="23">
        <f>IF(P$12=0,0,P106/P$12)</f>
        <v>-0.60777402901406485</v>
      </c>
      <c r="S106" s="15"/>
      <c r="T106" s="21">
        <f>+T24-T26+T101</f>
        <v>-648496.28000000038</v>
      </c>
      <c r="U106" s="15"/>
      <c r="V106" s="23">
        <f>IF(T$12=0,0,T106/T$12)</f>
        <v>-1.4202090134799312</v>
      </c>
      <c r="W106" s="16"/>
      <c r="X106" s="21">
        <f>+P106-T106</f>
        <v>-196633.25999999978</v>
      </c>
      <c r="Y106" s="16"/>
      <c r="Z106" s="23">
        <f>IF(T106=0,0,X106/T106)</f>
        <v>0.30321416801342277</v>
      </c>
    </row>
    <row r="107" spans="1:26" ht="15" customHeight="1" x14ac:dyDescent="0.3">
      <c r="A107" s="10"/>
      <c r="B107" s="11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2" customFormat="1" ht="15" customHeight="1" x14ac:dyDescent="0.3">
      <c r="A108" s="48"/>
      <c r="B108" s="11" t="s">
        <v>292</v>
      </c>
      <c r="C108" s="11"/>
      <c r="D108" s="5">
        <v>27403.58</v>
      </c>
      <c r="E108" s="5"/>
      <c r="F108" s="13">
        <f>IF(D$12=0,0,D108/D$12)</f>
        <v>9.1266163240780435E-2</v>
      </c>
      <c r="G108" s="5"/>
      <c r="H108" s="5">
        <v>16483.939999999999</v>
      </c>
      <c r="I108" s="5"/>
      <c r="J108" s="13">
        <f>IF(H$12=0,0,H108/H$12)</f>
        <v>0.22553733946790561</v>
      </c>
      <c r="K108" s="5"/>
      <c r="L108" s="5">
        <f>+D108-H108</f>
        <v>10919.640000000003</v>
      </c>
      <c r="M108" s="5"/>
      <c r="N108" s="13">
        <f>IF(H108=0,0,L108/H108)</f>
        <v>0.66244113967898477</v>
      </c>
      <c r="O108" s="11"/>
      <c r="P108" s="5">
        <v>157524.92000000001</v>
      </c>
      <c r="Q108" s="5"/>
      <c r="R108" s="13">
        <f>IF(P$12=0,0,P108/P$12)</f>
        <v>0.11328388225374093</v>
      </c>
      <c r="S108" s="5"/>
      <c r="T108" s="5">
        <v>95526.82</v>
      </c>
      <c r="U108" s="5"/>
      <c r="V108" s="13">
        <f>IF(T$12=0,0,T108/T$12)</f>
        <v>0.20920405402028658</v>
      </c>
      <c r="W108" s="5"/>
      <c r="X108" s="5">
        <f>+P108-T108</f>
        <v>61998.100000000006</v>
      </c>
      <c r="Y108" s="5"/>
      <c r="Z108" s="13">
        <f>IF(T108=0,0,X108/T108)</f>
        <v>0.64901249722329291</v>
      </c>
    </row>
    <row r="109" spans="1:26" ht="15" customHeight="1" x14ac:dyDescent="0.3">
      <c r="A109" s="10"/>
      <c r="B109" s="11"/>
      <c r="C109" s="11"/>
      <c r="D109" s="4"/>
      <c r="E109" s="4"/>
      <c r="F109" s="9"/>
      <c r="G109" s="4"/>
      <c r="H109" s="4"/>
      <c r="I109" s="4"/>
      <c r="J109" s="9"/>
      <c r="K109" s="4"/>
      <c r="L109" s="4"/>
      <c r="M109" s="4"/>
      <c r="N109" s="9"/>
      <c r="O109" s="11"/>
      <c r="P109" s="4"/>
      <c r="Q109" s="4"/>
      <c r="R109" s="9"/>
      <c r="S109" s="4"/>
      <c r="T109" s="4"/>
      <c r="U109" s="4"/>
      <c r="V109" s="9"/>
      <c r="W109" s="4"/>
      <c r="X109" s="4"/>
      <c r="Y109" s="4"/>
      <c r="Z109" s="9"/>
    </row>
    <row r="110" spans="1:26" s="62" customFormat="1" ht="15" customHeight="1" x14ac:dyDescent="0.3">
      <c r="A110" s="11"/>
      <c r="B110" s="28" t="s">
        <v>293</v>
      </c>
      <c r="C110" s="28"/>
      <c r="D110" s="34">
        <f>+D106-D108</f>
        <v>-60244.90999999996</v>
      </c>
      <c r="E110" s="15"/>
      <c r="F110" s="30">
        <f>IF(D$12=0,0,D110/D$12)</f>
        <v>-0.20064246315576731</v>
      </c>
      <c r="G110" s="15"/>
      <c r="H110" s="34">
        <f>+H106-H108</f>
        <v>-67349.790000000023</v>
      </c>
      <c r="I110" s="15"/>
      <c r="J110" s="30">
        <f>IF(H$12=0,0,H110/H$12)</f>
        <v>-0.92149646567035304</v>
      </c>
      <c r="K110" s="16"/>
      <c r="L110" s="34">
        <f>D110-H110</f>
        <v>7104.8800000000629</v>
      </c>
      <c r="M110" s="16"/>
      <c r="N110" s="30">
        <f>IF(H110=0,0,L110/H110)</f>
        <v>-0.10549223687260288</v>
      </c>
      <c r="O110" s="27"/>
      <c r="P110" s="34">
        <f>+P106-P108</f>
        <v>-1002654.4600000002</v>
      </c>
      <c r="Q110" s="15"/>
      <c r="R110" s="30">
        <f>IF(P$12=0,0,P110/P$12)</f>
        <v>-0.72105791126780583</v>
      </c>
      <c r="S110" s="15"/>
      <c r="T110" s="34">
        <f>+T106-T108</f>
        <v>-744023.10000000033</v>
      </c>
      <c r="U110" s="15"/>
      <c r="V110" s="30">
        <f>IF(T$12=0,0,T110/T$12)</f>
        <v>-1.6294130675002176</v>
      </c>
      <c r="W110" s="16"/>
      <c r="X110" s="34">
        <f>P110-T110</f>
        <v>-258631.35999999987</v>
      </c>
      <c r="Y110" s="16"/>
      <c r="Z110" s="30">
        <f>IF(T110=0,0,X110/T110)</f>
        <v>0.34761200290689864</v>
      </c>
    </row>
    <row r="111" spans="1:26" ht="15" customHeight="1" x14ac:dyDescent="0.3">
      <c r="A111" s="10"/>
      <c r="B111" s="10"/>
      <c r="C111" s="10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ht="15" customHeight="1" x14ac:dyDescent="0.3">
      <c r="A112" s="10"/>
      <c r="B112" s="10"/>
      <c r="C112" s="10"/>
      <c r="D112" s="4"/>
      <c r="E112" s="4"/>
      <c r="F112" s="9"/>
      <c r="G112" s="4"/>
      <c r="H112" s="4"/>
      <c r="I112" s="4"/>
      <c r="J112" s="9"/>
      <c r="K112" s="4"/>
      <c r="L112" s="4"/>
      <c r="M112" s="4"/>
      <c r="N112" s="9"/>
      <c r="P112" s="4"/>
      <c r="Q112" s="4"/>
      <c r="R112" s="9"/>
      <c r="S112" s="4"/>
      <c r="T112" s="4"/>
      <c r="U112" s="4"/>
      <c r="V112" s="9"/>
      <c r="W112" s="4"/>
      <c r="X112" s="4"/>
      <c r="Y112" s="4"/>
      <c r="Z112" s="9"/>
    </row>
    <row r="113" spans="1:26" s="62" customFormat="1" ht="15" customHeight="1" x14ac:dyDescent="0.3">
      <c r="A113" s="11"/>
      <c r="B113" s="28" t="s">
        <v>296</v>
      </c>
      <c r="C113" s="28"/>
      <c r="D113" s="29">
        <f>SUM(D110:D112)</f>
        <v>-60244.90999999996</v>
      </c>
      <c r="E113" s="15"/>
      <c r="F113" s="35">
        <f>IF(D$12=0,0,D113/D$12)</f>
        <v>-0.20064246315576731</v>
      </c>
      <c r="G113" s="15"/>
      <c r="H113" s="29">
        <f>SUM(H110:H112)</f>
        <v>-67349.790000000023</v>
      </c>
      <c r="I113" s="15"/>
      <c r="J113" s="35">
        <f>IF(H$12=0,0,H113/H$12)</f>
        <v>-0.92149646567035304</v>
      </c>
      <c r="K113" s="16"/>
      <c r="L113" s="29">
        <f>+D113-H113</f>
        <v>7104.8800000000629</v>
      </c>
      <c r="M113" s="16"/>
      <c r="N113" s="35">
        <f>IF(H113=0,0,L113/H113)</f>
        <v>-0.10549223687260288</v>
      </c>
      <c r="O113" s="27"/>
      <c r="P113" s="29">
        <f>SUM(P110:P112)</f>
        <v>-1002654.4600000002</v>
      </c>
      <c r="Q113" s="15"/>
      <c r="R113" s="35">
        <f>IF(P$12=0,0,P113/P$12)</f>
        <v>-0.72105791126780583</v>
      </c>
      <c r="S113" s="15"/>
      <c r="T113" s="29">
        <f>SUM(T110:T112)</f>
        <v>-744023.10000000033</v>
      </c>
      <c r="U113" s="15"/>
      <c r="V113" s="35">
        <f>IF(T$12=0,0,T113/T$12)</f>
        <v>-1.6294130675002176</v>
      </c>
      <c r="W113" s="16"/>
      <c r="X113" s="29">
        <f>+P113-T113</f>
        <v>-258631.35999999987</v>
      </c>
      <c r="Y113" s="16"/>
      <c r="Z113" s="35">
        <f>IF(T113=0,0,X113/T113)</f>
        <v>0.34761200290689864</v>
      </c>
    </row>
    <row r="114" spans="1:26" ht="15" customHeight="1" x14ac:dyDescent="0.3">
      <c r="A114" s="10"/>
      <c r="C114" s="10"/>
      <c r="D114" s="18"/>
      <c r="E114" s="18"/>
      <c r="G114" s="18"/>
      <c r="H114" s="18"/>
      <c r="I114" s="18"/>
      <c r="J114" s="40"/>
      <c r="K114" s="18"/>
      <c r="L114" s="18"/>
      <c r="M114" s="18"/>
      <c r="P114" s="18"/>
      <c r="Q114" s="18"/>
      <c r="R114" s="40"/>
      <c r="S114" s="18"/>
      <c r="T114" s="18"/>
      <c r="U114" s="18"/>
      <c r="V114" s="40"/>
      <c r="W114" s="18"/>
      <c r="X114" s="18"/>
    </row>
    <row r="115" spans="1:26" ht="15" customHeight="1" x14ac:dyDescent="0.3">
      <c r="A115" s="10"/>
      <c r="B115" s="56">
        <v>44694.890809837962</v>
      </c>
      <c r="D115" s="18"/>
      <c r="E115" s="18"/>
      <c r="G115" s="18"/>
      <c r="H115" s="18"/>
      <c r="I115" s="18"/>
      <c r="J115" s="40"/>
      <c r="K115" s="18"/>
      <c r="L115" s="18"/>
      <c r="M115" s="18"/>
      <c r="P115" s="18"/>
      <c r="Q115" s="18"/>
      <c r="R115" s="40"/>
      <c r="S115" s="18"/>
      <c r="T115" s="18"/>
      <c r="U115" s="18"/>
      <c r="V115" s="40"/>
      <c r="W115" s="18"/>
      <c r="X115" s="18"/>
    </row>
    <row r="116" spans="1:26" ht="15" customHeight="1" x14ac:dyDescent="0.3">
      <c r="A116" s="10"/>
      <c r="B116" s="52" t="s">
        <v>297</v>
      </c>
      <c r="D116" s="18"/>
      <c r="E116" s="18"/>
      <c r="G116" s="18"/>
      <c r="H116" s="18"/>
      <c r="I116" s="18"/>
      <c r="J116" s="40"/>
      <c r="K116" s="18"/>
      <c r="L116" s="18"/>
      <c r="M116" s="18"/>
      <c r="P116" s="18"/>
      <c r="Q116" s="18"/>
      <c r="R116" s="40"/>
      <c r="S116" s="18"/>
      <c r="T116" s="18"/>
      <c r="U116" s="18"/>
      <c r="V116" s="40"/>
      <c r="W116" s="18"/>
      <c r="X116" s="18"/>
    </row>
    <row r="117" spans="1:26" ht="15" customHeight="1" x14ac:dyDescent="0.3">
      <c r="A117" s="10"/>
      <c r="B117" s="58"/>
      <c r="D117" s="18"/>
      <c r="E117" s="18"/>
      <c r="G117" s="18"/>
      <c r="H117" s="18"/>
      <c r="I117" s="18"/>
      <c r="J117" s="40"/>
      <c r="K117" s="18"/>
      <c r="L117" s="18"/>
      <c r="M117" s="18"/>
      <c r="P117" s="18"/>
      <c r="Q117" s="18"/>
      <c r="R117" s="40"/>
      <c r="S117" s="18"/>
      <c r="T117" s="18"/>
      <c r="U117" s="18"/>
      <c r="V117" s="40"/>
      <c r="W117" s="18"/>
      <c r="X117" s="18"/>
    </row>
    <row r="118" spans="1:26" ht="15" customHeight="1" x14ac:dyDescent="0.3">
      <c r="D118" s="18"/>
      <c r="E118" s="18"/>
      <c r="G118" s="18"/>
      <c r="H118" s="18"/>
      <c r="I118" s="18"/>
      <c r="J118" s="40"/>
      <c r="K118" s="18"/>
      <c r="L118" s="18"/>
      <c r="M118" s="18"/>
      <c r="P118" s="18"/>
      <c r="Q118" s="18"/>
      <c r="R118" s="40"/>
      <c r="S118" s="18"/>
      <c r="T118" s="18"/>
      <c r="U118" s="18"/>
      <c r="V118" s="40"/>
      <c r="W118" s="18"/>
      <c r="X11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8BB8-36FB-973A-E0DF-EB31A7617654}">
  <sheetPr>
    <tabColor rgb="FF92D050"/>
    <outlinePr summaryBelow="0" summaryRight="0"/>
  </sheetPr>
  <dimension ref="A2:Z9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","405"," - ","Caffeine Lab")</f>
        <v>Department 405 - Caffeine Lab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118012.11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118012.11</v>
      </c>
      <c r="M12" s="5"/>
      <c r="N12" s="13">
        <f>IF(H12=0,0,L12/H12)</f>
        <v>0</v>
      </c>
      <c r="O12" s="11"/>
      <c r="P12" s="5">
        <f>SUM(OSRRefP13x_0)</f>
        <v>600837.53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600837.53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--6760.69</f>
        <v>6760.69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6760.69</v>
      </c>
      <c r="M13" s="3"/>
      <c r="N13" s="20">
        <f>IF(H13=0,0,L13/H13)</f>
        <v>0</v>
      </c>
      <c r="O13" s="12"/>
      <c r="P13" s="3">
        <f>--57363.38</f>
        <v>57363.38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57363.38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--111251.42</f>
        <v>111251.42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111251.42</v>
      </c>
      <c r="M14" s="3"/>
      <c r="N14" s="20">
        <f>IF(H14=0,0,L14/H14)</f>
        <v>0</v>
      </c>
      <c r="O14" s="12"/>
      <c r="P14" s="3">
        <f>--543474.15</f>
        <v>543474.15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543474.15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49024.17</v>
      </c>
      <c r="E16" s="5"/>
      <c r="F16" s="13">
        <f>IF(D$12=0,0,D16/D$12)</f>
        <v>0.41541643480486873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49024.17</v>
      </c>
      <c r="M16" s="5"/>
      <c r="N16" s="13">
        <f>IF(H16=0,0,L16/H16)</f>
        <v>0</v>
      </c>
      <c r="O16" s="11"/>
      <c r="P16" s="5">
        <f>SUM(OSRRefP16x_0)</f>
        <v>261287.24</v>
      </c>
      <c r="Q16" s="5"/>
      <c r="R16" s="13">
        <f>IF(P$12=0,0,P16/P$12)</f>
        <v>0.43487170317073898</v>
      </c>
      <c r="S16" s="5"/>
      <c r="T16" s="5">
        <f>SUM(OSRRefT16x_0)</f>
        <v>-2369.5500000000002</v>
      </c>
      <c r="U16" s="5"/>
      <c r="V16" s="13">
        <f>IF(T$12=0,0,T16/T$12)</f>
        <v>0</v>
      </c>
      <c r="W16" s="5"/>
      <c r="X16" s="5">
        <f>+P16-T16</f>
        <v>263656.78999999998</v>
      </c>
      <c r="Y16" s="5"/>
      <c r="Z16" s="13">
        <f>IF(T16=0,0,X16/T16)</f>
        <v>-111.26871768901266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26424.84</v>
      </c>
      <c r="E17" s="3"/>
      <c r="F17" s="20">
        <f>IF(D$12=0,0,D17/D$12)</f>
        <v>0.22391634214488665</v>
      </c>
      <c r="G17" s="3"/>
      <c r="H17" s="3"/>
      <c r="I17" s="3"/>
      <c r="J17" s="20">
        <f>IF(H$12=0,0,H17/H$12)</f>
        <v>0</v>
      </c>
      <c r="K17" s="3"/>
      <c r="L17" s="3">
        <f>+D17-H17</f>
        <v>26424.84</v>
      </c>
      <c r="M17" s="3"/>
      <c r="N17" s="20">
        <f>IF(H17=0,0,L17/H17)</f>
        <v>0</v>
      </c>
      <c r="O17" s="12"/>
      <c r="P17" s="3">
        <v>186179.9</v>
      </c>
      <c r="Q17" s="3"/>
      <c r="R17" s="20">
        <f>IF(P$12=0,0,P17/P$12)</f>
        <v>0.30986729474105917</v>
      </c>
      <c r="S17" s="3"/>
      <c r="T17" s="3">
        <v>-2369.5500000000002</v>
      </c>
      <c r="U17" s="3"/>
      <c r="V17" s="20">
        <f>IF(T$12=0,0,T17/T$12)</f>
        <v>0</v>
      </c>
      <c r="W17" s="3"/>
      <c r="X17" s="3">
        <f>+P17-T17</f>
        <v>188549.44999999998</v>
      </c>
      <c r="Y17" s="3"/>
      <c r="Z17" s="20">
        <f>IF(T17=0,0,X17/T17)</f>
        <v>-79.571838534742866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22599.33</v>
      </c>
      <c r="E18" s="3"/>
      <c r="F18" s="20">
        <f>IF(D$12=0,0,D18/D$12)</f>
        <v>0.19150009265998211</v>
      </c>
      <c r="G18" s="3"/>
      <c r="H18" s="3"/>
      <c r="I18" s="3"/>
      <c r="J18" s="20">
        <f>IF(H$12=0,0,H18/H$12)</f>
        <v>0</v>
      </c>
      <c r="K18" s="3"/>
      <c r="L18" s="3">
        <f>+D18-H18</f>
        <v>22599.33</v>
      </c>
      <c r="M18" s="3"/>
      <c r="N18" s="20">
        <f>IF(H18=0,0,L18/H18)</f>
        <v>0</v>
      </c>
      <c r="O18" s="12"/>
      <c r="P18" s="3">
        <v>75107.34</v>
      </c>
      <c r="Q18" s="3"/>
      <c r="R18" s="20">
        <f>IF(P$12=0,0,P18/P$12)</f>
        <v>0.1250044084296798</v>
      </c>
      <c r="S18" s="3"/>
      <c r="T18" s="3"/>
      <c r="U18" s="3"/>
      <c r="V18" s="20">
        <f>IF(T$12=0,0,T18/T$12)</f>
        <v>0</v>
      </c>
      <c r="W18" s="3"/>
      <c r="X18" s="3">
        <f>+P18-T18</f>
        <v>75107.34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1">
        <f>D12-D16</f>
        <v>68987.94</v>
      </c>
      <c r="E20" s="15"/>
      <c r="F20" s="23">
        <f>IF(D$12=0,0,D20/D$12)</f>
        <v>0.58458356519513122</v>
      </c>
      <c r="G20" s="15"/>
      <c r="H20" s="21">
        <f>H12-H16</f>
        <v>0</v>
      </c>
      <c r="I20" s="15"/>
      <c r="J20" s="23">
        <f>IF(H$12=0,0,H20/H$12)</f>
        <v>0</v>
      </c>
      <c r="K20" s="16"/>
      <c r="L20" s="21">
        <f>+D20-H20</f>
        <v>68987.94</v>
      </c>
      <c r="M20" s="16"/>
      <c r="N20" s="23">
        <f>IF(H20=0,0,L20/H20)</f>
        <v>0</v>
      </c>
      <c r="O20" s="27"/>
      <c r="P20" s="21">
        <f>P12-P16</f>
        <v>339550.29000000004</v>
      </c>
      <c r="Q20" s="15"/>
      <c r="R20" s="23">
        <f>IF(P$12=0,0,P20/P$12)</f>
        <v>0.56512829682926102</v>
      </c>
      <c r="S20" s="15"/>
      <c r="T20" s="21">
        <f>T12-T16</f>
        <v>2369.5500000000002</v>
      </c>
      <c r="U20" s="15"/>
      <c r="V20" s="23">
        <f>IF(T$12=0,0,T20/T$12)</f>
        <v>0</v>
      </c>
      <c r="W20" s="16"/>
      <c r="X20" s="21">
        <f>+P20-T20</f>
        <v>337180.74000000005</v>
      </c>
      <c r="Y20" s="16"/>
      <c r="Z20" s="23">
        <f>IF(T20=0,0,X20/T20)</f>
        <v>142.29737291890865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2" cm="1">
        <f t="array" ref="D22">SUM(OSRRefD22x_0)</f>
        <v>55646.659999999982</v>
      </c>
      <c r="E22" s="22"/>
      <c r="F22" s="32">
        <f t="shared" ref="F22:F53" si="0">IF(D$12=0,0,D22/D$12)</f>
        <v>0.47153347228517467</v>
      </c>
      <c r="G22" s="22"/>
      <c r="H22" s="22" cm="1">
        <f t="array" ref="H22">SUM(OSRRefH22x_0)</f>
        <v>7546.01</v>
      </c>
      <c r="I22" s="22"/>
      <c r="J22" s="32">
        <f t="shared" ref="J22:J53" si="1">IF(H$12=0,0,H22/H$12)</f>
        <v>0</v>
      </c>
      <c r="K22" s="5"/>
      <c r="L22" s="22">
        <f t="shared" ref="L22:L53" si="2">+D22-H22</f>
        <v>48100.64999999998</v>
      </c>
      <c r="M22" s="5"/>
      <c r="N22" s="32">
        <f t="shared" ref="N22:N53" si="3">IF(H22=0,0,L22/H22)</f>
        <v>6.3743156979648816</v>
      </c>
      <c r="O22" s="11"/>
      <c r="P22" s="22" cm="1">
        <f t="array" ref="P22">SUM(OSRRefP22x_0)</f>
        <v>371280.44000000006</v>
      </c>
      <c r="Q22" s="22"/>
      <c r="R22" s="32">
        <f t="shared" ref="R22:R53" si="4">IF(P$12=0,0,P22/P$12)</f>
        <v>0.61793816374952482</v>
      </c>
      <c r="S22" s="22"/>
      <c r="T22" s="22" cm="1">
        <f t="array" ref="T22">SUM(OSRRefT22x_0)</f>
        <v>74384.429999999993</v>
      </c>
      <c r="U22" s="22"/>
      <c r="V22" s="32">
        <f t="shared" ref="V22:V53" si="5">IF(T$12=0,0,T22/T$12)</f>
        <v>0</v>
      </c>
      <c r="W22" s="5"/>
      <c r="X22" s="22">
        <f t="shared" ref="X22:X53" si="6">+P22-T22</f>
        <v>296896.01000000007</v>
      </c>
      <c r="Y22" s="5"/>
      <c r="Z22" s="32">
        <f t="shared" ref="Z22:Z53" si="7">IF(T22=0,0,X22/T22)</f>
        <v>3.9913730601955288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6419.8099999999995</v>
      </c>
      <c r="E23" s="2"/>
      <c r="F23" s="6">
        <f t="shared" si="0"/>
        <v>5.4399586618695317E-2</v>
      </c>
      <c r="G23" s="2"/>
      <c r="H23" s="2">
        <f>SUM(OSRRefH22_0x_0)</f>
        <v>0</v>
      </c>
      <c r="I23" s="2"/>
      <c r="J23" s="6">
        <f t="shared" si="1"/>
        <v>0</v>
      </c>
      <c r="K23" s="2"/>
      <c r="L23" s="2">
        <f t="shared" si="2"/>
        <v>6419.8099999999995</v>
      </c>
      <c r="M23" s="2"/>
      <c r="N23" s="6">
        <f t="shared" si="3"/>
        <v>0</v>
      </c>
      <c r="O23" s="14"/>
      <c r="P23" s="2">
        <f>SUM(OSRRefP22_0x_0)</f>
        <v>47191.6</v>
      </c>
      <c r="Q23" s="2"/>
      <c r="R23" s="6">
        <f t="shared" si="4"/>
        <v>7.8543029760474517E-2</v>
      </c>
      <c r="S23" s="2"/>
      <c r="T23" s="2">
        <f>SUM(OSRRefT22_0x_0)</f>
        <v>0.83</v>
      </c>
      <c r="U23" s="2"/>
      <c r="V23" s="6">
        <f t="shared" si="5"/>
        <v>0</v>
      </c>
      <c r="W23" s="2"/>
      <c r="X23" s="2">
        <f t="shared" si="6"/>
        <v>47190.77</v>
      </c>
      <c r="Y23" s="2"/>
      <c r="Z23" s="6">
        <f t="shared" si="7"/>
        <v>56856.349397590362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1216.56</v>
      </c>
      <c r="E24" s="3"/>
      <c r="F24" s="7">
        <f t="shared" si="0"/>
        <v>1.030877254885113E-2</v>
      </c>
      <c r="G24" s="3"/>
      <c r="H24" s="8"/>
      <c r="I24" s="3"/>
      <c r="J24" s="7">
        <f t="shared" si="1"/>
        <v>0</v>
      </c>
      <c r="K24" s="3"/>
      <c r="L24" s="8">
        <f t="shared" si="2"/>
        <v>1216.56</v>
      </c>
      <c r="M24" s="3"/>
      <c r="N24" s="7">
        <f t="shared" si="3"/>
        <v>0</v>
      </c>
      <c r="O24" s="12"/>
      <c r="P24" s="8">
        <v>8518.18</v>
      </c>
      <c r="Q24" s="3"/>
      <c r="R24" s="7">
        <f t="shared" si="4"/>
        <v>1.4177176981604329E-2</v>
      </c>
      <c r="S24" s="3"/>
      <c r="T24" s="8">
        <v>0.83</v>
      </c>
      <c r="U24" s="3"/>
      <c r="V24" s="7">
        <f t="shared" si="5"/>
        <v>0</v>
      </c>
      <c r="W24" s="3"/>
      <c r="X24" s="8">
        <f t="shared" si="6"/>
        <v>8517.35</v>
      </c>
      <c r="Y24" s="3"/>
      <c r="Z24" s="7">
        <f t="shared" si="7"/>
        <v>10261.867469879518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925.84</v>
      </c>
      <c r="E25" s="3"/>
      <c r="F25" s="7">
        <f t="shared" si="0"/>
        <v>7.8452965547349332E-3</v>
      </c>
      <c r="G25" s="3"/>
      <c r="H25" s="8"/>
      <c r="I25" s="3"/>
      <c r="J25" s="7">
        <f t="shared" si="1"/>
        <v>0</v>
      </c>
      <c r="K25" s="3"/>
      <c r="L25" s="8">
        <f t="shared" si="2"/>
        <v>925.84</v>
      </c>
      <c r="M25" s="3"/>
      <c r="N25" s="7">
        <f t="shared" si="3"/>
        <v>0</v>
      </c>
      <c r="O25" s="12"/>
      <c r="P25" s="8">
        <v>6960</v>
      </c>
      <c r="Q25" s="3"/>
      <c r="R25" s="7">
        <f t="shared" si="4"/>
        <v>1.1583830324314127E-2</v>
      </c>
      <c r="S25" s="3"/>
      <c r="T25" s="8"/>
      <c r="U25" s="3"/>
      <c r="V25" s="7">
        <f t="shared" si="5"/>
        <v>0</v>
      </c>
      <c r="W25" s="3"/>
      <c r="X25" s="8">
        <f t="shared" si="6"/>
        <v>6960</v>
      </c>
      <c r="Y25" s="3"/>
      <c r="Z25" s="7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2033.2</v>
      </c>
      <c r="E26" s="3"/>
      <c r="F26" s="7">
        <f t="shared" si="0"/>
        <v>1.7228740338597455E-2</v>
      </c>
      <c r="G26" s="3"/>
      <c r="H26" s="8"/>
      <c r="I26" s="3"/>
      <c r="J26" s="7">
        <f t="shared" si="1"/>
        <v>0</v>
      </c>
      <c r="K26" s="3"/>
      <c r="L26" s="8">
        <f t="shared" si="2"/>
        <v>2033.2</v>
      </c>
      <c r="M26" s="3"/>
      <c r="N26" s="7">
        <f t="shared" si="3"/>
        <v>0</v>
      </c>
      <c r="O26" s="12"/>
      <c r="P26" s="8">
        <v>15732.63</v>
      </c>
      <c r="Q26" s="3"/>
      <c r="R26" s="7">
        <f t="shared" si="4"/>
        <v>2.6184499493565255E-2</v>
      </c>
      <c r="S26" s="3"/>
      <c r="T26" s="8"/>
      <c r="U26" s="3"/>
      <c r="V26" s="7">
        <f t="shared" si="5"/>
        <v>0</v>
      </c>
      <c r="W26" s="3"/>
      <c r="X26" s="8">
        <f t="shared" si="6"/>
        <v>15732.63</v>
      </c>
      <c r="Y26" s="3"/>
      <c r="Z26" s="7">
        <f t="shared" si="7"/>
        <v>0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66.87</v>
      </c>
      <c r="E27" s="3"/>
      <c r="F27" s="7">
        <f t="shared" si="0"/>
        <v>5.6663676295593739E-4</v>
      </c>
      <c r="G27" s="3"/>
      <c r="H27" s="8"/>
      <c r="I27" s="3"/>
      <c r="J27" s="7">
        <f t="shared" si="1"/>
        <v>0</v>
      </c>
      <c r="K27" s="3"/>
      <c r="L27" s="8">
        <f t="shared" si="2"/>
        <v>66.87</v>
      </c>
      <c r="M27" s="3"/>
      <c r="N27" s="7">
        <f t="shared" si="3"/>
        <v>0</v>
      </c>
      <c r="O27" s="12"/>
      <c r="P27" s="8">
        <v>502.67</v>
      </c>
      <c r="Q27" s="3"/>
      <c r="R27" s="7">
        <f t="shared" si="4"/>
        <v>8.3661551567858954E-4</v>
      </c>
      <c r="S27" s="3"/>
      <c r="T27" s="8"/>
      <c r="U27" s="3"/>
      <c r="V27" s="7">
        <f t="shared" si="5"/>
        <v>0</v>
      </c>
      <c r="W27" s="3"/>
      <c r="X27" s="8">
        <f t="shared" si="6"/>
        <v>502.67</v>
      </c>
      <c r="Y27" s="3"/>
      <c r="Z27" s="7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572.16999999999996</v>
      </c>
      <c r="E28" s="3"/>
      <c r="F28" s="7">
        <f t="shared" si="0"/>
        <v>4.8484007276880306E-3</v>
      </c>
      <c r="G28" s="3"/>
      <c r="H28" s="8"/>
      <c r="I28" s="3"/>
      <c r="J28" s="7">
        <f t="shared" si="1"/>
        <v>0</v>
      </c>
      <c r="K28" s="3"/>
      <c r="L28" s="8">
        <f t="shared" si="2"/>
        <v>572.16999999999996</v>
      </c>
      <c r="M28" s="3"/>
      <c r="N28" s="7">
        <f t="shared" si="3"/>
        <v>0</v>
      </c>
      <c r="O28" s="12"/>
      <c r="P28" s="8">
        <v>4209.5200000000004</v>
      </c>
      <c r="Q28" s="3"/>
      <c r="R28" s="7">
        <f t="shared" si="4"/>
        <v>7.0060869866101745E-3</v>
      </c>
      <c r="S28" s="3"/>
      <c r="T28" s="8"/>
      <c r="U28" s="3"/>
      <c r="V28" s="7">
        <f t="shared" si="5"/>
        <v>0</v>
      </c>
      <c r="W28" s="3"/>
      <c r="X28" s="8">
        <f t="shared" si="6"/>
        <v>4209.5200000000004</v>
      </c>
      <c r="Y28" s="3"/>
      <c r="Z28" s="7">
        <f t="shared" si="7"/>
        <v>0</v>
      </c>
    </row>
    <row r="29" spans="1:26" s="69" customFormat="1" ht="15" hidden="1" customHeight="1" outlineLevel="2" x14ac:dyDescent="0.3">
      <c r="A29" s="26"/>
      <c r="B29" s="12" t="str">
        <f>CONCATENATE("          ","6118"," - ","VACATION")</f>
        <v xml:space="preserve">          6118 - VACATION</v>
      </c>
      <c r="C29" s="12"/>
      <c r="D29" s="8">
        <v>509.61</v>
      </c>
      <c r="E29" s="3"/>
      <c r="F29" s="7">
        <f t="shared" si="0"/>
        <v>4.3182856403465716E-3</v>
      </c>
      <c r="G29" s="3"/>
      <c r="H29" s="8"/>
      <c r="I29" s="3"/>
      <c r="J29" s="7">
        <f t="shared" si="1"/>
        <v>0</v>
      </c>
      <c r="K29" s="3"/>
      <c r="L29" s="8">
        <f t="shared" si="2"/>
        <v>509.61</v>
      </c>
      <c r="M29" s="3"/>
      <c r="N29" s="7">
        <f t="shared" si="3"/>
        <v>0</v>
      </c>
      <c r="O29" s="12"/>
      <c r="P29" s="8">
        <v>3462.46</v>
      </c>
      <c r="Q29" s="3"/>
      <c r="R29" s="7">
        <f t="shared" si="4"/>
        <v>5.7627225782650423E-3</v>
      </c>
      <c r="S29" s="3"/>
      <c r="T29" s="8"/>
      <c r="U29" s="3"/>
      <c r="V29" s="7">
        <f t="shared" si="5"/>
        <v>0</v>
      </c>
      <c r="W29" s="3"/>
      <c r="X29" s="8">
        <f t="shared" si="6"/>
        <v>3462.46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","6119"," - ","SICK LEAVE")</f>
        <v xml:space="preserve">          6119 - SICK LEAVE</v>
      </c>
      <c r="C30" s="12"/>
      <c r="D30" s="8">
        <v>610.55999999999995</v>
      </c>
      <c r="E30" s="3"/>
      <c r="F30" s="7">
        <f t="shared" si="0"/>
        <v>5.1737063255626898E-3</v>
      </c>
      <c r="G30" s="3"/>
      <c r="H30" s="8"/>
      <c r="I30" s="3"/>
      <c r="J30" s="7">
        <f t="shared" si="1"/>
        <v>0</v>
      </c>
      <c r="K30" s="3"/>
      <c r="L30" s="8">
        <f t="shared" si="2"/>
        <v>610.55999999999995</v>
      </c>
      <c r="M30" s="3"/>
      <c r="N30" s="7">
        <f t="shared" si="3"/>
        <v>0</v>
      </c>
      <c r="O30" s="12"/>
      <c r="P30" s="8">
        <v>4057.89</v>
      </c>
      <c r="Q30" s="3"/>
      <c r="R30" s="7">
        <f t="shared" si="4"/>
        <v>6.7537225911969909E-3</v>
      </c>
      <c r="S30" s="3"/>
      <c r="T30" s="8"/>
      <c r="U30" s="3"/>
      <c r="V30" s="7">
        <f t="shared" si="5"/>
        <v>0</v>
      </c>
      <c r="W30" s="3"/>
      <c r="X30" s="8">
        <f t="shared" si="6"/>
        <v>4057.89</v>
      </c>
      <c r="Y30" s="3"/>
      <c r="Z30" s="7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","6156"," - ","EMPLOYEE MEALS")</f>
        <v xml:space="preserve">          6156 - EMPLOYEE MEALS</v>
      </c>
      <c r="C31" s="12"/>
      <c r="D31" s="8">
        <v>485</v>
      </c>
      <c r="E31" s="3"/>
      <c r="F31" s="7">
        <f t="shared" si="0"/>
        <v>4.1097477199585706E-3</v>
      </c>
      <c r="G31" s="3"/>
      <c r="H31" s="8"/>
      <c r="I31" s="3"/>
      <c r="J31" s="7">
        <f t="shared" si="1"/>
        <v>0</v>
      </c>
      <c r="K31" s="3"/>
      <c r="L31" s="8">
        <f t="shared" si="2"/>
        <v>485</v>
      </c>
      <c r="M31" s="3"/>
      <c r="N31" s="7">
        <f t="shared" si="3"/>
        <v>0</v>
      </c>
      <c r="O31" s="12"/>
      <c r="P31" s="8">
        <v>3748.25</v>
      </c>
      <c r="Q31" s="3"/>
      <c r="R31" s="7">
        <f t="shared" si="4"/>
        <v>6.2383752892400043E-3</v>
      </c>
      <c r="S31" s="3"/>
      <c r="T31" s="8"/>
      <c r="U31" s="3"/>
      <c r="V31" s="7">
        <f t="shared" si="5"/>
        <v>0</v>
      </c>
      <c r="W31" s="3"/>
      <c r="X31" s="8">
        <f t="shared" si="6"/>
        <v>3748.25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","*Payroll                                          ")</f>
        <v xml:space="preserve">     *Payroll                                          </v>
      </c>
      <c r="C32" s="14"/>
      <c r="D32" s="2">
        <f>SUM(OSRRefD22_1x_0)</f>
        <v>33773.369999999995</v>
      </c>
      <c r="E32" s="2"/>
      <c r="F32" s="6">
        <f t="shared" si="0"/>
        <v>0.28618562959343746</v>
      </c>
      <c r="G32" s="2"/>
      <c r="H32" s="2">
        <f>SUM(OSRRefH22_1x_0)</f>
        <v>0</v>
      </c>
      <c r="I32" s="2"/>
      <c r="J32" s="6">
        <f t="shared" si="1"/>
        <v>0</v>
      </c>
      <c r="K32" s="2"/>
      <c r="L32" s="2">
        <f t="shared" si="2"/>
        <v>33773.369999999995</v>
      </c>
      <c r="M32" s="2"/>
      <c r="N32" s="6">
        <f t="shared" si="3"/>
        <v>0</v>
      </c>
      <c r="O32" s="14"/>
      <c r="P32" s="2">
        <f>SUM(OSRRefP22_1x_0)</f>
        <v>204408.37</v>
      </c>
      <c r="Q32" s="2"/>
      <c r="R32" s="6">
        <f t="shared" si="4"/>
        <v>0.34020572915942848</v>
      </c>
      <c r="S32" s="2"/>
      <c r="T32" s="2">
        <f>SUM(OSRRefT22_1x_0)</f>
        <v>0</v>
      </c>
      <c r="U32" s="2"/>
      <c r="V32" s="6">
        <f t="shared" si="5"/>
        <v>0</v>
      </c>
      <c r="W32" s="2"/>
      <c r="X32" s="2">
        <f t="shared" si="6"/>
        <v>204408.37</v>
      </c>
      <c r="Y32" s="2"/>
      <c r="Z32" s="6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6461.7</v>
      </c>
      <c r="E33" s="3"/>
      <c r="F33" s="7">
        <f t="shared" si="0"/>
        <v>5.4754550189806787E-2</v>
      </c>
      <c r="G33" s="3"/>
      <c r="H33" s="8"/>
      <c r="I33" s="3"/>
      <c r="J33" s="7">
        <f t="shared" si="1"/>
        <v>0</v>
      </c>
      <c r="K33" s="3"/>
      <c r="L33" s="8">
        <f t="shared" si="2"/>
        <v>6461.7</v>
      </c>
      <c r="M33" s="3"/>
      <c r="N33" s="7">
        <f t="shared" si="3"/>
        <v>0</v>
      </c>
      <c r="O33" s="12"/>
      <c r="P33" s="8">
        <v>54653.89</v>
      </c>
      <c r="Q33" s="3"/>
      <c r="R33" s="7">
        <f t="shared" si="4"/>
        <v>9.0962843149961017E-2</v>
      </c>
      <c r="S33" s="3"/>
      <c r="T33" s="8"/>
      <c r="U33" s="3"/>
      <c r="V33" s="7">
        <f t="shared" si="5"/>
        <v>0</v>
      </c>
      <c r="W33" s="3"/>
      <c r="X33" s="8">
        <f t="shared" si="6"/>
        <v>54653.89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4900.72</v>
      </c>
      <c r="E34" s="3"/>
      <c r="F34" s="7">
        <f t="shared" si="0"/>
        <v>4.1527263600320344E-2</v>
      </c>
      <c r="G34" s="3"/>
      <c r="H34" s="8"/>
      <c r="I34" s="3"/>
      <c r="J34" s="7">
        <f t="shared" si="1"/>
        <v>0</v>
      </c>
      <c r="K34" s="3"/>
      <c r="L34" s="8">
        <f t="shared" si="2"/>
        <v>4900.72</v>
      </c>
      <c r="M34" s="3"/>
      <c r="N34" s="7">
        <f t="shared" si="3"/>
        <v>0</v>
      </c>
      <c r="O34" s="12"/>
      <c r="P34" s="8">
        <v>23961.07</v>
      </c>
      <c r="Q34" s="3"/>
      <c r="R34" s="7">
        <f t="shared" si="4"/>
        <v>3.9879449607616885E-2</v>
      </c>
      <c r="S34" s="3"/>
      <c r="T34" s="8"/>
      <c r="U34" s="3"/>
      <c r="V34" s="7">
        <f t="shared" si="5"/>
        <v>0</v>
      </c>
      <c r="W34" s="3"/>
      <c r="X34" s="8">
        <f t="shared" si="6"/>
        <v>23961.07</v>
      </c>
      <c r="Y34" s="3"/>
      <c r="Z34" s="7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3110.28</v>
      </c>
      <c r="E35" s="3"/>
      <c r="F35" s="7">
        <f t="shared" si="0"/>
        <v>2.6355600285428337E-2</v>
      </c>
      <c r="G35" s="3"/>
      <c r="H35" s="8"/>
      <c r="I35" s="3"/>
      <c r="J35" s="7">
        <f t="shared" si="1"/>
        <v>0</v>
      </c>
      <c r="K35" s="3"/>
      <c r="L35" s="8">
        <f t="shared" si="2"/>
        <v>3110.28</v>
      </c>
      <c r="M35" s="3"/>
      <c r="N35" s="7">
        <f t="shared" si="3"/>
        <v>0</v>
      </c>
      <c r="O35" s="12"/>
      <c r="P35" s="8">
        <v>25248.47</v>
      </c>
      <c r="Q35" s="3"/>
      <c r="R35" s="7">
        <f t="shared" si="4"/>
        <v>4.2022125348927519E-2</v>
      </c>
      <c r="S35" s="3"/>
      <c r="T35" s="8"/>
      <c r="U35" s="3"/>
      <c r="V35" s="7">
        <f t="shared" si="5"/>
        <v>0</v>
      </c>
      <c r="W35" s="3"/>
      <c r="X35" s="8">
        <f t="shared" si="6"/>
        <v>25248.47</v>
      </c>
      <c r="Y35" s="3"/>
      <c r="Z35" s="7">
        <f t="shared" si="7"/>
        <v>0</v>
      </c>
    </row>
    <row r="36" spans="1:26" s="69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19300.669999999998</v>
      </c>
      <c r="E36" s="3"/>
      <c r="F36" s="7">
        <f t="shared" si="0"/>
        <v>0.16354821551788201</v>
      </c>
      <c r="G36" s="3"/>
      <c r="H36" s="8"/>
      <c r="I36" s="3"/>
      <c r="J36" s="7">
        <f t="shared" si="1"/>
        <v>0</v>
      </c>
      <c r="K36" s="3"/>
      <c r="L36" s="8">
        <f t="shared" si="2"/>
        <v>19300.669999999998</v>
      </c>
      <c r="M36" s="3"/>
      <c r="N36" s="7">
        <f t="shared" si="3"/>
        <v>0</v>
      </c>
      <c r="O36" s="12"/>
      <c r="P36" s="8">
        <v>100544.94</v>
      </c>
      <c r="Q36" s="3"/>
      <c r="R36" s="7">
        <f t="shared" si="4"/>
        <v>0.16734131105292308</v>
      </c>
      <c r="S36" s="3"/>
      <c r="T36" s="8"/>
      <c r="U36" s="3"/>
      <c r="V36" s="7">
        <f t="shared" si="5"/>
        <v>0</v>
      </c>
      <c r="W36" s="3"/>
      <c r="X36" s="8">
        <f t="shared" si="6"/>
        <v>100544.94</v>
      </c>
      <c r="Y36" s="3"/>
      <c r="Z36" s="7">
        <f t="shared" si="7"/>
        <v>0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50.27</v>
      </c>
      <c r="E37" s="2"/>
      <c r="F37" s="6">
        <f t="shared" si="0"/>
        <v>4.2597323274704609E-4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50.27</v>
      </c>
      <c r="M37" s="2"/>
      <c r="N37" s="6">
        <f t="shared" si="3"/>
        <v>0</v>
      </c>
      <c r="O37" s="14"/>
      <c r="P37" s="2">
        <f>SUM(OSRRefP22_2x_0)</f>
        <v>308.88</v>
      </c>
      <c r="Q37" s="2"/>
      <c r="R37" s="6">
        <f t="shared" si="4"/>
        <v>5.1408240094456142E-4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308.88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>
        <v>50.27</v>
      </c>
      <c r="E38" s="3"/>
      <c r="F38" s="7">
        <f t="shared" si="0"/>
        <v>4.2597323274704609E-4</v>
      </c>
      <c r="G38" s="3"/>
      <c r="H38" s="8"/>
      <c r="I38" s="3"/>
      <c r="J38" s="7">
        <f t="shared" si="1"/>
        <v>0</v>
      </c>
      <c r="K38" s="3"/>
      <c r="L38" s="8">
        <f t="shared" si="2"/>
        <v>50.27</v>
      </c>
      <c r="M38" s="3"/>
      <c r="N38" s="7">
        <f t="shared" si="3"/>
        <v>0</v>
      </c>
      <c r="O38" s="12"/>
      <c r="P38" s="8">
        <v>308.88</v>
      </c>
      <c r="Q38" s="3"/>
      <c r="R38" s="7">
        <f t="shared" si="4"/>
        <v>5.1408240094456142E-4</v>
      </c>
      <c r="S38" s="3"/>
      <c r="T38" s="8"/>
      <c r="U38" s="3"/>
      <c r="V38" s="7">
        <f t="shared" si="5"/>
        <v>0</v>
      </c>
      <c r="W38" s="3"/>
      <c r="X38" s="8">
        <f t="shared" si="6"/>
        <v>308.88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","Bad Debts/Over/Short                              ")</f>
        <v xml:space="preserve">     Bad Debts/Over/Short                              </v>
      </c>
      <c r="C39" s="14"/>
      <c r="D39" s="2">
        <f>SUM(OSRRefD22_3x_0)</f>
        <v>-0.08</v>
      </c>
      <c r="E39" s="2"/>
      <c r="F39" s="6">
        <f t="shared" si="0"/>
        <v>-6.7789653112718689E-7</v>
      </c>
      <c r="G39" s="2"/>
      <c r="H39" s="2">
        <f>SUM(OSRRefH22_3x_0)</f>
        <v>0</v>
      </c>
      <c r="I39" s="2"/>
      <c r="J39" s="6">
        <f t="shared" si="1"/>
        <v>0</v>
      </c>
      <c r="K39" s="2"/>
      <c r="L39" s="2">
        <f t="shared" si="2"/>
        <v>-0.08</v>
      </c>
      <c r="M39" s="2"/>
      <c r="N39" s="6">
        <f t="shared" si="3"/>
        <v>0</v>
      </c>
      <c r="O39" s="14"/>
      <c r="P39" s="2">
        <f>SUM(OSRRefP22_3x_0)</f>
        <v>-15.17</v>
      </c>
      <c r="Q39" s="2"/>
      <c r="R39" s="6">
        <f t="shared" si="4"/>
        <v>-2.5248089945380076E-5</v>
      </c>
      <c r="S39" s="2"/>
      <c r="T39" s="2">
        <f>SUM(OSRRefT22_3x_0)</f>
        <v>0</v>
      </c>
      <c r="U39" s="2"/>
      <c r="V39" s="6">
        <f t="shared" si="5"/>
        <v>0</v>
      </c>
      <c r="W39" s="2"/>
      <c r="X39" s="2">
        <f t="shared" si="6"/>
        <v>-15.17</v>
      </c>
      <c r="Y39" s="2"/>
      <c r="Z39" s="6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","6272"," - ","CASH (OVER/SHORT)")</f>
        <v xml:space="preserve">          6272 - CASH (OVER/SHORT)</v>
      </c>
      <c r="C40" s="12"/>
      <c r="D40" s="8">
        <v>-0.08</v>
      </c>
      <c r="E40" s="3"/>
      <c r="F40" s="7">
        <f t="shared" si="0"/>
        <v>-6.7789653112718689E-7</v>
      </c>
      <c r="G40" s="3"/>
      <c r="H40" s="8"/>
      <c r="I40" s="3"/>
      <c r="J40" s="7">
        <f t="shared" si="1"/>
        <v>0</v>
      </c>
      <c r="K40" s="3"/>
      <c r="L40" s="8">
        <f t="shared" si="2"/>
        <v>-0.08</v>
      </c>
      <c r="M40" s="3"/>
      <c r="N40" s="7">
        <f t="shared" si="3"/>
        <v>0</v>
      </c>
      <c r="O40" s="12"/>
      <c r="P40" s="8">
        <v>-15.17</v>
      </c>
      <c r="Q40" s="3"/>
      <c r="R40" s="7">
        <f t="shared" si="4"/>
        <v>-2.5248089945380076E-5</v>
      </c>
      <c r="S40" s="3"/>
      <c r="T40" s="8"/>
      <c r="U40" s="3"/>
      <c r="V40" s="7">
        <f t="shared" si="5"/>
        <v>0</v>
      </c>
      <c r="W40" s="3"/>
      <c r="X40" s="8">
        <f t="shared" si="6"/>
        <v>-15.17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","Bank/card Fees                                    ")</f>
        <v xml:space="preserve">     Bank/card Fees                                    </v>
      </c>
      <c r="C41" s="14"/>
      <c r="D41" s="2">
        <f>SUM(OSRRefD22_4x_0)</f>
        <v>3648.64</v>
      </c>
      <c r="E41" s="2"/>
      <c r="F41" s="6">
        <f t="shared" si="0"/>
        <v>3.0917504991648737E-2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3648.64</v>
      </c>
      <c r="M41" s="2"/>
      <c r="N41" s="6">
        <f t="shared" si="3"/>
        <v>0</v>
      </c>
      <c r="O41" s="14"/>
      <c r="P41" s="2">
        <f>SUM(OSRRefP22_4x_0)</f>
        <v>20692.490000000002</v>
      </c>
      <c r="Q41" s="2"/>
      <c r="R41" s="6">
        <f t="shared" si="4"/>
        <v>3.4439409934995238E-2</v>
      </c>
      <c r="S41" s="2"/>
      <c r="T41" s="2">
        <f>SUM(OSRRefT22_4x_0)</f>
        <v>0</v>
      </c>
      <c r="U41" s="2"/>
      <c r="V41" s="6">
        <f t="shared" si="5"/>
        <v>0</v>
      </c>
      <c r="W41" s="2"/>
      <c r="X41" s="2">
        <f t="shared" si="6"/>
        <v>20692.490000000002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","6381"," - ","BANK/CREDIT CARD FEES")</f>
        <v xml:space="preserve">          6381 - BANK/CREDIT CARD FEES</v>
      </c>
      <c r="C42" s="12"/>
      <c r="D42" s="8">
        <v>3648.64</v>
      </c>
      <c r="E42" s="3"/>
      <c r="F42" s="7">
        <f t="shared" si="0"/>
        <v>3.0917504991648737E-2</v>
      </c>
      <c r="G42" s="3"/>
      <c r="H42" s="8"/>
      <c r="I42" s="3"/>
      <c r="J42" s="7">
        <f t="shared" si="1"/>
        <v>0</v>
      </c>
      <c r="K42" s="3"/>
      <c r="L42" s="8">
        <f t="shared" si="2"/>
        <v>3648.64</v>
      </c>
      <c r="M42" s="3"/>
      <c r="N42" s="7">
        <f t="shared" si="3"/>
        <v>0</v>
      </c>
      <c r="O42" s="12"/>
      <c r="P42" s="8">
        <v>20692.490000000002</v>
      </c>
      <c r="Q42" s="3"/>
      <c r="R42" s="7">
        <f t="shared" si="4"/>
        <v>3.4439409934995238E-2</v>
      </c>
      <c r="S42" s="3"/>
      <c r="T42" s="8"/>
      <c r="U42" s="3"/>
      <c r="V42" s="7">
        <f t="shared" si="5"/>
        <v>0</v>
      </c>
      <c r="W42" s="3"/>
      <c r="X42" s="8">
        <f t="shared" si="6"/>
        <v>20692.490000000002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","Depreciation                                      ")</f>
        <v xml:space="preserve">     Depreciation                                      </v>
      </c>
      <c r="C43" s="14"/>
      <c r="D43" s="2">
        <f>SUM(OSRRefD22_5x_0)</f>
        <v>5145.07</v>
      </c>
      <c r="E43" s="2"/>
      <c r="F43" s="6">
        <f t="shared" si="0"/>
        <v>4.3597813817581939E-2</v>
      </c>
      <c r="G43" s="2"/>
      <c r="H43" s="2">
        <f>SUM(OSRRefH22_5x_0)</f>
        <v>5233.01</v>
      </c>
      <c r="I43" s="2"/>
      <c r="J43" s="6">
        <f t="shared" si="1"/>
        <v>0</v>
      </c>
      <c r="K43" s="2"/>
      <c r="L43" s="2">
        <f t="shared" si="2"/>
        <v>-87.940000000000509</v>
      </c>
      <c r="M43" s="2"/>
      <c r="N43" s="6">
        <f t="shared" si="3"/>
        <v>-1.6804859918096948E-2</v>
      </c>
      <c r="O43" s="14"/>
      <c r="P43" s="2">
        <f>SUM(OSRRefP22_5x_0)</f>
        <v>46783.57</v>
      </c>
      <c r="Q43" s="2"/>
      <c r="R43" s="6">
        <f t="shared" si="4"/>
        <v>7.7863927707711597E-2</v>
      </c>
      <c r="S43" s="2"/>
      <c r="T43" s="2">
        <f>SUM(OSRRefT22_5x_0)</f>
        <v>52621.22</v>
      </c>
      <c r="U43" s="2"/>
      <c r="V43" s="6">
        <f t="shared" si="5"/>
        <v>0</v>
      </c>
      <c r="W43" s="2"/>
      <c r="X43" s="2">
        <f t="shared" si="6"/>
        <v>-5837.6500000000015</v>
      </c>
      <c r="Y43" s="2"/>
      <c r="Z43" s="6">
        <f t="shared" si="7"/>
        <v>-0.11093718465668416</v>
      </c>
    </row>
    <row r="44" spans="1:26" s="69" customFormat="1" ht="15" hidden="1" customHeight="1" outlineLevel="2" x14ac:dyDescent="0.3">
      <c r="A44" s="26"/>
      <c r="B44" s="12" t="str">
        <f>CONCATENATE("          ","6321"," - ","BUILDING DEPRECIATION")</f>
        <v xml:space="preserve">          6321 - BUILDING DEPRECIATION</v>
      </c>
      <c r="C44" s="12"/>
      <c r="D44" s="8">
        <v>4626.5</v>
      </c>
      <c r="E44" s="3"/>
      <c r="F44" s="7">
        <f t="shared" si="0"/>
        <v>3.9203603765749127E-2</v>
      </c>
      <c r="G44" s="3"/>
      <c r="H44" s="8">
        <v>4626.5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46265</v>
      </c>
      <c r="Q44" s="3"/>
      <c r="R44" s="7">
        <f t="shared" si="4"/>
        <v>7.7000849131378321E-2</v>
      </c>
      <c r="S44" s="3"/>
      <c r="T44" s="8">
        <v>46265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hidden="1" customHeight="1" outlineLevel="2" x14ac:dyDescent="0.3">
      <c r="A45" s="26"/>
      <c r="B45" s="12" t="str">
        <f>CONCATENATE("          ","6322"," - ","EQUIPMENT DEPRECIATION EXPENSE")</f>
        <v xml:space="preserve">          6322 - EQUIPMENT DEPRECIATION EXPENSE</v>
      </c>
      <c r="C45" s="12"/>
      <c r="D45" s="8">
        <v>518.57000000000005</v>
      </c>
      <c r="E45" s="3"/>
      <c r="F45" s="7">
        <f t="shared" si="0"/>
        <v>4.3942100518328166E-3</v>
      </c>
      <c r="G45" s="3"/>
      <c r="H45" s="8">
        <v>606.51</v>
      </c>
      <c r="I45" s="3"/>
      <c r="J45" s="7">
        <f t="shared" si="1"/>
        <v>0</v>
      </c>
      <c r="K45" s="3"/>
      <c r="L45" s="8">
        <f t="shared" si="2"/>
        <v>-87.939999999999941</v>
      </c>
      <c r="M45" s="3"/>
      <c r="N45" s="7">
        <f t="shared" si="3"/>
        <v>-0.14499348732914535</v>
      </c>
      <c r="O45" s="12"/>
      <c r="P45" s="8">
        <v>518.57000000000005</v>
      </c>
      <c r="Q45" s="3"/>
      <c r="R45" s="7">
        <f t="shared" si="4"/>
        <v>8.6307857633327275E-4</v>
      </c>
      <c r="S45" s="3"/>
      <c r="T45" s="8">
        <v>6356.22</v>
      </c>
      <c r="U45" s="3"/>
      <c r="V45" s="7">
        <f t="shared" si="5"/>
        <v>0</v>
      </c>
      <c r="W45" s="3"/>
      <c r="X45" s="8">
        <f t="shared" si="6"/>
        <v>-5837.6500000000005</v>
      </c>
      <c r="Y45" s="3"/>
      <c r="Z45" s="7">
        <f t="shared" si="7"/>
        <v>-0.91841534748639919</v>
      </c>
    </row>
    <row r="46" spans="1:26" s="68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SUM(OSRRefD22_6x_0)</f>
        <v>0</v>
      </c>
      <c r="E46" s="2"/>
      <c r="F46" s="6">
        <f t="shared" si="0"/>
        <v>0</v>
      </c>
      <c r="G46" s="2"/>
      <c r="H46" s="2">
        <f>SUM(OSRRefH22_6x_0)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246.92</v>
      </c>
      <c r="Q46" s="2"/>
      <c r="R46" s="6">
        <f t="shared" si="4"/>
        <v>4.1095968156316731E-4</v>
      </c>
      <c r="S46" s="2"/>
      <c r="T46" s="2">
        <f>SUM(OSRRefT22_6x_0)</f>
        <v>0</v>
      </c>
      <c r="U46" s="2"/>
      <c r="V46" s="6">
        <f t="shared" si="5"/>
        <v>0</v>
      </c>
      <c r="W46" s="2"/>
      <c r="X46" s="2">
        <f t="shared" si="6"/>
        <v>246.92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246.92</v>
      </c>
      <c r="Q47" s="3"/>
      <c r="R47" s="7">
        <f t="shared" si="4"/>
        <v>4.1095968156316731E-4</v>
      </c>
      <c r="S47" s="3"/>
      <c r="T47" s="8"/>
      <c r="U47" s="3"/>
      <c r="V47" s="7">
        <f t="shared" si="5"/>
        <v>0</v>
      </c>
      <c r="W47" s="3"/>
      <c r="X47" s="8">
        <f t="shared" si="6"/>
        <v>246.92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0</v>
      </c>
      <c r="Q48" s="2"/>
      <c r="R48" s="6">
        <f t="shared" si="4"/>
        <v>0</v>
      </c>
      <c r="S48" s="2"/>
      <c r="T48" s="2">
        <f>SUM(OSRRefT22_7x_0)</f>
        <v>96.3</v>
      </c>
      <c r="U48" s="2"/>
      <c r="V48" s="6">
        <f t="shared" si="5"/>
        <v>0</v>
      </c>
      <c r="W48" s="2"/>
      <c r="X48" s="2">
        <f t="shared" si="6"/>
        <v>-96.3</v>
      </c>
      <c r="Y48" s="2"/>
      <c r="Z48" s="6">
        <f t="shared" si="7"/>
        <v>-1</v>
      </c>
    </row>
    <row r="49" spans="1:26" s="69" customFormat="1" ht="15" hidden="1" customHeight="1" outlineLevel="2" x14ac:dyDescent="0.3">
      <c r="A49" s="26"/>
      <c r="B49" s="12" t="str">
        <f>CONCATENATE("          ","6351"," - ","EQUIPMENT RENTAL")</f>
        <v xml:space="preserve">          6351 - EQUIPMENT RENTAL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/>
      <c r="Q49" s="3"/>
      <c r="R49" s="7">
        <f t="shared" si="4"/>
        <v>0</v>
      </c>
      <c r="S49" s="3"/>
      <c r="T49" s="8">
        <v>96.3</v>
      </c>
      <c r="U49" s="3"/>
      <c r="V49" s="7">
        <f t="shared" si="5"/>
        <v>0</v>
      </c>
      <c r="W49" s="3"/>
      <c r="X49" s="8">
        <f t="shared" si="6"/>
        <v>-96.3</v>
      </c>
      <c r="Y49" s="3"/>
      <c r="Z49" s="7">
        <f t="shared" si="7"/>
        <v>-1</v>
      </c>
    </row>
    <row r="50" spans="1:26" s="68" customFormat="1" ht="15" customHeight="1" outlineLevel="1" collapsed="1" x14ac:dyDescent="0.3">
      <c r="A50" s="25"/>
      <c r="B50" s="14" t="str">
        <f>CONCATENATE("     ","General                                           ")</f>
        <v xml:space="preserve">     General                                           </v>
      </c>
      <c r="C50" s="14"/>
      <c r="D50" s="2">
        <f>SUM(OSRRefD22_8x_0)</f>
        <v>-631.45000000000005</v>
      </c>
      <c r="E50" s="2"/>
      <c r="F50" s="6">
        <f t="shared" si="0"/>
        <v>-5.3507220572532772E-3</v>
      </c>
      <c r="G50" s="2"/>
      <c r="H50" s="2">
        <f>SUM(OSRRefH22_8x_0)</f>
        <v>0</v>
      </c>
      <c r="I50" s="2"/>
      <c r="J50" s="6">
        <f t="shared" si="1"/>
        <v>0</v>
      </c>
      <c r="K50" s="2"/>
      <c r="L50" s="2">
        <f t="shared" si="2"/>
        <v>-631.45000000000005</v>
      </c>
      <c r="M50" s="2"/>
      <c r="N50" s="6">
        <f t="shared" si="3"/>
        <v>0</v>
      </c>
      <c r="O50" s="14"/>
      <c r="P50" s="2">
        <f>SUM(OSRRefP22_8x_0)</f>
        <v>1301.9000000000001</v>
      </c>
      <c r="Q50" s="2"/>
      <c r="R50" s="6">
        <f t="shared" si="4"/>
        <v>2.1668087211529547E-3</v>
      </c>
      <c r="S50" s="2"/>
      <c r="T50" s="2">
        <f>SUM(OSRRefT22_8x_0)</f>
        <v>0</v>
      </c>
      <c r="U50" s="2"/>
      <c r="V50" s="6">
        <f t="shared" si="5"/>
        <v>0</v>
      </c>
      <c r="W50" s="2"/>
      <c r="X50" s="2">
        <f t="shared" si="6"/>
        <v>1301.9000000000001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","6279"," - ","GENERAL EXPENSE")</f>
        <v xml:space="preserve">          6279 - GENERAL EXPENSE</v>
      </c>
      <c r="C51" s="12"/>
      <c r="D51" s="8">
        <v>-631.45000000000005</v>
      </c>
      <c r="E51" s="3"/>
      <c r="F51" s="7">
        <f t="shared" si="0"/>
        <v>-5.3507220572532772E-3</v>
      </c>
      <c r="G51" s="3"/>
      <c r="H51" s="8"/>
      <c r="I51" s="3"/>
      <c r="J51" s="7">
        <f t="shared" si="1"/>
        <v>0</v>
      </c>
      <c r="K51" s="3"/>
      <c r="L51" s="8">
        <f t="shared" si="2"/>
        <v>-631.45000000000005</v>
      </c>
      <c r="M51" s="3"/>
      <c r="N51" s="7">
        <f t="shared" si="3"/>
        <v>0</v>
      </c>
      <c r="O51" s="12"/>
      <c r="P51" s="8">
        <v>1301.9000000000001</v>
      </c>
      <c r="Q51" s="3"/>
      <c r="R51" s="7">
        <f t="shared" si="4"/>
        <v>2.1668087211529547E-3</v>
      </c>
      <c r="S51" s="3"/>
      <c r="T51" s="8">
        <v>0</v>
      </c>
      <c r="U51" s="3"/>
      <c r="V51" s="7">
        <f t="shared" si="5"/>
        <v>0</v>
      </c>
      <c r="W51" s="3"/>
      <c r="X51" s="8">
        <f t="shared" si="6"/>
        <v>1301.9000000000001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","Rent                                              ")</f>
        <v xml:space="preserve">     Rent                                              </v>
      </c>
      <c r="C52" s="14"/>
      <c r="D52" s="2">
        <f>SUM(OSRRefD22_9x_0)</f>
        <v>1850</v>
      </c>
      <c r="E52" s="2"/>
      <c r="F52" s="6">
        <f t="shared" si="0"/>
        <v>1.5676357282316197E-2</v>
      </c>
      <c r="G52" s="2"/>
      <c r="H52" s="2">
        <f>SUM(OSRRefH22_9x_0)</f>
        <v>1850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SUM(OSRRefP22_9x_0)</f>
        <v>18500</v>
      </c>
      <c r="Q52" s="2"/>
      <c r="R52" s="6">
        <f t="shared" si="4"/>
        <v>3.079035359192692E-2</v>
      </c>
      <c r="S52" s="2"/>
      <c r="T52" s="2">
        <f>SUM(OSRRefT22_9x_0)</f>
        <v>12950</v>
      </c>
      <c r="U52" s="2"/>
      <c r="V52" s="6">
        <f t="shared" si="5"/>
        <v>0</v>
      </c>
      <c r="W52" s="2"/>
      <c r="X52" s="2">
        <f t="shared" si="6"/>
        <v>5550</v>
      </c>
      <c r="Y52" s="2"/>
      <c r="Z52" s="6">
        <f t="shared" si="7"/>
        <v>0.42857142857142855</v>
      </c>
    </row>
    <row r="53" spans="1:26" s="69" customFormat="1" ht="15" hidden="1" customHeight="1" outlineLevel="2" x14ac:dyDescent="0.3">
      <c r="A53" s="26"/>
      <c r="B53" s="12" t="str">
        <f>CONCATENATE("          ","6273"," - ","RENT")</f>
        <v xml:space="preserve">          6273 - RENT</v>
      </c>
      <c r="C53" s="12"/>
      <c r="D53" s="8">
        <v>1850</v>
      </c>
      <c r="E53" s="3"/>
      <c r="F53" s="7">
        <f t="shared" si="0"/>
        <v>1.5676357282316197E-2</v>
      </c>
      <c r="G53" s="3"/>
      <c r="H53" s="8">
        <v>1850</v>
      </c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18500</v>
      </c>
      <c r="Q53" s="3"/>
      <c r="R53" s="7">
        <f t="shared" si="4"/>
        <v>3.079035359192692E-2</v>
      </c>
      <c r="S53" s="3"/>
      <c r="T53" s="8">
        <v>12950</v>
      </c>
      <c r="U53" s="3"/>
      <c r="V53" s="7">
        <f t="shared" si="5"/>
        <v>0</v>
      </c>
      <c r="W53" s="3"/>
      <c r="X53" s="8">
        <f t="shared" si="6"/>
        <v>5550</v>
      </c>
      <c r="Y53" s="3"/>
      <c r="Z53" s="7">
        <f t="shared" si="7"/>
        <v>0.42857142857142855</v>
      </c>
    </row>
    <row r="54" spans="1:26" s="68" customFormat="1" ht="15" customHeight="1" outlineLevel="1" collapsed="1" x14ac:dyDescent="0.3">
      <c r="A54" s="25"/>
      <c r="B54" s="14" t="str">
        <f>CONCATENATE("     ","Repair and Maintenance                            ")</f>
        <v xml:space="preserve">     Repair and Maintenance                            </v>
      </c>
      <c r="C54" s="14"/>
      <c r="D54" s="2">
        <f>SUM(OSRRefD22_10x_0)</f>
        <v>2500.6999999999998</v>
      </c>
      <c r="E54" s="2"/>
      <c r="F54" s="6">
        <f t="shared" ref="F54:F79" si="8">IF(D$12=0,0,D54/D$12)</f>
        <v>2.1190198192371952E-2</v>
      </c>
      <c r="G54" s="2"/>
      <c r="H54" s="2">
        <f>SUM(OSRRefH22_10x_0)</f>
        <v>0</v>
      </c>
      <c r="I54" s="2"/>
      <c r="J54" s="6">
        <f t="shared" ref="J54:J79" si="9">IF(H$12=0,0,H54/H$12)</f>
        <v>0</v>
      </c>
      <c r="K54" s="2"/>
      <c r="L54" s="2">
        <f t="shared" ref="L54:L79" si="10">+D54-H54</f>
        <v>2500.6999999999998</v>
      </c>
      <c r="M54" s="2"/>
      <c r="N54" s="6">
        <f t="shared" ref="N54:N79" si="11">IF(H54=0,0,L54/H54)</f>
        <v>0</v>
      </c>
      <c r="O54" s="14"/>
      <c r="P54" s="2">
        <f>SUM(OSRRefP22_10x_0)</f>
        <v>8498.09</v>
      </c>
      <c r="Q54" s="2"/>
      <c r="R54" s="6">
        <f t="shared" ref="R54:R79" si="12">IF(P$12=0,0,P54/P$12)</f>
        <v>1.4143740321946933E-2</v>
      </c>
      <c r="S54" s="2"/>
      <c r="T54" s="2">
        <f>SUM(OSRRefT22_10x_0)</f>
        <v>6387.65</v>
      </c>
      <c r="U54" s="2"/>
      <c r="V54" s="6">
        <f t="shared" ref="V54:V79" si="13">IF(T$12=0,0,T54/T$12)</f>
        <v>0</v>
      </c>
      <c r="W54" s="2"/>
      <c r="X54" s="2">
        <f t="shared" ref="X54:X79" si="14">+P54-T54</f>
        <v>2110.4400000000005</v>
      </c>
      <c r="Y54" s="2"/>
      <c r="Z54" s="6">
        <f t="shared" ref="Z54:Z79" si="15">IF(T54=0,0,X54/T54)</f>
        <v>0.33039380679905767</v>
      </c>
    </row>
    <row r="55" spans="1:26" s="69" customFormat="1" ht="15" hidden="1" customHeight="1" outlineLevel="2" x14ac:dyDescent="0.3">
      <c r="A55" s="26"/>
      <c r="B55" s="12" t="str">
        <f>CONCATENATE("          ","6373"," - ","MAINTENANCE CONTRACTS")</f>
        <v xml:space="preserve">          6373 - MAINTENANCE CONTRACTS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221.64</v>
      </c>
      <c r="Q55" s="3"/>
      <c r="R55" s="7">
        <f t="shared" si="12"/>
        <v>3.688850794656585E-4</v>
      </c>
      <c r="S55" s="3"/>
      <c r="T55" s="8">
        <v>5845.65</v>
      </c>
      <c r="U55" s="3"/>
      <c r="V55" s="7">
        <f t="shared" si="13"/>
        <v>0</v>
      </c>
      <c r="W55" s="3"/>
      <c r="X55" s="8">
        <f t="shared" si="14"/>
        <v>-5624.0099999999993</v>
      </c>
      <c r="Y55" s="3"/>
      <c r="Z55" s="7">
        <f t="shared" si="15"/>
        <v>-0.9620846270303558</v>
      </c>
    </row>
    <row r="56" spans="1:26" s="69" customFormat="1" ht="15" hidden="1" customHeight="1" outlineLevel="2" x14ac:dyDescent="0.3">
      <c r="A56" s="26"/>
      <c r="B56" s="12" t="str">
        <f>CONCATENATE("          ","6375"," - ","OUTSIDE REPAIRS &amp; MAINTENANCE")</f>
        <v xml:space="preserve">          6375 - OUTSIDE REPAIRS &amp; MAINTENANCE</v>
      </c>
      <c r="C56" s="12"/>
      <c r="D56" s="8">
        <v>2500.6999999999998</v>
      </c>
      <c r="E56" s="3"/>
      <c r="F56" s="7">
        <f t="shared" si="8"/>
        <v>2.1190198192371952E-2</v>
      </c>
      <c r="G56" s="3"/>
      <c r="H56" s="8"/>
      <c r="I56" s="3"/>
      <c r="J56" s="7">
        <f t="shared" si="9"/>
        <v>0</v>
      </c>
      <c r="K56" s="3"/>
      <c r="L56" s="8">
        <f t="shared" si="10"/>
        <v>2500.6999999999998</v>
      </c>
      <c r="M56" s="3"/>
      <c r="N56" s="7">
        <f t="shared" si="11"/>
        <v>0</v>
      </c>
      <c r="O56" s="12"/>
      <c r="P56" s="8">
        <v>8276.4500000000007</v>
      </c>
      <c r="Q56" s="3"/>
      <c r="R56" s="7">
        <f t="shared" si="12"/>
        <v>1.3774855242481275E-2</v>
      </c>
      <c r="S56" s="3"/>
      <c r="T56" s="8">
        <v>542</v>
      </c>
      <c r="U56" s="3"/>
      <c r="V56" s="7">
        <f t="shared" si="13"/>
        <v>0</v>
      </c>
      <c r="W56" s="3"/>
      <c r="X56" s="8">
        <f t="shared" si="14"/>
        <v>7734.4500000000007</v>
      </c>
      <c r="Y56" s="3"/>
      <c r="Z56" s="7">
        <f t="shared" si="15"/>
        <v>14.270202952029521</v>
      </c>
    </row>
    <row r="57" spans="1:26" s="68" customFormat="1" ht="15" customHeight="1" outlineLevel="1" collapsed="1" x14ac:dyDescent="0.3">
      <c r="A57" s="25"/>
      <c r="B57" s="14" t="str">
        <f>CONCATENATE("     ","Services                                          ")</f>
        <v xml:space="preserve">     Services                                          </v>
      </c>
      <c r="C57" s="14"/>
      <c r="D57" s="2">
        <f>SUM(OSRRefD22_11x_0)</f>
        <v>1138.3</v>
      </c>
      <c r="E57" s="2"/>
      <c r="F57" s="6">
        <f t="shared" si="8"/>
        <v>9.6456202672759589E-3</v>
      </c>
      <c r="G57" s="2"/>
      <c r="H57" s="2">
        <f>SUM(OSRRefH22_11x_0)</f>
        <v>115</v>
      </c>
      <c r="I57" s="2"/>
      <c r="J57" s="6">
        <f t="shared" si="9"/>
        <v>0</v>
      </c>
      <c r="K57" s="2"/>
      <c r="L57" s="2">
        <f t="shared" si="10"/>
        <v>1023.3</v>
      </c>
      <c r="M57" s="2"/>
      <c r="N57" s="6">
        <f t="shared" si="11"/>
        <v>8.8982608695652168</v>
      </c>
      <c r="O57" s="14"/>
      <c r="P57" s="2">
        <f>SUM(OSRRefP22_11x_0)</f>
        <v>6438.0999999999995</v>
      </c>
      <c r="Q57" s="2"/>
      <c r="R57" s="6">
        <f t="shared" si="12"/>
        <v>1.0715209484334307E-2</v>
      </c>
      <c r="S57" s="2"/>
      <c r="T57" s="2">
        <f>SUM(OSRRefT22_11x_0)</f>
        <v>577</v>
      </c>
      <c r="U57" s="2"/>
      <c r="V57" s="6">
        <f t="shared" si="13"/>
        <v>0</v>
      </c>
      <c r="W57" s="2"/>
      <c r="X57" s="2">
        <f t="shared" si="14"/>
        <v>5861.0999999999995</v>
      </c>
      <c r="Y57" s="2"/>
      <c r="Z57" s="6">
        <f t="shared" si="15"/>
        <v>10.157885615251299</v>
      </c>
    </row>
    <row r="58" spans="1:26" s="69" customFormat="1" ht="15" hidden="1" customHeight="1" outlineLevel="2" x14ac:dyDescent="0.3">
      <c r="A58" s="26"/>
      <c r="B58" s="12" t="str">
        <f>CONCATENATE("          ","6282"," - ","JANITORIAL/EXTERMINATOR EXPENS")</f>
        <v xml:space="preserve">          6282 - JANITORIAL/EXTERMINATOR EXPENS</v>
      </c>
      <c r="C58" s="12"/>
      <c r="D58" s="8">
        <v>95</v>
      </c>
      <c r="E58" s="3"/>
      <c r="F58" s="7">
        <f t="shared" si="8"/>
        <v>8.0500213071353437E-4</v>
      </c>
      <c r="G58" s="3"/>
      <c r="H58" s="8"/>
      <c r="I58" s="3"/>
      <c r="J58" s="7">
        <f t="shared" si="9"/>
        <v>0</v>
      </c>
      <c r="K58" s="3"/>
      <c r="L58" s="8">
        <f t="shared" si="10"/>
        <v>95</v>
      </c>
      <c r="M58" s="3"/>
      <c r="N58" s="7">
        <f t="shared" si="11"/>
        <v>0</v>
      </c>
      <c r="O58" s="12"/>
      <c r="P58" s="8">
        <v>831.86</v>
      </c>
      <c r="Q58" s="3"/>
      <c r="R58" s="7">
        <f t="shared" si="12"/>
        <v>1.3845007318367744E-3</v>
      </c>
      <c r="S58" s="3"/>
      <c r="T58" s="8"/>
      <c r="U58" s="3"/>
      <c r="V58" s="7">
        <f t="shared" si="13"/>
        <v>0</v>
      </c>
      <c r="W58" s="3"/>
      <c r="X58" s="8">
        <f t="shared" si="14"/>
        <v>831.86</v>
      </c>
      <c r="Y58" s="3"/>
      <c r="Z58" s="7">
        <f t="shared" si="15"/>
        <v>0</v>
      </c>
    </row>
    <row r="59" spans="1:26" s="69" customFormat="1" ht="15" hidden="1" customHeight="1" outlineLevel="2" x14ac:dyDescent="0.3">
      <c r="A59" s="26"/>
      <c r="B59" s="12" t="str">
        <f>CONCATENATE("          ","6284"," - ","TRASH REMOVAL EXPENSE")</f>
        <v xml:space="preserve">          6284 - TRASH REMOVAL EXPENSE</v>
      </c>
      <c r="C59" s="12"/>
      <c r="D59" s="8"/>
      <c r="E59" s="3"/>
      <c r="F59" s="7">
        <f t="shared" si="8"/>
        <v>0</v>
      </c>
      <c r="G59" s="3"/>
      <c r="H59" s="8">
        <v>115</v>
      </c>
      <c r="I59" s="3"/>
      <c r="J59" s="7">
        <f t="shared" si="9"/>
        <v>0</v>
      </c>
      <c r="K59" s="3"/>
      <c r="L59" s="8">
        <f t="shared" si="10"/>
        <v>-115</v>
      </c>
      <c r="M59" s="3"/>
      <c r="N59" s="7">
        <f t="shared" si="11"/>
        <v>-1</v>
      </c>
      <c r="O59" s="12"/>
      <c r="P59" s="8"/>
      <c r="Q59" s="3"/>
      <c r="R59" s="7">
        <f t="shared" si="12"/>
        <v>0</v>
      </c>
      <c r="S59" s="3"/>
      <c r="T59" s="8">
        <v>577</v>
      </c>
      <c r="U59" s="3"/>
      <c r="V59" s="7">
        <f t="shared" si="13"/>
        <v>0</v>
      </c>
      <c r="W59" s="3"/>
      <c r="X59" s="8">
        <f t="shared" si="14"/>
        <v>-577</v>
      </c>
      <c r="Y59" s="3"/>
      <c r="Z59" s="7">
        <f t="shared" si="15"/>
        <v>-1</v>
      </c>
    </row>
    <row r="60" spans="1:26" s="69" customFormat="1" ht="15" hidden="1" customHeight="1" outlineLevel="2" x14ac:dyDescent="0.3">
      <c r="A60" s="26"/>
      <c r="B60" s="12" t="str">
        <f>CONCATENATE("          ","6285"," - ","JANITORIAL SERVICES")</f>
        <v xml:space="preserve">          6285 - JANITORIAL SERVICES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3660</v>
      </c>
      <c r="Q60" s="3"/>
      <c r="R60" s="7">
        <f t="shared" si="12"/>
        <v>6.0914969808893256E-3</v>
      </c>
      <c r="S60" s="3"/>
      <c r="T60" s="8"/>
      <c r="U60" s="3"/>
      <c r="V60" s="7">
        <f t="shared" si="13"/>
        <v>0</v>
      </c>
      <c r="W60" s="3"/>
      <c r="X60" s="8">
        <f t="shared" si="14"/>
        <v>3660</v>
      </c>
      <c r="Y60" s="3"/>
      <c r="Z60" s="7">
        <f t="shared" si="15"/>
        <v>0</v>
      </c>
    </row>
    <row r="61" spans="1:26" s="69" customFormat="1" ht="15" hidden="1" customHeight="1" outlineLevel="2" x14ac:dyDescent="0.3">
      <c r="A61" s="26"/>
      <c r="B61" s="12" t="str">
        <f>CONCATENATE("          ","6286"," - ","LAUNDRY EXPENSE")</f>
        <v xml:space="preserve">          6286 - LAUNDRY EXPENSE</v>
      </c>
      <c r="C61" s="12"/>
      <c r="D61" s="8">
        <v>1043.3</v>
      </c>
      <c r="E61" s="3"/>
      <c r="F61" s="7">
        <f t="shared" si="8"/>
        <v>8.840618136562426E-3</v>
      </c>
      <c r="G61" s="3"/>
      <c r="H61" s="8"/>
      <c r="I61" s="3"/>
      <c r="J61" s="7">
        <f t="shared" si="9"/>
        <v>0</v>
      </c>
      <c r="K61" s="3"/>
      <c r="L61" s="8">
        <f t="shared" si="10"/>
        <v>1043.3</v>
      </c>
      <c r="M61" s="3"/>
      <c r="N61" s="7">
        <f t="shared" si="11"/>
        <v>0</v>
      </c>
      <c r="O61" s="12"/>
      <c r="P61" s="8">
        <v>1946.24</v>
      </c>
      <c r="Q61" s="3"/>
      <c r="R61" s="7">
        <f t="shared" si="12"/>
        <v>3.239211771608208E-3</v>
      </c>
      <c r="S61" s="3"/>
      <c r="T61" s="8"/>
      <c r="U61" s="3"/>
      <c r="V61" s="7">
        <f t="shared" si="13"/>
        <v>0</v>
      </c>
      <c r="W61" s="3"/>
      <c r="X61" s="8">
        <f t="shared" si="14"/>
        <v>1946.24</v>
      </c>
      <c r="Y61" s="3"/>
      <c r="Z61" s="7">
        <f t="shared" si="15"/>
        <v>0</v>
      </c>
    </row>
    <row r="62" spans="1:26" s="68" customFormat="1" ht="15" customHeight="1" outlineLevel="1" collapsed="1" x14ac:dyDescent="0.3">
      <c r="A62" s="25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SUM(OSRRefD22_12x_0)</f>
        <v>17.95</v>
      </c>
      <c r="E62" s="2"/>
      <c r="F62" s="6">
        <f t="shared" si="8"/>
        <v>1.5210303417166255E-4</v>
      </c>
      <c r="G62" s="2"/>
      <c r="H62" s="2">
        <f>SUM(OSRRefH22_12x_0)</f>
        <v>0</v>
      </c>
      <c r="I62" s="2"/>
      <c r="J62" s="6">
        <f t="shared" si="9"/>
        <v>0</v>
      </c>
      <c r="K62" s="2"/>
      <c r="L62" s="2">
        <f t="shared" si="10"/>
        <v>17.95</v>
      </c>
      <c r="M62" s="2"/>
      <c r="N62" s="6">
        <f t="shared" si="11"/>
        <v>0</v>
      </c>
      <c r="O62" s="14"/>
      <c r="P62" s="2">
        <f>SUM(OSRRefP22_12x_0)</f>
        <v>307.69</v>
      </c>
      <c r="Q62" s="2"/>
      <c r="R62" s="6">
        <f t="shared" si="12"/>
        <v>5.121018322540537E-4</v>
      </c>
      <c r="S62" s="2"/>
      <c r="T62" s="2">
        <f>SUM(OSRRefT22_12x_0)</f>
        <v>0</v>
      </c>
      <c r="U62" s="2"/>
      <c r="V62" s="6">
        <f t="shared" si="13"/>
        <v>0</v>
      </c>
      <c r="W62" s="2"/>
      <c r="X62" s="2">
        <f t="shared" si="14"/>
        <v>307.69</v>
      </c>
      <c r="Y62" s="2"/>
      <c r="Z62" s="6">
        <f t="shared" si="15"/>
        <v>0</v>
      </c>
    </row>
    <row r="63" spans="1:26" s="69" customFormat="1" ht="15" hidden="1" customHeight="1" outlineLevel="2" x14ac:dyDescent="0.3">
      <c r="A63" s="26"/>
      <c r="B63" s="12" t="str">
        <f>CONCATENATE("          ","6275"," - ","SUBSCRIPTIONS")</f>
        <v xml:space="preserve">          6275 - SUBSCRIPTIONS</v>
      </c>
      <c r="C63" s="12"/>
      <c r="D63" s="8">
        <v>17.95</v>
      </c>
      <c r="E63" s="3"/>
      <c r="F63" s="7">
        <f t="shared" si="8"/>
        <v>1.5210303417166255E-4</v>
      </c>
      <c r="G63" s="3"/>
      <c r="H63" s="8"/>
      <c r="I63" s="3"/>
      <c r="J63" s="7">
        <f t="shared" si="9"/>
        <v>0</v>
      </c>
      <c r="K63" s="3"/>
      <c r="L63" s="8">
        <f t="shared" si="10"/>
        <v>17.95</v>
      </c>
      <c r="M63" s="3"/>
      <c r="N63" s="7">
        <f t="shared" si="11"/>
        <v>0</v>
      </c>
      <c r="O63" s="12"/>
      <c r="P63" s="8">
        <v>307.69</v>
      </c>
      <c r="Q63" s="3"/>
      <c r="R63" s="7">
        <f t="shared" si="12"/>
        <v>5.121018322540537E-4</v>
      </c>
      <c r="S63" s="3"/>
      <c r="T63" s="8"/>
      <c r="U63" s="3"/>
      <c r="V63" s="7">
        <f t="shared" si="13"/>
        <v>0</v>
      </c>
      <c r="W63" s="3"/>
      <c r="X63" s="8">
        <f t="shared" si="14"/>
        <v>307.69</v>
      </c>
      <c r="Y63" s="3"/>
      <c r="Z63" s="7">
        <f t="shared" si="15"/>
        <v>0</v>
      </c>
    </row>
    <row r="64" spans="1:26" s="68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SUM(OSRRefD22_13x_0)</f>
        <v>1384.08</v>
      </c>
      <c r="E64" s="2"/>
      <c r="F64" s="6">
        <f t="shared" si="8"/>
        <v>1.172828788503146E-2</v>
      </c>
      <c r="G64" s="2"/>
      <c r="H64" s="2">
        <f>SUM(OSRRefH22_13x_0)</f>
        <v>0</v>
      </c>
      <c r="I64" s="2"/>
      <c r="J64" s="6">
        <f t="shared" si="9"/>
        <v>0</v>
      </c>
      <c r="K64" s="2"/>
      <c r="L64" s="2">
        <f t="shared" si="10"/>
        <v>1384.08</v>
      </c>
      <c r="M64" s="2"/>
      <c r="N64" s="6">
        <f t="shared" si="11"/>
        <v>0</v>
      </c>
      <c r="O64" s="14"/>
      <c r="P64" s="2">
        <f>SUM(OSRRefP22_13x_0)</f>
        <v>13443</v>
      </c>
      <c r="Q64" s="2"/>
      <c r="R64" s="6">
        <f t="shared" si="12"/>
        <v>2.2373768828987763E-2</v>
      </c>
      <c r="S64" s="2"/>
      <c r="T64" s="2">
        <f>SUM(OSRRefT22_13x_0)</f>
        <v>72</v>
      </c>
      <c r="U64" s="2"/>
      <c r="V64" s="6">
        <f t="shared" si="13"/>
        <v>0</v>
      </c>
      <c r="W64" s="2"/>
      <c r="X64" s="2">
        <f t="shared" si="14"/>
        <v>13371</v>
      </c>
      <c r="Y64" s="2"/>
      <c r="Z64" s="6">
        <f t="shared" si="15"/>
        <v>185.70833333333334</v>
      </c>
    </row>
    <row r="65" spans="1:26" s="69" customFormat="1" ht="15" hidden="1" customHeight="1" outlineLevel="2" x14ac:dyDescent="0.3">
      <c r="A65" s="26"/>
      <c r="B65" s="12" t="str">
        <f>CONCATENATE("          ","6234"," - ","EXPENDABLE SUPPLIES &amp; EQUIPMEN")</f>
        <v xml:space="preserve">          6234 - EXPENDABLE SUPPLIES &amp; EQUIPMEN</v>
      </c>
      <c r="C65" s="12"/>
      <c r="D65" s="8">
        <v>175.34</v>
      </c>
      <c r="E65" s="3"/>
      <c r="F65" s="7">
        <f t="shared" si="8"/>
        <v>1.4857797220980118E-3</v>
      </c>
      <c r="G65" s="3"/>
      <c r="H65" s="8"/>
      <c r="I65" s="3"/>
      <c r="J65" s="7">
        <f t="shared" si="9"/>
        <v>0</v>
      </c>
      <c r="K65" s="3"/>
      <c r="L65" s="8">
        <f t="shared" si="10"/>
        <v>175.34</v>
      </c>
      <c r="M65" s="3"/>
      <c r="N65" s="7">
        <f t="shared" si="11"/>
        <v>0</v>
      </c>
      <c r="O65" s="12"/>
      <c r="P65" s="8">
        <v>284.07</v>
      </c>
      <c r="Q65" s="3"/>
      <c r="R65" s="7">
        <f t="shared" si="12"/>
        <v>4.7279004026263134E-4</v>
      </c>
      <c r="S65" s="3"/>
      <c r="T65" s="8"/>
      <c r="U65" s="3"/>
      <c r="V65" s="7">
        <f t="shared" si="13"/>
        <v>0</v>
      </c>
      <c r="W65" s="3"/>
      <c r="X65" s="8">
        <f t="shared" si="14"/>
        <v>284.07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","6235"," - ","COVID-19 EXPENSES")</f>
        <v xml:space="preserve">          6235 - COVID-19 EXPENSES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229.22</v>
      </c>
      <c r="Q66" s="3"/>
      <c r="R66" s="7">
        <f t="shared" si="12"/>
        <v>3.8150080272116157E-4</v>
      </c>
      <c r="S66" s="3"/>
      <c r="T66" s="8"/>
      <c r="U66" s="3"/>
      <c r="V66" s="7">
        <f t="shared" si="13"/>
        <v>0</v>
      </c>
      <c r="W66" s="3"/>
      <c r="X66" s="8">
        <f t="shared" si="14"/>
        <v>229.22</v>
      </c>
      <c r="Y66" s="3"/>
      <c r="Z66" s="7">
        <f t="shared" si="15"/>
        <v>0</v>
      </c>
    </row>
    <row r="67" spans="1:26" s="69" customFormat="1" ht="15" hidden="1" customHeight="1" outlineLevel="2" x14ac:dyDescent="0.3">
      <c r="A67" s="26"/>
      <c r="B67" s="12" t="str">
        <f>CONCATENATE("          ","6237"," - ","JANITORIAL SUPPLIES")</f>
        <v xml:space="preserve">          6237 - JANITORIAL SUPPLIES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48.12</v>
      </c>
      <c r="Q67" s="3"/>
      <c r="R67" s="7">
        <f t="shared" si="12"/>
        <v>8.0088206207758018E-5</v>
      </c>
      <c r="S67" s="3"/>
      <c r="T67" s="8">
        <v>72</v>
      </c>
      <c r="U67" s="3"/>
      <c r="V67" s="7">
        <f t="shared" si="13"/>
        <v>0</v>
      </c>
      <c r="W67" s="3"/>
      <c r="X67" s="8">
        <f t="shared" si="14"/>
        <v>-23.880000000000003</v>
      </c>
      <c r="Y67" s="3"/>
      <c r="Z67" s="7">
        <f t="shared" si="15"/>
        <v>-0.33166666666666672</v>
      </c>
    </row>
    <row r="68" spans="1:26" s="69" customFormat="1" ht="15" hidden="1" customHeight="1" outlineLevel="2" x14ac:dyDescent="0.3">
      <c r="A68" s="26"/>
      <c r="B68" s="12" t="str">
        <f>CONCATENATE("          ","6239"," - ","KITCHEN SUPPLIES")</f>
        <v xml:space="preserve">          6239 - KITCHEN SUPPLIES</v>
      </c>
      <c r="C68" s="12"/>
      <c r="D68" s="8">
        <v>1033.3399999999999</v>
      </c>
      <c r="E68" s="3"/>
      <c r="F68" s="7">
        <f t="shared" si="8"/>
        <v>8.7562200184370907E-3</v>
      </c>
      <c r="G68" s="3"/>
      <c r="H68" s="8"/>
      <c r="I68" s="3"/>
      <c r="J68" s="7">
        <f t="shared" si="9"/>
        <v>0</v>
      </c>
      <c r="K68" s="3"/>
      <c r="L68" s="8">
        <f t="shared" si="10"/>
        <v>1033.3399999999999</v>
      </c>
      <c r="M68" s="3"/>
      <c r="N68" s="7">
        <f t="shared" si="11"/>
        <v>0</v>
      </c>
      <c r="O68" s="12"/>
      <c r="P68" s="8">
        <v>5532.83</v>
      </c>
      <c r="Q68" s="3"/>
      <c r="R68" s="7">
        <f t="shared" si="12"/>
        <v>9.2085293007578926E-3</v>
      </c>
      <c r="S68" s="3"/>
      <c r="T68" s="8"/>
      <c r="U68" s="3"/>
      <c r="V68" s="7">
        <f t="shared" si="13"/>
        <v>0</v>
      </c>
      <c r="W68" s="3"/>
      <c r="X68" s="8">
        <f t="shared" si="14"/>
        <v>5532.83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6"/>
      <c r="B69" s="12" t="str">
        <f>CONCATENATE("          ","6241"," - ","OFFICE EXPENSE")</f>
        <v xml:space="preserve">          6241 - OFFICE EXPENSE</v>
      </c>
      <c r="C69" s="12"/>
      <c r="D69" s="8">
        <v>80.3</v>
      </c>
      <c r="E69" s="3"/>
      <c r="F69" s="7">
        <f t="shared" si="8"/>
        <v>6.8043864311891382E-4</v>
      </c>
      <c r="G69" s="3"/>
      <c r="H69" s="8"/>
      <c r="I69" s="3"/>
      <c r="J69" s="7">
        <f t="shared" si="9"/>
        <v>0</v>
      </c>
      <c r="K69" s="3"/>
      <c r="L69" s="8">
        <f t="shared" si="10"/>
        <v>80.3</v>
      </c>
      <c r="M69" s="3"/>
      <c r="N69" s="7">
        <f t="shared" si="11"/>
        <v>0</v>
      </c>
      <c r="O69" s="12"/>
      <c r="P69" s="8">
        <v>2158.14</v>
      </c>
      <c r="Q69" s="3"/>
      <c r="R69" s="7">
        <f t="shared" si="12"/>
        <v>3.5918861459935765E-3</v>
      </c>
      <c r="S69" s="3"/>
      <c r="T69" s="8"/>
      <c r="U69" s="3"/>
      <c r="V69" s="7">
        <f t="shared" si="13"/>
        <v>0</v>
      </c>
      <c r="W69" s="3"/>
      <c r="X69" s="8">
        <f t="shared" si="14"/>
        <v>2158.14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6"/>
      <c r="B70" s="12" t="str">
        <f>CONCATENATE("          ","6243"," - ","PAPER SUPPLIES")</f>
        <v xml:space="preserve">          6243 - PAPER SUPPLIES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511.58</v>
      </c>
      <c r="Q70" s="3"/>
      <c r="R70" s="7">
        <f t="shared" si="12"/>
        <v>8.5144481570583646E-4</v>
      </c>
      <c r="S70" s="3"/>
      <c r="T70" s="8"/>
      <c r="U70" s="3"/>
      <c r="V70" s="7">
        <f t="shared" si="13"/>
        <v>0</v>
      </c>
      <c r="W70" s="3"/>
      <c r="X70" s="8">
        <f t="shared" si="14"/>
        <v>511.58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","6245"," - ","PRINTING")</f>
        <v xml:space="preserve">          6245 - PRINTING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733</v>
      </c>
      <c r="Q71" s="3"/>
      <c r="R71" s="7">
        <f t="shared" si="12"/>
        <v>1.2199637396152667E-3</v>
      </c>
      <c r="S71" s="3"/>
      <c r="T71" s="8"/>
      <c r="U71" s="3"/>
      <c r="V71" s="7">
        <f t="shared" si="13"/>
        <v>0</v>
      </c>
      <c r="W71" s="3"/>
      <c r="X71" s="8">
        <f t="shared" si="14"/>
        <v>733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8">
        <v>-103.35</v>
      </c>
      <c r="E72" s="3"/>
      <c r="F72" s="7">
        <f t="shared" si="8"/>
        <v>-8.757575811499345E-4</v>
      </c>
      <c r="G72" s="3"/>
      <c r="H72" s="8"/>
      <c r="I72" s="3"/>
      <c r="J72" s="7">
        <f t="shared" si="9"/>
        <v>0</v>
      </c>
      <c r="K72" s="3"/>
      <c r="L72" s="8">
        <f t="shared" si="10"/>
        <v>-103.35</v>
      </c>
      <c r="M72" s="3"/>
      <c r="N72" s="7">
        <f t="shared" si="11"/>
        <v>0</v>
      </c>
      <c r="O72" s="12"/>
      <c r="P72" s="8">
        <v>957.59</v>
      </c>
      <c r="Q72" s="3"/>
      <c r="R72" s="7">
        <f t="shared" si="12"/>
        <v>1.5937586322212595E-3</v>
      </c>
      <c r="S72" s="3"/>
      <c r="T72" s="8"/>
      <c r="U72" s="3"/>
      <c r="V72" s="7">
        <f t="shared" si="13"/>
        <v>0</v>
      </c>
      <c r="W72" s="3"/>
      <c r="X72" s="8">
        <f t="shared" si="14"/>
        <v>957.59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6"/>
      <c r="B73" s="12" t="str">
        <f>CONCATENATE("          ","6248"," - ","UNIFORMS")</f>
        <v xml:space="preserve">          6248 - UNIFORMS</v>
      </c>
      <c r="C73" s="12"/>
      <c r="D73" s="8">
        <v>198.45</v>
      </c>
      <c r="E73" s="3"/>
      <c r="F73" s="7">
        <f t="shared" si="8"/>
        <v>1.6816070825273778E-3</v>
      </c>
      <c r="G73" s="3"/>
      <c r="H73" s="8"/>
      <c r="I73" s="3"/>
      <c r="J73" s="7">
        <f t="shared" si="9"/>
        <v>0</v>
      </c>
      <c r="K73" s="3"/>
      <c r="L73" s="8">
        <f t="shared" si="10"/>
        <v>198.45</v>
      </c>
      <c r="M73" s="3"/>
      <c r="N73" s="7">
        <f t="shared" si="11"/>
        <v>0</v>
      </c>
      <c r="O73" s="12"/>
      <c r="P73" s="8">
        <v>2988.45</v>
      </c>
      <c r="Q73" s="3"/>
      <c r="R73" s="7">
        <f t="shared" si="12"/>
        <v>4.9738071455023786E-3</v>
      </c>
      <c r="S73" s="3"/>
      <c r="T73" s="8"/>
      <c r="U73" s="3"/>
      <c r="V73" s="7">
        <f t="shared" si="13"/>
        <v>0</v>
      </c>
      <c r="W73" s="3"/>
      <c r="X73" s="8">
        <f t="shared" si="14"/>
        <v>2988.45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5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SUM(OSRRefD22_14x_0)</f>
        <v>150</v>
      </c>
      <c r="E74" s="2"/>
      <c r="F74" s="6">
        <f t="shared" si="8"/>
        <v>1.2710559958634753E-3</v>
      </c>
      <c r="G74" s="2"/>
      <c r="H74" s="2">
        <f>SUM(OSRRefH22_14x_0)</f>
        <v>0</v>
      </c>
      <c r="I74" s="2"/>
      <c r="J74" s="6">
        <f t="shared" si="9"/>
        <v>0</v>
      </c>
      <c r="K74" s="2"/>
      <c r="L74" s="2">
        <f t="shared" si="10"/>
        <v>150</v>
      </c>
      <c r="M74" s="2"/>
      <c r="N74" s="6">
        <f t="shared" si="11"/>
        <v>0</v>
      </c>
      <c r="O74" s="14"/>
      <c r="P74" s="2">
        <f>SUM(OSRRefP22_14x_0)</f>
        <v>975</v>
      </c>
      <c r="Q74" s="2"/>
      <c r="R74" s="6">
        <f t="shared" si="12"/>
        <v>1.6227348514664189E-3</v>
      </c>
      <c r="S74" s="2"/>
      <c r="T74" s="2">
        <f>SUM(OSRRefT22_14x_0)</f>
        <v>77.430000000000007</v>
      </c>
      <c r="U74" s="2"/>
      <c r="V74" s="6">
        <f t="shared" si="13"/>
        <v>0</v>
      </c>
      <c r="W74" s="2"/>
      <c r="X74" s="2">
        <f t="shared" si="14"/>
        <v>897.56999999999994</v>
      </c>
      <c r="Y74" s="2"/>
      <c r="Z74" s="6">
        <f t="shared" si="15"/>
        <v>11.59201859744285</v>
      </c>
    </row>
    <row r="75" spans="1:26" s="69" customFormat="1" ht="15" hidden="1" customHeight="1" outlineLevel="2" x14ac:dyDescent="0.3">
      <c r="A75" s="26"/>
      <c r="B75" s="12" t="str">
        <f>CONCATENATE("          ","6309"," - ","TELEPHONE")</f>
        <v xml:space="preserve">          6309 - TELEPHONE</v>
      </c>
      <c r="C75" s="12"/>
      <c r="D75" s="8">
        <v>150</v>
      </c>
      <c r="E75" s="3"/>
      <c r="F75" s="7">
        <f t="shared" si="8"/>
        <v>1.2710559958634753E-3</v>
      </c>
      <c r="G75" s="3"/>
      <c r="H75" s="8"/>
      <c r="I75" s="3"/>
      <c r="J75" s="7">
        <f t="shared" si="9"/>
        <v>0</v>
      </c>
      <c r="K75" s="3"/>
      <c r="L75" s="8">
        <f t="shared" si="10"/>
        <v>150</v>
      </c>
      <c r="M75" s="3"/>
      <c r="N75" s="7">
        <f t="shared" si="11"/>
        <v>0</v>
      </c>
      <c r="O75" s="12"/>
      <c r="P75" s="8">
        <v>975</v>
      </c>
      <c r="Q75" s="3"/>
      <c r="R75" s="7">
        <f t="shared" si="12"/>
        <v>1.6227348514664189E-3</v>
      </c>
      <c r="S75" s="3"/>
      <c r="T75" s="8">
        <v>77.430000000000007</v>
      </c>
      <c r="U75" s="3"/>
      <c r="V75" s="7">
        <f t="shared" si="13"/>
        <v>0</v>
      </c>
      <c r="W75" s="3"/>
      <c r="X75" s="8">
        <f t="shared" si="14"/>
        <v>897.56999999999994</v>
      </c>
      <c r="Y75" s="3"/>
      <c r="Z75" s="7">
        <f t="shared" si="15"/>
        <v>11.59201859744285</v>
      </c>
    </row>
    <row r="76" spans="1:26" s="68" customFormat="1" ht="15" customHeight="1" outlineLevel="1" collapsed="1" x14ac:dyDescent="0.3">
      <c r="A76" s="25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SUM(OSRRefD22_15x_0)</f>
        <v>0</v>
      </c>
      <c r="E76" s="2"/>
      <c r="F76" s="6">
        <f t="shared" si="8"/>
        <v>0</v>
      </c>
      <c r="G76" s="2"/>
      <c r="H76" s="2">
        <f>SUM(OSRRefH22_15x_0)</f>
        <v>0</v>
      </c>
      <c r="I76" s="2"/>
      <c r="J76" s="6">
        <f t="shared" si="9"/>
        <v>0</v>
      </c>
      <c r="K76" s="2"/>
      <c r="L76" s="2">
        <f t="shared" si="10"/>
        <v>0</v>
      </c>
      <c r="M76" s="2"/>
      <c r="N76" s="6">
        <f t="shared" si="11"/>
        <v>0</v>
      </c>
      <c r="O76" s="14"/>
      <c r="P76" s="2">
        <f>SUM(OSRRefP22_15x_0)</f>
        <v>200</v>
      </c>
      <c r="Q76" s="2"/>
      <c r="R76" s="6">
        <f t="shared" si="12"/>
        <v>3.3286868748029106E-4</v>
      </c>
      <c r="S76" s="2"/>
      <c r="T76" s="2">
        <f>SUM(OSRRefT22_15x_0)</f>
        <v>0</v>
      </c>
      <c r="U76" s="2"/>
      <c r="V76" s="6">
        <f t="shared" si="13"/>
        <v>0</v>
      </c>
      <c r="W76" s="2"/>
      <c r="X76" s="2">
        <f t="shared" si="14"/>
        <v>200</v>
      </c>
      <c r="Y76" s="2"/>
      <c r="Z76" s="6">
        <f t="shared" si="15"/>
        <v>0</v>
      </c>
    </row>
    <row r="77" spans="1:26" s="69" customFormat="1" ht="15" hidden="1" customHeight="1" outlineLevel="2" x14ac:dyDescent="0.3">
      <c r="A77" s="26"/>
      <c r="B77" s="12" t="str">
        <f>CONCATENATE("          ","6376"," - ","TRAINING")</f>
        <v xml:space="preserve">          6376 - TRAINING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200</v>
      </c>
      <c r="Q77" s="3"/>
      <c r="R77" s="7">
        <f t="shared" si="12"/>
        <v>3.3286868748029106E-4</v>
      </c>
      <c r="S77" s="3"/>
      <c r="T77" s="8"/>
      <c r="U77" s="3"/>
      <c r="V77" s="7">
        <f t="shared" si="13"/>
        <v>0</v>
      </c>
      <c r="W77" s="3"/>
      <c r="X77" s="8">
        <f t="shared" si="14"/>
        <v>200</v>
      </c>
      <c r="Y77" s="3"/>
      <c r="Z77" s="7">
        <f t="shared" si="15"/>
        <v>0</v>
      </c>
    </row>
    <row r="78" spans="1:26" s="68" customFormat="1" ht="15" customHeight="1" outlineLevel="1" collapsed="1" x14ac:dyDescent="0.3">
      <c r="A78" s="25"/>
      <c r="B78" s="14" t="str">
        <f>CONCATENATE("     ","Utilities                                         ")</f>
        <v xml:space="preserve">     Utilities                                         </v>
      </c>
      <c r="C78" s="14"/>
      <c r="D78" s="2">
        <f>SUM(OSRRefD22_16x_0)</f>
        <v>200</v>
      </c>
      <c r="E78" s="2"/>
      <c r="F78" s="6">
        <f t="shared" si="8"/>
        <v>1.694741327817967E-3</v>
      </c>
      <c r="G78" s="2"/>
      <c r="H78" s="2">
        <f>SUM(OSRRefH22_16x_0)</f>
        <v>348</v>
      </c>
      <c r="I78" s="2"/>
      <c r="J78" s="6">
        <f t="shared" si="9"/>
        <v>0</v>
      </c>
      <c r="K78" s="2"/>
      <c r="L78" s="2">
        <f t="shared" si="10"/>
        <v>-148</v>
      </c>
      <c r="M78" s="2"/>
      <c r="N78" s="6">
        <f t="shared" si="11"/>
        <v>-0.42528735632183906</v>
      </c>
      <c r="O78" s="14"/>
      <c r="P78" s="2">
        <f>SUM(OSRRefP22_16x_0)</f>
        <v>2000</v>
      </c>
      <c r="Q78" s="2"/>
      <c r="R78" s="6">
        <f t="shared" si="12"/>
        <v>3.3286868748029102E-3</v>
      </c>
      <c r="S78" s="2"/>
      <c r="T78" s="2">
        <f>SUM(OSRRefT22_16x_0)</f>
        <v>1602</v>
      </c>
      <c r="U78" s="2"/>
      <c r="V78" s="6">
        <f t="shared" si="13"/>
        <v>0</v>
      </c>
      <c r="W78" s="2"/>
      <c r="X78" s="2">
        <f t="shared" si="14"/>
        <v>398</v>
      </c>
      <c r="Y78" s="2"/>
      <c r="Z78" s="6">
        <f t="shared" si="15"/>
        <v>0.24843945068664169</v>
      </c>
    </row>
    <row r="79" spans="1:26" s="69" customFormat="1" ht="15" hidden="1" customHeight="1" outlineLevel="2" x14ac:dyDescent="0.3">
      <c r="A79" s="26"/>
      <c r="B79" s="12" t="str">
        <f>CONCATENATE("          ","6274"," - ","UTILITIES")</f>
        <v xml:space="preserve">          6274 - UTILITIES</v>
      </c>
      <c r="C79" s="12"/>
      <c r="D79" s="8">
        <v>200</v>
      </c>
      <c r="E79" s="3"/>
      <c r="F79" s="7">
        <f t="shared" si="8"/>
        <v>1.694741327817967E-3</v>
      </c>
      <c r="G79" s="3"/>
      <c r="H79" s="8">
        <v>348</v>
      </c>
      <c r="I79" s="3"/>
      <c r="J79" s="7">
        <f t="shared" si="9"/>
        <v>0</v>
      </c>
      <c r="K79" s="3"/>
      <c r="L79" s="8">
        <f t="shared" si="10"/>
        <v>-148</v>
      </c>
      <c r="M79" s="3"/>
      <c r="N79" s="7">
        <f t="shared" si="11"/>
        <v>-0.42528735632183906</v>
      </c>
      <c r="O79" s="12"/>
      <c r="P79" s="8">
        <v>2000</v>
      </c>
      <c r="Q79" s="3"/>
      <c r="R79" s="7">
        <f t="shared" si="12"/>
        <v>3.3286868748029102E-3</v>
      </c>
      <c r="S79" s="3"/>
      <c r="T79" s="8">
        <v>1602</v>
      </c>
      <c r="U79" s="3"/>
      <c r="V79" s="7">
        <f t="shared" si="13"/>
        <v>0</v>
      </c>
      <c r="W79" s="3"/>
      <c r="X79" s="8">
        <f t="shared" si="14"/>
        <v>398</v>
      </c>
      <c r="Y79" s="3"/>
      <c r="Z79" s="7">
        <f t="shared" si="15"/>
        <v>0.24843945068664169</v>
      </c>
    </row>
    <row r="80" spans="1:26" s="64" customFormat="1" ht="15" customHeight="1" x14ac:dyDescent="0.3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collapsed="1" x14ac:dyDescent="0.3">
      <c r="A81" s="11"/>
      <c r="B81" s="27" t="s">
        <v>290</v>
      </c>
      <c r="C81" s="11"/>
      <c r="D81" s="5">
        <f>SUM(OSRRefD25x_0)</f>
        <v>0</v>
      </c>
      <c r="E81" s="5"/>
      <c r="F81" s="13">
        <f>IF(D$12=0,0,D81/D$12)</f>
        <v>0</v>
      </c>
      <c r="G81" s="5"/>
      <c r="H81" s="5">
        <f>SUM(OSRRefH25x_0)</f>
        <v>0</v>
      </c>
      <c r="I81" s="5"/>
      <c r="J81" s="13">
        <f>IF(H$12=0,0,H81/H$12)</f>
        <v>0</v>
      </c>
      <c r="K81" s="5"/>
      <c r="L81" s="5">
        <f>+D81-H81</f>
        <v>0</v>
      </c>
      <c r="M81" s="5"/>
      <c r="N81" s="13">
        <f>IF(H81=0,0,L81/H81)</f>
        <v>0</v>
      </c>
      <c r="O81" s="11"/>
      <c r="P81" s="5">
        <f>SUM(OSRRefP25x_0)</f>
        <v>192</v>
      </c>
      <c r="Q81" s="5"/>
      <c r="R81" s="13">
        <f>IF(P$12=0,0,P81/P$12)</f>
        <v>3.1955393998107939E-4</v>
      </c>
      <c r="S81" s="5"/>
      <c r="T81" s="5">
        <f>SUM(OSRRefT25x_0)</f>
        <v>0</v>
      </c>
      <c r="U81" s="5"/>
      <c r="V81" s="13">
        <f>IF(T$12=0,0,T81/T$12)</f>
        <v>0</v>
      </c>
      <c r="W81" s="5"/>
      <c r="X81" s="5">
        <f>+P81-T81</f>
        <v>192</v>
      </c>
      <c r="Y81" s="5"/>
      <c r="Z81" s="13">
        <f>IF(T81=0,0,X81/T81)</f>
        <v>0</v>
      </c>
    </row>
    <row r="82" spans="1:26" s="69" customFormat="1" ht="15" hidden="1" customHeight="1" outlineLevel="1" x14ac:dyDescent="0.3">
      <c r="A82" s="42"/>
      <c r="B82" s="12" t="str">
        <f>CONCATENATE("          ","9150"," - ","MISC. INCOME")</f>
        <v xml:space="preserve">          9150 - MISC. INCOME</v>
      </c>
      <c r="C82" s="12"/>
      <c r="D82" s="3">
        <f>0</f>
        <v>0</v>
      </c>
      <c r="E82" s="3"/>
      <c r="F82" s="20">
        <f>IF(D$12=0,0,D82/D$12)</f>
        <v>0</v>
      </c>
      <c r="G82" s="3"/>
      <c r="H82" s="3">
        <f>0</f>
        <v>0</v>
      </c>
      <c r="I82" s="3"/>
      <c r="J82" s="20">
        <f>IF(H$12=0,0,H82/H$12)</f>
        <v>0</v>
      </c>
      <c r="K82" s="3"/>
      <c r="L82" s="3">
        <f>+D82-H82</f>
        <v>0</v>
      </c>
      <c r="M82" s="3"/>
      <c r="N82" s="20">
        <f>IF(H82=0,0,L82/H82)</f>
        <v>0</v>
      </c>
      <c r="O82" s="12"/>
      <c r="P82" s="3">
        <f>--192</f>
        <v>192</v>
      </c>
      <c r="Q82" s="3"/>
      <c r="R82" s="20">
        <f>IF(P$12=0,0,P82/P$12)</f>
        <v>3.1955393998107939E-4</v>
      </c>
      <c r="S82" s="3"/>
      <c r="T82" s="3">
        <f>0</f>
        <v>0</v>
      </c>
      <c r="U82" s="3"/>
      <c r="V82" s="20">
        <f>IF(T$12=0,0,T82/T$12)</f>
        <v>0</v>
      </c>
      <c r="W82" s="3"/>
      <c r="X82" s="3">
        <f>+P82-T82</f>
        <v>192</v>
      </c>
      <c r="Y82" s="3"/>
      <c r="Z82" s="20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291</v>
      </c>
      <c r="C84" s="28"/>
      <c r="D84" s="21">
        <f>+D20-D22+D81</f>
        <v>13341.280000000021</v>
      </c>
      <c r="E84" s="15"/>
      <c r="F84" s="23">
        <f>IF(D$12=0,0,D84/D$12)</f>
        <v>0.11305009290995661</v>
      </c>
      <c r="G84" s="15"/>
      <c r="H84" s="21">
        <f>+H20-H22+H81</f>
        <v>-7546.01</v>
      </c>
      <c r="I84" s="15"/>
      <c r="J84" s="23">
        <f>IF(H$12=0,0,H84/H$12)</f>
        <v>0</v>
      </c>
      <c r="K84" s="16"/>
      <c r="L84" s="21">
        <f>+D84-H84</f>
        <v>20887.290000000023</v>
      </c>
      <c r="M84" s="16"/>
      <c r="N84" s="23">
        <f>IF(H84=0,0,L84/H84)</f>
        <v>-2.7679912960624251</v>
      </c>
      <c r="O84" s="27"/>
      <c r="P84" s="21">
        <f>+P20-P22+P81</f>
        <v>-31538.150000000023</v>
      </c>
      <c r="Q84" s="15"/>
      <c r="R84" s="23">
        <f>IF(P$12=0,0,P84/P$12)</f>
        <v>-5.2490312980282741E-2</v>
      </c>
      <c r="S84" s="15"/>
      <c r="T84" s="21">
        <f>+T20-T22+T81</f>
        <v>-72014.87999999999</v>
      </c>
      <c r="U84" s="15"/>
      <c r="V84" s="23">
        <f>IF(T$12=0,0,T84/T$12)</f>
        <v>0</v>
      </c>
      <c r="W84" s="16"/>
      <c r="X84" s="21">
        <f>+P84-T84</f>
        <v>40476.729999999967</v>
      </c>
      <c r="Y84" s="16"/>
      <c r="Z84" s="23">
        <f>IF(T84=0,0,X84/T84)</f>
        <v>-0.56206064635530839</v>
      </c>
    </row>
    <row r="85" spans="1:26" ht="15" customHeight="1" x14ac:dyDescent="0.3">
      <c r="A85" s="10"/>
      <c r="B85" s="11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48"/>
      <c r="B86" s="11" t="s">
        <v>292</v>
      </c>
      <c r="C86" s="11"/>
      <c r="D86" s="5">
        <v>10441.18</v>
      </c>
      <c r="E86" s="5"/>
      <c r="F86" s="13">
        <f>IF(D$12=0,0,D86/D$12)</f>
        <v>8.8475496285932015E-2</v>
      </c>
      <c r="G86" s="5"/>
      <c r="H86" s="5"/>
      <c r="I86" s="5"/>
      <c r="J86" s="13">
        <f>IF(H$12=0,0,H86/H$12)</f>
        <v>0</v>
      </c>
      <c r="K86" s="5"/>
      <c r="L86" s="5">
        <f>+D86-H86</f>
        <v>10441.18</v>
      </c>
      <c r="M86" s="5"/>
      <c r="N86" s="13">
        <f>IF(H86=0,0,L86/H86)</f>
        <v>0</v>
      </c>
      <c r="O86" s="11"/>
      <c r="P86" s="5">
        <v>68065.210000000006</v>
      </c>
      <c r="Q86" s="5"/>
      <c r="R86" s="13">
        <f>IF(P$12=0,0,P86/P$12)</f>
        <v>0.11328388557885191</v>
      </c>
      <c r="S86" s="5"/>
      <c r="T86" s="5"/>
      <c r="U86" s="5"/>
      <c r="V86" s="13">
        <f>IF(T$12=0,0,T86/T$12)</f>
        <v>0</v>
      </c>
      <c r="W86" s="5"/>
      <c r="X86" s="5">
        <f>+P86-T86</f>
        <v>68065.210000000006</v>
      </c>
      <c r="Y86" s="5"/>
      <c r="Z86" s="13">
        <f>IF(T86=0,0,X86/T86)</f>
        <v>0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2" customFormat="1" ht="15" customHeight="1" x14ac:dyDescent="0.3">
      <c r="A88" s="11"/>
      <c r="B88" s="28" t="s">
        <v>293</v>
      </c>
      <c r="C88" s="28"/>
      <c r="D88" s="34">
        <f>+D84-D86</f>
        <v>2900.1000000000204</v>
      </c>
      <c r="E88" s="15"/>
      <c r="F88" s="30">
        <f>IF(D$12=0,0,D88/D$12)</f>
        <v>2.4574596624024607E-2</v>
      </c>
      <c r="G88" s="15"/>
      <c r="H88" s="34">
        <f>+H84-H86</f>
        <v>-7546.01</v>
      </c>
      <c r="I88" s="15"/>
      <c r="J88" s="30">
        <f>IF(H$12=0,0,H88/H$12)</f>
        <v>0</v>
      </c>
      <c r="K88" s="16"/>
      <c r="L88" s="34">
        <f>D88-H88</f>
        <v>10446.110000000021</v>
      </c>
      <c r="M88" s="16"/>
      <c r="N88" s="30">
        <f>IF(H88=0,0,L88/H88)</f>
        <v>-1.3843223107311042</v>
      </c>
      <c r="O88" s="27"/>
      <c r="P88" s="34">
        <f>+P84-P86</f>
        <v>-99603.36000000003</v>
      </c>
      <c r="Q88" s="15"/>
      <c r="R88" s="30">
        <f>IF(P$12=0,0,P88/P$12)</f>
        <v>-0.16577419855913467</v>
      </c>
      <c r="S88" s="15"/>
      <c r="T88" s="34">
        <f>+T84-T86</f>
        <v>-72014.87999999999</v>
      </c>
      <c r="U88" s="15"/>
      <c r="V88" s="30">
        <f>IF(T$12=0,0,T88/T$12)</f>
        <v>0</v>
      </c>
      <c r="W88" s="16"/>
      <c r="X88" s="34">
        <f>P88-T88</f>
        <v>-27588.48000000004</v>
      </c>
      <c r="Y88" s="16"/>
      <c r="Z88" s="30">
        <f>IF(T88=0,0,X88/T88)</f>
        <v>0.38309416054015566</v>
      </c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8" t="s">
        <v>296</v>
      </c>
      <c r="C91" s="28"/>
      <c r="D91" s="29">
        <f>SUM(D88:D90)</f>
        <v>2900.1000000000204</v>
      </c>
      <c r="E91" s="15"/>
      <c r="F91" s="35">
        <f>IF(D$12=0,0,D91/D$12)</f>
        <v>2.4574596624024607E-2</v>
      </c>
      <c r="G91" s="15"/>
      <c r="H91" s="29">
        <f>SUM(H88:H90)</f>
        <v>-7546.01</v>
      </c>
      <c r="I91" s="15"/>
      <c r="J91" s="35">
        <f>IF(H$12=0,0,H91/H$12)</f>
        <v>0</v>
      </c>
      <c r="K91" s="16"/>
      <c r="L91" s="29">
        <f>+D91-H91</f>
        <v>10446.110000000021</v>
      </c>
      <c r="M91" s="16"/>
      <c r="N91" s="35">
        <f>IF(H91=0,0,L91/H91)</f>
        <v>-1.3843223107311042</v>
      </c>
      <c r="O91" s="27"/>
      <c r="P91" s="29">
        <f>SUM(P88:P90)</f>
        <v>-99603.36000000003</v>
      </c>
      <c r="Q91" s="15"/>
      <c r="R91" s="35">
        <f>IF(P$12=0,0,P91/P$12)</f>
        <v>-0.16577419855913467</v>
      </c>
      <c r="S91" s="15"/>
      <c r="T91" s="29">
        <f>SUM(T88:T90)</f>
        <v>-72014.87999999999</v>
      </c>
      <c r="U91" s="15"/>
      <c r="V91" s="35">
        <f>IF(T$12=0,0,T91/T$12)</f>
        <v>0</v>
      </c>
      <c r="W91" s="16"/>
      <c r="X91" s="29">
        <f>+P91-T91</f>
        <v>-27588.48000000004</v>
      </c>
      <c r="Y91" s="16"/>
      <c r="Z91" s="35">
        <f>IF(T91=0,0,X91/T91)</f>
        <v>0.38309416054015566</v>
      </c>
    </row>
    <row r="92" spans="1:26" ht="15" customHeight="1" x14ac:dyDescent="0.3">
      <c r="A92" s="10"/>
      <c r="C92" s="10"/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3">
      <c r="A93" s="10"/>
      <c r="B93" s="56">
        <v>44694.890829479169</v>
      </c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3">
      <c r="A94" s="10"/>
      <c r="B94" s="52" t="s">
        <v>297</v>
      </c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  <row r="95" spans="1:26" ht="15" customHeight="1" x14ac:dyDescent="0.3">
      <c r="A95" s="10"/>
      <c r="B95" s="58"/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3"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B026-1F37-8D1C-9C47-C2D959262B6C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","406"," - ","OPA! Greek")</f>
        <v>Department 406 - OPA! Greek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0</v>
      </c>
      <c r="E18" s="22"/>
      <c r="F18" s="32">
        <f t="shared" ref="F18:F28" si="0">IF(D$12=0,0,D18/D$12)</f>
        <v>0</v>
      </c>
      <c r="G18" s="22"/>
      <c r="H18" s="22" cm="1">
        <f t="array" ref="H18">SUM(OSRRefH22x_0)</f>
        <v>119.55</v>
      </c>
      <c r="I18" s="22"/>
      <c r="J18" s="32">
        <f t="shared" ref="J18:J28" si="1">IF(H$12=0,0,H18/H$12)</f>
        <v>0</v>
      </c>
      <c r="K18" s="5"/>
      <c r="L18" s="22">
        <f t="shared" ref="L18:L28" si="2">+D18-H18</f>
        <v>-119.55</v>
      </c>
      <c r="M18" s="5"/>
      <c r="N18" s="32">
        <f t="shared" ref="N18:N28" si="3">IF(H18=0,0,L18/H18)</f>
        <v>-1</v>
      </c>
      <c r="O18" s="11"/>
      <c r="P18" s="22" cm="1">
        <f t="array" ref="P18">SUM(OSRRefP22x_0)</f>
        <v>69.290000000000006</v>
      </c>
      <c r="Q18" s="22"/>
      <c r="R18" s="32">
        <f t="shared" ref="R18:R28" si="4">IF(P$12=0,0,P18/P$12)</f>
        <v>0</v>
      </c>
      <c r="S18" s="22"/>
      <c r="T18" s="22" cm="1">
        <f t="array" ref="T18">SUM(OSRRefT22x_0)</f>
        <v>2291.9899999999998</v>
      </c>
      <c r="U18" s="22"/>
      <c r="V18" s="32">
        <f t="shared" ref="V18:V28" si="5">IF(T$12=0,0,T18/T$12)</f>
        <v>0</v>
      </c>
      <c r="W18" s="5"/>
      <c r="X18" s="22">
        <f t="shared" ref="X18:X28" si="6">+P18-T18</f>
        <v>-2222.6999999999998</v>
      </c>
      <c r="Y18" s="5"/>
      <c r="Z18" s="32">
        <f t="shared" ref="Z18:Z28" si="7">IF(T18=0,0,X18/T18)</f>
        <v>-0.96976862900798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660.8</v>
      </c>
      <c r="U19" s="2"/>
      <c r="V19" s="6">
        <f t="shared" si="5"/>
        <v>0</v>
      </c>
      <c r="W19" s="2"/>
      <c r="X19" s="2">
        <f t="shared" si="6"/>
        <v>-660.8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660.8</v>
      </c>
      <c r="U20" s="3"/>
      <c r="V20" s="7">
        <f t="shared" si="5"/>
        <v>0</v>
      </c>
      <c r="W20" s="3"/>
      <c r="X20" s="8">
        <f t="shared" si="6"/>
        <v>-660.8</v>
      </c>
      <c r="Y20" s="3"/>
      <c r="Z20" s="7">
        <f t="shared" si="7"/>
        <v>-1</v>
      </c>
    </row>
    <row r="21" spans="1:26" s="68" customFormat="1" ht="15" customHeight="1" outlineLevel="1" collapsed="1" x14ac:dyDescent="0.3">
      <c r="A21" s="25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119.55</v>
      </c>
      <c r="I21" s="2"/>
      <c r="J21" s="6">
        <f t="shared" si="1"/>
        <v>0</v>
      </c>
      <c r="K21" s="2"/>
      <c r="L21" s="2">
        <f t="shared" si="2"/>
        <v>-119.55</v>
      </c>
      <c r="M21" s="2"/>
      <c r="N21" s="6">
        <f t="shared" si="3"/>
        <v>-1</v>
      </c>
      <c r="O21" s="14"/>
      <c r="P21" s="2">
        <f>SUM(OSRRefP22_1x_0)</f>
        <v>0</v>
      </c>
      <c r="Q21" s="2"/>
      <c r="R21" s="6">
        <f t="shared" si="4"/>
        <v>0</v>
      </c>
      <c r="S21" s="2"/>
      <c r="T21" s="2">
        <f>SUM(OSRRefT22_1x_0)</f>
        <v>1195.5</v>
      </c>
      <c r="U21" s="2"/>
      <c r="V21" s="6">
        <f t="shared" si="5"/>
        <v>0</v>
      </c>
      <c r="W21" s="2"/>
      <c r="X21" s="2">
        <f t="shared" si="6"/>
        <v>-1195.5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","6322"," - ","EQUIPMENT DEPRECIATION EXPENSE")</f>
        <v xml:space="preserve">          6322 - EQUIPMENT DEPRECIATION EXPENSE</v>
      </c>
      <c r="C22" s="12"/>
      <c r="D22" s="8"/>
      <c r="E22" s="3"/>
      <c r="F22" s="7">
        <f t="shared" si="0"/>
        <v>0</v>
      </c>
      <c r="G22" s="3"/>
      <c r="H22" s="8">
        <v>119.55</v>
      </c>
      <c r="I22" s="3"/>
      <c r="J22" s="7">
        <f t="shared" si="1"/>
        <v>0</v>
      </c>
      <c r="K22" s="3"/>
      <c r="L22" s="8">
        <f t="shared" si="2"/>
        <v>-119.55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1195.5</v>
      </c>
      <c r="U22" s="3"/>
      <c r="V22" s="7">
        <f t="shared" si="5"/>
        <v>0</v>
      </c>
      <c r="W22" s="3"/>
      <c r="X22" s="8">
        <f t="shared" si="6"/>
        <v>-1195.5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5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64.02</v>
      </c>
      <c r="U23" s="2"/>
      <c r="V23" s="6">
        <f t="shared" si="5"/>
        <v>0</v>
      </c>
      <c r="W23" s="2"/>
      <c r="X23" s="2">
        <f t="shared" si="6"/>
        <v>-64.02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","6351"," - ","EQUIPMENT RENTAL")</f>
        <v xml:space="preserve">          6351 - EQUIPMENT RENTAL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64.02</v>
      </c>
      <c r="U24" s="3"/>
      <c r="V24" s="7">
        <f t="shared" si="5"/>
        <v>0</v>
      </c>
      <c r="W24" s="3"/>
      <c r="X24" s="8">
        <f t="shared" si="6"/>
        <v>-64.02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69.290000000000006</v>
      </c>
      <c r="Q25" s="2"/>
      <c r="R25" s="6">
        <f t="shared" si="4"/>
        <v>0</v>
      </c>
      <c r="S25" s="2"/>
      <c r="T25" s="2">
        <f>SUM(OSRRefT22_3x_0)</f>
        <v>286.47000000000003</v>
      </c>
      <c r="U25" s="2"/>
      <c r="V25" s="6">
        <f t="shared" si="5"/>
        <v>0</v>
      </c>
      <c r="W25" s="2"/>
      <c r="X25" s="2">
        <f t="shared" si="6"/>
        <v>-217.18</v>
      </c>
      <c r="Y25" s="2"/>
      <c r="Z25" s="6">
        <f t="shared" si="7"/>
        <v>-0.75812476000977413</v>
      </c>
    </row>
    <row r="26" spans="1:26" s="69" customFormat="1" ht="15" hidden="1" customHeight="1" outlineLevel="2" x14ac:dyDescent="0.3">
      <c r="A26" s="26"/>
      <c r="B26" s="12" t="str">
        <f>CONCATENATE("          ","6373"," - ","MAINTENANCE CONTRACTS")</f>
        <v xml:space="preserve">          6373 - MAINTENANCE CONTRACTS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69.290000000000006</v>
      </c>
      <c r="Q26" s="3"/>
      <c r="R26" s="7">
        <f t="shared" si="4"/>
        <v>0</v>
      </c>
      <c r="S26" s="3"/>
      <c r="T26" s="8">
        <v>286.47000000000003</v>
      </c>
      <c r="U26" s="3"/>
      <c r="V26" s="7">
        <f t="shared" si="5"/>
        <v>0</v>
      </c>
      <c r="W26" s="3"/>
      <c r="X26" s="8">
        <f t="shared" si="6"/>
        <v>-217.18</v>
      </c>
      <c r="Y26" s="3"/>
      <c r="Z26" s="7">
        <f t="shared" si="7"/>
        <v>-0.75812476000977413</v>
      </c>
    </row>
    <row r="27" spans="1:26" s="68" customFormat="1" ht="15" customHeight="1" outlineLevel="1" collapsed="1" x14ac:dyDescent="0.3">
      <c r="A27" s="25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0</v>
      </c>
      <c r="Q27" s="2"/>
      <c r="R27" s="6">
        <f t="shared" si="4"/>
        <v>0</v>
      </c>
      <c r="S27" s="2"/>
      <c r="T27" s="2">
        <f>SUM(OSRRefT22_4x_0)</f>
        <v>85.2</v>
      </c>
      <c r="U27" s="2"/>
      <c r="V27" s="6">
        <f t="shared" si="5"/>
        <v>0</v>
      </c>
      <c r="W27" s="2"/>
      <c r="X27" s="2">
        <f t="shared" si="6"/>
        <v>-85.2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","6309"," - ","TELEPHONE")</f>
        <v xml:space="preserve">          6309 - TELEPHONE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85.2</v>
      </c>
      <c r="U28" s="3"/>
      <c r="V28" s="7">
        <f t="shared" si="5"/>
        <v>0</v>
      </c>
      <c r="W28" s="3"/>
      <c r="X28" s="8">
        <f t="shared" si="6"/>
        <v>-85.2</v>
      </c>
      <c r="Y28" s="3"/>
      <c r="Z28" s="7">
        <f t="shared" si="7"/>
        <v>-1</v>
      </c>
    </row>
    <row r="29" spans="1:26" s="64" customFormat="1" ht="15" customHeight="1" x14ac:dyDescent="0.3">
      <c r="A29" s="36"/>
      <c r="B29" s="36"/>
      <c r="C29" s="36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2" customFormat="1" ht="15" customHeight="1" x14ac:dyDescent="0.3">
      <c r="A30" s="11"/>
      <c r="B30" s="27" t="s">
        <v>290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291</v>
      </c>
      <c r="C32" s="28"/>
      <c r="D32" s="21">
        <f>+D16-D18+D30</f>
        <v>0</v>
      </c>
      <c r="E32" s="15"/>
      <c r="F32" s="23">
        <f>IF(D$12=0,0,D32/D$12)</f>
        <v>0</v>
      </c>
      <c r="G32" s="15"/>
      <c r="H32" s="21">
        <f>+H16-H18+H30</f>
        <v>-119.55</v>
      </c>
      <c r="I32" s="15"/>
      <c r="J32" s="23">
        <f>IF(H$12=0,0,H32/H$12)</f>
        <v>0</v>
      </c>
      <c r="K32" s="16"/>
      <c r="L32" s="21">
        <f>+D32-H32</f>
        <v>119.55</v>
      </c>
      <c r="M32" s="16"/>
      <c r="N32" s="23">
        <f>IF(H32=0,0,L32/H32)</f>
        <v>-1</v>
      </c>
      <c r="O32" s="27"/>
      <c r="P32" s="21">
        <f>+P16-P18+P30</f>
        <v>-69.290000000000006</v>
      </c>
      <c r="Q32" s="15"/>
      <c r="R32" s="23">
        <f>IF(P$12=0,0,P32/P$12)</f>
        <v>0</v>
      </c>
      <c r="S32" s="15"/>
      <c r="T32" s="21">
        <f>+T16-T18+T30</f>
        <v>-2291.9899999999998</v>
      </c>
      <c r="U32" s="15"/>
      <c r="V32" s="23">
        <f>IF(T$12=0,0,T32/T$12)</f>
        <v>0</v>
      </c>
      <c r="W32" s="16"/>
      <c r="X32" s="21">
        <f>+P32-T32</f>
        <v>2222.6999999999998</v>
      </c>
      <c r="Y32" s="16"/>
      <c r="Z32" s="23">
        <f>IF(T32=0,0,X32/T32)</f>
        <v>-0.96976862900798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293</v>
      </c>
      <c r="C36" s="28"/>
      <c r="D36" s="34">
        <f>+D32-D34</f>
        <v>0</v>
      </c>
      <c r="E36" s="15"/>
      <c r="F36" s="30">
        <f>IF(D$12=0,0,D36/D$12)</f>
        <v>0</v>
      </c>
      <c r="G36" s="15"/>
      <c r="H36" s="34">
        <f>+H32-H34</f>
        <v>-119.55</v>
      </c>
      <c r="I36" s="15"/>
      <c r="J36" s="30">
        <f>IF(H$12=0,0,H36/H$12)</f>
        <v>0</v>
      </c>
      <c r="K36" s="16"/>
      <c r="L36" s="34">
        <f>D36-H36</f>
        <v>119.55</v>
      </c>
      <c r="M36" s="16"/>
      <c r="N36" s="30">
        <f>IF(H36=0,0,L36/H36)</f>
        <v>-1</v>
      </c>
      <c r="O36" s="27"/>
      <c r="P36" s="34">
        <f>+P32-P34</f>
        <v>-69.290000000000006</v>
      </c>
      <c r="Q36" s="15"/>
      <c r="R36" s="30">
        <f>IF(P$12=0,0,P36/P$12)</f>
        <v>0</v>
      </c>
      <c r="S36" s="15"/>
      <c r="T36" s="34">
        <f>+T32-T34</f>
        <v>-2291.9899999999998</v>
      </c>
      <c r="U36" s="15"/>
      <c r="V36" s="30">
        <f>IF(T$12=0,0,T36/T$12)</f>
        <v>0</v>
      </c>
      <c r="W36" s="16"/>
      <c r="X36" s="34">
        <f>P36-T36</f>
        <v>2222.6999999999998</v>
      </c>
      <c r="Y36" s="16"/>
      <c r="Z36" s="30">
        <f>IF(T36=0,0,X36/T36)</f>
        <v>-0.96976862900798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296</v>
      </c>
      <c r="C39" s="28"/>
      <c r="D39" s="29">
        <f>SUM(D36:D38)</f>
        <v>0</v>
      </c>
      <c r="E39" s="15"/>
      <c r="F39" s="35">
        <f>IF(D$12=0,0,D39/D$12)</f>
        <v>0</v>
      </c>
      <c r="G39" s="15"/>
      <c r="H39" s="29">
        <f>SUM(H36:H38)</f>
        <v>-119.55</v>
      </c>
      <c r="I39" s="15"/>
      <c r="J39" s="35">
        <f>IF(H$12=0,0,H39/H$12)</f>
        <v>0</v>
      </c>
      <c r="K39" s="16"/>
      <c r="L39" s="29">
        <f>+D39-H39</f>
        <v>119.55</v>
      </c>
      <c r="M39" s="16"/>
      <c r="N39" s="35">
        <f>IF(H39=0,0,L39/H39)</f>
        <v>-1</v>
      </c>
      <c r="O39" s="27"/>
      <c r="P39" s="29">
        <f>SUM(P36:P38)</f>
        <v>-69.290000000000006</v>
      </c>
      <c r="Q39" s="15"/>
      <c r="R39" s="35">
        <f>IF(P$12=0,0,P39/P$12)</f>
        <v>0</v>
      </c>
      <c r="S39" s="15"/>
      <c r="T39" s="29">
        <f>SUM(T36:T38)</f>
        <v>-2291.9899999999998</v>
      </c>
      <c r="U39" s="15"/>
      <c r="V39" s="35">
        <f>IF(T$12=0,0,T39/T$12)</f>
        <v>0</v>
      </c>
      <c r="W39" s="16"/>
      <c r="X39" s="29">
        <f>+P39-T39</f>
        <v>2222.6999999999998</v>
      </c>
      <c r="Y39" s="16"/>
      <c r="Z39" s="35">
        <f>IF(T39=0,0,X39/T39)</f>
        <v>-0.96976862900798</v>
      </c>
    </row>
    <row r="40" spans="1:26" ht="15" customHeight="1" x14ac:dyDescent="0.3">
      <c r="A40" s="10"/>
      <c r="C40" s="10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A41" s="10"/>
      <c r="B41" s="56">
        <v>44694.890829479169</v>
      </c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3">
      <c r="A42" s="10"/>
      <c r="B42" s="52" t="s">
        <v>297</v>
      </c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  <row r="43" spans="1:26" ht="15" customHeight="1" x14ac:dyDescent="0.3">
      <c r="A43" s="10"/>
      <c r="B43" s="58"/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  <row r="44" spans="1:26" ht="15" customHeight="1" x14ac:dyDescent="0.3"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3E9F-E43C-AEBD-769B-E3FFEAD0353F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","411"," - ","University Dining")</f>
        <v>Department 411 - University Dining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61037.41</v>
      </c>
      <c r="E18" s="22"/>
      <c r="F18" s="32">
        <f t="shared" ref="F18:F49" si="0">IF(D$12=0,0,D18/D$12)</f>
        <v>0</v>
      </c>
      <c r="G18" s="22"/>
      <c r="H18" s="22" cm="1">
        <f t="array" ref="H18">SUM(OSRRefH22x_0)</f>
        <v>38137.349999999991</v>
      </c>
      <c r="I18" s="22"/>
      <c r="J18" s="32">
        <f t="shared" ref="J18:J49" si="1">IF(H$12=0,0,H18/H$12)</f>
        <v>0</v>
      </c>
      <c r="K18" s="5"/>
      <c r="L18" s="22">
        <f t="shared" ref="L18:L49" si="2">+D18-H18</f>
        <v>22900.060000000012</v>
      </c>
      <c r="M18" s="5"/>
      <c r="N18" s="32">
        <f t="shared" ref="N18:N49" si="3">IF(H18=0,0,L18/H18)</f>
        <v>0.60046280090252779</v>
      </c>
      <c r="O18" s="11"/>
      <c r="P18" s="22" cm="1">
        <f t="array" ref="P18">SUM(OSRRefP22x_0)</f>
        <v>504074.1</v>
      </c>
      <c r="Q18" s="22"/>
      <c r="R18" s="32">
        <f t="shared" ref="R18:R49" si="4">IF(P$12=0,0,P18/P$12)</f>
        <v>0</v>
      </c>
      <c r="S18" s="22"/>
      <c r="T18" s="22" cm="1">
        <f t="array" ref="T18">SUM(OSRRefT22x_0)</f>
        <v>291450.71999999997</v>
      </c>
      <c r="U18" s="22"/>
      <c r="V18" s="32">
        <f t="shared" ref="V18:V49" si="5">IF(T$12=0,0,T18/T$12)</f>
        <v>0</v>
      </c>
      <c r="W18" s="5"/>
      <c r="X18" s="22">
        <f t="shared" ref="X18:X49" si="6">+P18-T18</f>
        <v>212623.38</v>
      </c>
      <c r="Y18" s="5"/>
      <c r="Z18" s="32">
        <f t="shared" ref="Z18:Z49" si="7">IF(T18=0,0,X18/T18)</f>
        <v>0.72953458478332123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12232.089999999998</v>
      </c>
      <c r="E19" s="2"/>
      <c r="F19" s="6">
        <f t="shared" si="0"/>
        <v>0</v>
      </c>
      <c r="G19" s="2"/>
      <c r="H19" s="2">
        <f>SUM(OSRRefH22_0x_0)</f>
        <v>6905.3399999999992</v>
      </c>
      <c r="I19" s="2"/>
      <c r="J19" s="6">
        <f t="shared" si="1"/>
        <v>0</v>
      </c>
      <c r="K19" s="2"/>
      <c r="L19" s="2">
        <f t="shared" si="2"/>
        <v>5326.7499999999991</v>
      </c>
      <c r="M19" s="2"/>
      <c r="N19" s="6">
        <f t="shared" si="3"/>
        <v>0.77139576038254443</v>
      </c>
      <c r="O19" s="14"/>
      <c r="P19" s="2">
        <f>SUM(OSRRefP22_0x_0)</f>
        <v>107955.44999999998</v>
      </c>
      <c r="Q19" s="2"/>
      <c r="R19" s="6">
        <f t="shared" si="4"/>
        <v>0</v>
      </c>
      <c r="S19" s="2"/>
      <c r="T19" s="2">
        <f>SUM(OSRRefT22_0x_0)</f>
        <v>60521.04</v>
      </c>
      <c r="U19" s="2"/>
      <c r="V19" s="6">
        <f t="shared" si="5"/>
        <v>0</v>
      </c>
      <c r="W19" s="2"/>
      <c r="X19" s="2">
        <f t="shared" si="6"/>
        <v>47434.409999999982</v>
      </c>
      <c r="Y19" s="2"/>
      <c r="Z19" s="6">
        <f t="shared" si="7"/>
        <v>0.78376726507013061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2077.61</v>
      </c>
      <c r="E20" s="3"/>
      <c r="F20" s="7">
        <f t="shared" si="0"/>
        <v>0</v>
      </c>
      <c r="G20" s="3"/>
      <c r="H20" s="8">
        <v>1281.68</v>
      </c>
      <c r="I20" s="3"/>
      <c r="J20" s="7">
        <f t="shared" si="1"/>
        <v>0</v>
      </c>
      <c r="K20" s="3"/>
      <c r="L20" s="8">
        <f t="shared" si="2"/>
        <v>795.93000000000006</v>
      </c>
      <c r="M20" s="3"/>
      <c r="N20" s="7">
        <f t="shared" si="3"/>
        <v>0.6210052431184071</v>
      </c>
      <c r="O20" s="12"/>
      <c r="P20" s="8">
        <v>15034.53</v>
      </c>
      <c r="Q20" s="3"/>
      <c r="R20" s="7">
        <f t="shared" si="4"/>
        <v>0</v>
      </c>
      <c r="S20" s="3"/>
      <c r="T20" s="8">
        <v>9175.39</v>
      </c>
      <c r="U20" s="3"/>
      <c r="V20" s="7">
        <f t="shared" si="5"/>
        <v>0</v>
      </c>
      <c r="W20" s="3"/>
      <c r="X20" s="8">
        <f t="shared" si="6"/>
        <v>5859.1400000000012</v>
      </c>
      <c r="Y20" s="3"/>
      <c r="Z20" s="7">
        <f t="shared" si="7"/>
        <v>0.63857122149576218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232.92</v>
      </c>
      <c r="E21" s="3"/>
      <c r="F21" s="7">
        <f t="shared" si="0"/>
        <v>0</v>
      </c>
      <c r="G21" s="3"/>
      <c r="H21" s="8">
        <v>36.78</v>
      </c>
      <c r="I21" s="3"/>
      <c r="J21" s="7">
        <f t="shared" si="1"/>
        <v>0</v>
      </c>
      <c r="K21" s="3"/>
      <c r="L21" s="8">
        <f t="shared" si="2"/>
        <v>196.14</v>
      </c>
      <c r="M21" s="3"/>
      <c r="N21" s="7">
        <f t="shared" si="3"/>
        <v>5.3327895595432295</v>
      </c>
      <c r="O21" s="12"/>
      <c r="P21" s="8">
        <v>2402.7600000000002</v>
      </c>
      <c r="Q21" s="3"/>
      <c r="R21" s="7">
        <f t="shared" si="4"/>
        <v>0</v>
      </c>
      <c r="S21" s="3"/>
      <c r="T21" s="8">
        <v>513.86</v>
      </c>
      <c r="U21" s="3"/>
      <c r="V21" s="7">
        <f t="shared" si="5"/>
        <v>0</v>
      </c>
      <c r="W21" s="3"/>
      <c r="X21" s="8">
        <f t="shared" si="6"/>
        <v>1888.9</v>
      </c>
      <c r="Y21" s="3"/>
      <c r="Z21" s="7">
        <f t="shared" si="7"/>
        <v>3.6759039427081306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3042.72</v>
      </c>
      <c r="E22" s="3"/>
      <c r="F22" s="7">
        <f t="shared" si="0"/>
        <v>0</v>
      </c>
      <c r="G22" s="3"/>
      <c r="H22" s="8">
        <v>1920.87</v>
      </c>
      <c r="I22" s="3"/>
      <c r="J22" s="7">
        <f t="shared" si="1"/>
        <v>0</v>
      </c>
      <c r="K22" s="3"/>
      <c r="L22" s="8">
        <f t="shared" si="2"/>
        <v>1121.8499999999999</v>
      </c>
      <c r="M22" s="3"/>
      <c r="N22" s="7">
        <f t="shared" si="3"/>
        <v>0.58403223539333737</v>
      </c>
      <c r="O22" s="12"/>
      <c r="P22" s="8">
        <v>32099.79</v>
      </c>
      <c r="Q22" s="3"/>
      <c r="R22" s="7">
        <f t="shared" si="4"/>
        <v>0</v>
      </c>
      <c r="S22" s="3"/>
      <c r="T22" s="8">
        <v>18253.95</v>
      </c>
      <c r="U22" s="3"/>
      <c r="V22" s="7">
        <f t="shared" si="5"/>
        <v>0</v>
      </c>
      <c r="W22" s="3"/>
      <c r="X22" s="8">
        <f t="shared" si="6"/>
        <v>13845.84</v>
      </c>
      <c r="Y22" s="3"/>
      <c r="Z22" s="7">
        <f t="shared" si="7"/>
        <v>0.75851199329460195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46.94</v>
      </c>
      <c r="E23" s="3"/>
      <c r="F23" s="7">
        <f t="shared" si="0"/>
        <v>0</v>
      </c>
      <c r="G23" s="3"/>
      <c r="H23" s="8">
        <v>28.98</v>
      </c>
      <c r="I23" s="3"/>
      <c r="J23" s="7">
        <f t="shared" si="1"/>
        <v>0</v>
      </c>
      <c r="K23" s="3"/>
      <c r="L23" s="8">
        <f t="shared" si="2"/>
        <v>17.959999999999997</v>
      </c>
      <c r="M23" s="3"/>
      <c r="N23" s="7">
        <f t="shared" si="3"/>
        <v>0.61973775017253263</v>
      </c>
      <c r="O23" s="12"/>
      <c r="P23" s="8">
        <v>484.24</v>
      </c>
      <c r="Q23" s="3"/>
      <c r="R23" s="7">
        <f t="shared" si="4"/>
        <v>0</v>
      </c>
      <c r="S23" s="3"/>
      <c r="T23" s="8">
        <v>339.97</v>
      </c>
      <c r="U23" s="3"/>
      <c r="V23" s="7">
        <f t="shared" si="5"/>
        <v>0</v>
      </c>
      <c r="W23" s="3"/>
      <c r="X23" s="8">
        <f t="shared" si="6"/>
        <v>144.26999999999998</v>
      </c>
      <c r="Y23" s="3"/>
      <c r="Z23" s="7">
        <f t="shared" si="7"/>
        <v>0.42436097302703168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2824.79</v>
      </c>
      <c r="E24" s="3"/>
      <c r="F24" s="7">
        <f t="shared" si="0"/>
        <v>0</v>
      </c>
      <c r="G24" s="3"/>
      <c r="H24" s="8">
        <v>1221.05</v>
      </c>
      <c r="I24" s="3"/>
      <c r="J24" s="7">
        <f t="shared" si="1"/>
        <v>0</v>
      </c>
      <c r="K24" s="3"/>
      <c r="L24" s="8">
        <f t="shared" si="2"/>
        <v>1603.74</v>
      </c>
      <c r="M24" s="3"/>
      <c r="N24" s="7">
        <f t="shared" si="3"/>
        <v>1.3134105892469596</v>
      </c>
      <c r="O24" s="12"/>
      <c r="P24" s="8">
        <v>20994.880000000001</v>
      </c>
      <c r="Q24" s="3"/>
      <c r="R24" s="7">
        <f t="shared" si="4"/>
        <v>0</v>
      </c>
      <c r="S24" s="3"/>
      <c r="T24" s="8">
        <v>14481.94</v>
      </c>
      <c r="U24" s="3"/>
      <c r="V24" s="7">
        <f t="shared" si="5"/>
        <v>0</v>
      </c>
      <c r="W24" s="3"/>
      <c r="X24" s="8">
        <f t="shared" si="6"/>
        <v>6512.9400000000005</v>
      </c>
      <c r="Y24" s="3"/>
      <c r="Z24" s="7">
        <f t="shared" si="7"/>
        <v>0.44972842036357008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2369.5500000000002</v>
      </c>
      <c r="E25" s="3"/>
      <c r="F25" s="7">
        <f t="shared" si="0"/>
        <v>0</v>
      </c>
      <c r="G25" s="3"/>
      <c r="H25" s="8">
        <v>1533.78</v>
      </c>
      <c r="I25" s="3"/>
      <c r="J25" s="7">
        <f t="shared" si="1"/>
        <v>0</v>
      </c>
      <c r="K25" s="3"/>
      <c r="L25" s="8">
        <f t="shared" si="2"/>
        <v>835.77000000000021</v>
      </c>
      <c r="M25" s="3"/>
      <c r="N25" s="7">
        <f t="shared" si="3"/>
        <v>0.5449086570433832</v>
      </c>
      <c r="O25" s="12"/>
      <c r="P25" s="8">
        <v>18769.04</v>
      </c>
      <c r="Q25" s="3"/>
      <c r="R25" s="7">
        <f t="shared" si="4"/>
        <v>0</v>
      </c>
      <c r="S25" s="3"/>
      <c r="T25" s="8">
        <v>11439.86</v>
      </c>
      <c r="U25" s="3"/>
      <c r="V25" s="7">
        <f t="shared" si="5"/>
        <v>0</v>
      </c>
      <c r="W25" s="3"/>
      <c r="X25" s="8">
        <f t="shared" si="6"/>
        <v>7329.18</v>
      </c>
      <c r="Y25" s="3"/>
      <c r="Z25" s="7">
        <f t="shared" si="7"/>
        <v>0.64067042778495542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1238.8499999999999</v>
      </c>
      <c r="E26" s="3"/>
      <c r="F26" s="7">
        <f t="shared" si="0"/>
        <v>0</v>
      </c>
      <c r="G26" s="3"/>
      <c r="H26" s="8">
        <v>765.87</v>
      </c>
      <c r="I26" s="3"/>
      <c r="J26" s="7">
        <f t="shared" si="1"/>
        <v>0</v>
      </c>
      <c r="K26" s="3"/>
      <c r="L26" s="8">
        <f t="shared" si="2"/>
        <v>472.9799999999999</v>
      </c>
      <c r="M26" s="3"/>
      <c r="N26" s="7">
        <f t="shared" si="3"/>
        <v>0.61757217282306387</v>
      </c>
      <c r="O26" s="12"/>
      <c r="P26" s="8">
        <v>14996.37</v>
      </c>
      <c r="Q26" s="3"/>
      <c r="R26" s="7">
        <f t="shared" si="4"/>
        <v>0</v>
      </c>
      <c r="S26" s="3"/>
      <c r="T26" s="8">
        <v>5712.32</v>
      </c>
      <c r="U26" s="3"/>
      <c r="V26" s="7">
        <f t="shared" si="5"/>
        <v>0</v>
      </c>
      <c r="W26" s="3"/>
      <c r="X26" s="8">
        <f t="shared" si="6"/>
        <v>9284.0500000000011</v>
      </c>
      <c r="Y26" s="3"/>
      <c r="Z26" s="7">
        <f t="shared" si="7"/>
        <v>1.6252678421376956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398.71</v>
      </c>
      <c r="E27" s="3"/>
      <c r="F27" s="7">
        <f t="shared" si="0"/>
        <v>0</v>
      </c>
      <c r="G27" s="3"/>
      <c r="H27" s="8">
        <v>116.33</v>
      </c>
      <c r="I27" s="3"/>
      <c r="J27" s="7">
        <f t="shared" si="1"/>
        <v>0</v>
      </c>
      <c r="K27" s="3"/>
      <c r="L27" s="8">
        <f t="shared" si="2"/>
        <v>282.38</v>
      </c>
      <c r="M27" s="3"/>
      <c r="N27" s="7">
        <f t="shared" si="3"/>
        <v>2.427404796699046</v>
      </c>
      <c r="O27" s="12"/>
      <c r="P27" s="8">
        <v>3173.84</v>
      </c>
      <c r="Q27" s="3"/>
      <c r="R27" s="7">
        <f t="shared" si="4"/>
        <v>0</v>
      </c>
      <c r="S27" s="3"/>
      <c r="T27" s="8">
        <v>603.75</v>
      </c>
      <c r="U27" s="3"/>
      <c r="V27" s="7">
        <f t="shared" si="5"/>
        <v>0</v>
      </c>
      <c r="W27" s="3"/>
      <c r="X27" s="8">
        <f t="shared" si="6"/>
        <v>2570.09</v>
      </c>
      <c r="Y27" s="3"/>
      <c r="Z27" s="7">
        <f t="shared" si="7"/>
        <v>4.2568778467908901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19440.690000000002</v>
      </c>
      <c r="E28" s="2"/>
      <c r="F28" s="6">
        <f t="shared" si="0"/>
        <v>0</v>
      </c>
      <c r="G28" s="2"/>
      <c r="H28" s="2">
        <f>SUM(OSRRefH22_1x_0)</f>
        <v>13906.92</v>
      </c>
      <c r="I28" s="2"/>
      <c r="J28" s="6">
        <f t="shared" si="1"/>
        <v>0</v>
      </c>
      <c r="K28" s="2"/>
      <c r="L28" s="2">
        <f t="shared" si="2"/>
        <v>5533.7700000000023</v>
      </c>
      <c r="M28" s="2"/>
      <c r="N28" s="6">
        <f t="shared" si="3"/>
        <v>0.39791485102380703</v>
      </c>
      <c r="O28" s="14"/>
      <c r="P28" s="2">
        <f>SUM(OSRRefP22_1x_0)</f>
        <v>178349.71000000002</v>
      </c>
      <c r="Q28" s="2"/>
      <c r="R28" s="6">
        <f t="shared" si="4"/>
        <v>0</v>
      </c>
      <c r="S28" s="2"/>
      <c r="T28" s="2">
        <f>SUM(OSRRefT22_1x_0)</f>
        <v>113511.17</v>
      </c>
      <c r="U28" s="2"/>
      <c r="V28" s="6">
        <f t="shared" si="5"/>
        <v>0</v>
      </c>
      <c r="W28" s="2"/>
      <c r="X28" s="2">
        <f t="shared" si="6"/>
        <v>64838.540000000023</v>
      </c>
      <c r="Y28" s="2"/>
      <c r="Z28" s="6">
        <f t="shared" si="7"/>
        <v>0.57120845463931014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12087.68</v>
      </c>
      <c r="E29" s="3"/>
      <c r="F29" s="7">
        <f t="shared" si="0"/>
        <v>0</v>
      </c>
      <c r="G29" s="3"/>
      <c r="H29" s="8">
        <v>13836.92</v>
      </c>
      <c r="I29" s="3"/>
      <c r="J29" s="7">
        <f t="shared" si="1"/>
        <v>0</v>
      </c>
      <c r="K29" s="3"/>
      <c r="L29" s="8">
        <f t="shared" si="2"/>
        <v>-1749.2399999999998</v>
      </c>
      <c r="M29" s="3"/>
      <c r="N29" s="7">
        <f t="shared" si="3"/>
        <v>-0.12641830696426659</v>
      </c>
      <c r="O29" s="12"/>
      <c r="P29" s="8">
        <v>112796.03</v>
      </c>
      <c r="Q29" s="3"/>
      <c r="R29" s="7">
        <f t="shared" si="4"/>
        <v>0</v>
      </c>
      <c r="S29" s="3"/>
      <c r="T29" s="8">
        <v>111056.17</v>
      </c>
      <c r="U29" s="3"/>
      <c r="V29" s="7">
        <f t="shared" si="5"/>
        <v>0</v>
      </c>
      <c r="W29" s="3"/>
      <c r="X29" s="8">
        <f t="shared" si="6"/>
        <v>1739.8600000000006</v>
      </c>
      <c r="Y29" s="3"/>
      <c r="Z29" s="7">
        <f t="shared" si="7"/>
        <v>1.5666486607632882E-2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7353.01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7353.01</v>
      </c>
      <c r="M30" s="3"/>
      <c r="N30" s="7">
        <f t="shared" si="3"/>
        <v>0</v>
      </c>
      <c r="O30" s="12"/>
      <c r="P30" s="8">
        <v>62546.44</v>
      </c>
      <c r="Q30" s="3"/>
      <c r="R30" s="7">
        <f t="shared" si="4"/>
        <v>0</v>
      </c>
      <c r="S30" s="3"/>
      <c r="T30" s="8">
        <v>2080</v>
      </c>
      <c r="U30" s="3"/>
      <c r="V30" s="7">
        <f t="shared" si="5"/>
        <v>0</v>
      </c>
      <c r="W30" s="3"/>
      <c r="X30" s="8">
        <f t="shared" si="6"/>
        <v>60466.44</v>
      </c>
      <c r="Y30" s="3"/>
      <c r="Z30" s="7">
        <f t="shared" si="7"/>
        <v>29.070403846153848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>
        <v>70</v>
      </c>
      <c r="I31" s="3"/>
      <c r="J31" s="7">
        <f t="shared" si="1"/>
        <v>0</v>
      </c>
      <c r="K31" s="3"/>
      <c r="L31" s="8">
        <f t="shared" si="2"/>
        <v>-70</v>
      </c>
      <c r="M31" s="3"/>
      <c r="N31" s="7">
        <f t="shared" si="3"/>
        <v>-1</v>
      </c>
      <c r="O31" s="12"/>
      <c r="P31" s="8">
        <v>1380.76</v>
      </c>
      <c r="Q31" s="3"/>
      <c r="R31" s="7">
        <f t="shared" si="4"/>
        <v>0</v>
      </c>
      <c r="S31" s="3"/>
      <c r="T31" s="8">
        <v>70</v>
      </c>
      <c r="U31" s="3"/>
      <c r="V31" s="7">
        <f t="shared" si="5"/>
        <v>0</v>
      </c>
      <c r="W31" s="3"/>
      <c r="X31" s="8">
        <f t="shared" si="6"/>
        <v>1310.76</v>
      </c>
      <c r="Y31" s="3"/>
      <c r="Z31" s="7">
        <f t="shared" si="7"/>
        <v>18.725142857142856</v>
      </c>
    </row>
    <row r="32" spans="1:26" s="69" customFormat="1" ht="15" hidden="1" customHeight="1" outlineLevel="2" x14ac:dyDescent="0.3">
      <c r="A32" s="26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1626.48</v>
      </c>
      <c r="Q32" s="3"/>
      <c r="R32" s="7">
        <f t="shared" si="4"/>
        <v>0</v>
      </c>
      <c r="S32" s="3"/>
      <c r="T32" s="8">
        <v>305</v>
      </c>
      <c r="U32" s="3"/>
      <c r="V32" s="7">
        <f t="shared" si="5"/>
        <v>0</v>
      </c>
      <c r="W32" s="3"/>
      <c r="X32" s="8">
        <f t="shared" si="6"/>
        <v>1321.48</v>
      </c>
      <c r="Y32" s="3"/>
      <c r="Z32" s="7">
        <f t="shared" si="7"/>
        <v>4.3327213114754102</v>
      </c>
    </row>
    <row r="33" spans="1:26" s="69" customFormat="1" ht="15" hidden="1" customHeight="1" outlineLevel="2" x14ac:dyDescent="0.3">
      <c r="A33" s="26"/>
      <c r="B33" s="12" t="str">
        <f>CONCATENATE("          ","6007"," - ","STUDENT HOURLY")</f>
        <v xml:space="preserve">          6007 - STUDENT HOURLY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0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5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63.55</v>
      </c>
      <c r="I34" s="2"/>
      <c r="J34" s="6">
        <f t="shared" si="1"/>
        <v>0</v>
      </c>
      <c r="K34" s="2"/>
      <c r="L34" s="2">
        <f t="shared" si="2"/>
        <v>-63.55</v>
      </c>
      <c r="M34" s="2"/>
      <c r="N34" s="6">
        <f t="shared" si="3"/>
        <v>-1</v>
      </c>
      <c r="O34" s="14"/>
      <c r="P34" s="2">
        <f>SUM(OSRRefP22_2x_0)</f>
        <v>0</v>
      </c>
      <c r="Q34" s="2"/>
      <c r="R34" s="6">
        <f t="shared" si="4"/>
        <v>0</v>
      </c>
      <c r="S34" s="2"/>
      <c r="T34" s="2">
        <f>SUM(OSRRefT22_2x_0)</f>
        <v>63.55</v>
      </c>
      <c r="U34" s="2"/>
      <c r="V34" s="6">
        <f t="shared" si="5"/>
        <v>0</v>
      </c>
      <c r="W34" s="2"/>
      <c r="X34" s="2">
        <f t="shared" si="6"/>
        <v>-63.55</v>
      </c>
      <c r="Y34" s="2"/>
      <c r="Z34" s="6">
        <f t="shared" si="7"/>
        <v>-1</v>
      </c>
    </row>
    <row r="35" spans="1:26" s="69" customFormat="1" ht="15" hidden="1" customHeight="1" outlineLevel="2" x14ac:dyDescent="0.3">
      <c r="A35" s="26"/>
      <c r="B35" s="12" t="str">
        <f>CONCATENATE("          ","6362"," - ","ADVERTISING EXPENSE")</f>
        <v xml:space="preserve">          6362 - ADVERTISING EXPENSE</v>
      </c>
      <c r="C35" s="12"/>
      <c r="D35" s="8"/>
      <c r="E35" s="3"/>
      <c r="F35" s="7">
        <f t="shared" si="0"/>
        <v>0</v>
      </c>
      <c r="G35" s="3"/>
      <c r="H35" s="8">
        <v>63.55</v>
      </c>
      <c r="I35" s="3"/>
      <c r="J35" s="7">
        <f t="shared" si="1"/>
        <v>0</v>
      </c>
      <c r="K35" s="3"/>
      <c r="L35" s="8">
        <f t="shared" si="2"/>
        <v>-63.55</v>
      </c>
      <c r="M35" s="3"/>
      <c r="N35" s="7">
        <f t="shared" si="3"/>
        <v>-1</v>
      </c>
      <c r="O35" s="12"/>
      <c r="P35" s="8"/>
      <c r="Q35" s="3"/>
      <c r="R35" s="7">
        <f t="shared" si="4"/>
        <v>0</v>
      </c>
      <c r="S35" s="3"/>
      <c r="T35" s="8">
        <v>63.55</v>
      </c>
      <c r="U35" s="3"/>
      <c r="V35" s="7">
        <f t="shared" si="5"/>
        <v>0</v>
      </c>
      <c r="W35" s="3"/>
      <c r="X35" s="8">
        <f t="shared" si="6"/>
        <v>-63.55</v>
      </c>
      <c r="Y35" s="3"/>
      <c r="Z35" s="7">
        <f t="shared" si="7"/>
        <v>-1</v>
      </c>
    </row>
    <row r="36" spans="1:26" s="68" customFormat="1" ht="15" customHeight="1" outlineLevel="1" collapsed="1" x14ac:dyDescent="0.3">
      <c r="A36" s="25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177.96</v>
      </c>
      <c r="E36" s="2"/>
      <c r="F36" s="6">
        <f t="shared" si="0"/>
        <v>0</v>
      </c>
      <c r="G36" s="2"/>
      <c r="H36" s="2">
        <f>SUM(OSRRefH22_3x_0)</f>
        <v>492.91</v>
      </c>
      <c r="I36" s="2"/>
      <c r="J36" s="6">
        <f t="shared" si="1"/>
        <v>0</v>
      </c>
      <c r="K36" s="2"/>
      <c r="L36" s="2">
        <f t="shared" si="2"/>
        <v>-314.95000000000005</v>
      </c>
      <c r="M36" s="2"/>
      <c r="N36" s="6">
        <f t="shared" si="3"/>
        <v>-0.63896045931305923</v>
      </c>
      <c r="O36" s="14"/>
      <c r="P36" s="2">
        <f>SUM(OSRRefP22_3x_0)</f>
        <v>2118.23</v>
      </c>
      <c r="Q36" s="2"/>
      <c r="R36" s="6">
        <f t="shared" si="4"/>
        <v>0</v>
      </c>
      <c r="S36" s="2"/>
      <c r="T36" s="2">
        <f>SUM(OSRRefT22_3x_0)</f>
        <v>4373.3100000000004</v>
      </c>
      <c r="U36" s="2"/>
      <c r="V36" s="6">
        <f t="shared" si="5"/>
        <v>0</v>
      </c>
      <c r="W36" s="2"/>
      <c r="X36" s="2">
        <f t="shared" si="6"/>
        <v>-2255.0800000000004</v>
      </c>
      <c r="Y36" s="2"/>
      <c r="Z36" s="6">
        <f t="shared" si="7"/>
        <v>-0.51564604384322177</v>
      </c>
    </row>
    <row r="37" spans="1:26" s="69" customFormat="1" ht="15" hidden="1" customHeight="1" outlineLevel="2" x14ac:dyDescent="0.3">
      <c r="A37" s="26"/>
      <c r="B37" s="12" t="str">
        <f>CONCATENATE("          ","6381"," - ","BANK/CREDIT CARD FEES")</f>
        <v xml:space="preserve">          6381 - BANK/CREDIT CARD FEES</v>
      </c>
      <c r="C37" s="12"/>
      <c r="D37" s="8">
        <v>177.96</v>
      </c>
      <c r="E37" s="3"/>
      <c r="F37" s="7">
        <f t="shared" si="0"/>
        <v>0</v>
      </c>
      <c r="G37" s="3"/>
      <c r="H37" s="8">
        <v>492.91</v>
      </c>
      <c r="I37" s="3"/>
      <c r="J37" s="7">
        <f t="shared" si="1"/>
        <v>0</v>
      </c>
      <c r="K37" s="3"/>
      <c r="L37" s="8">
        <f t="shared" si="2"/>
        <v>-314.95000000000005</v>
      </c>
      <c r="M37" s="3"/>
      <c r="N37" s="7">
        <f t="shared" si="3"/>
        <v>-0.63896045931305923</v>
      </c>
      <c r="O37" s="12"/>
      <c r="P37" s="8">
        <v>2118.23</v>
      </c>
      <c r="Q37" s="3"/>
      <c r="R37" s="7">
        <f t="shared" si="4"/>
        <v>0</v>
      </c>
      <c r="S37" s="3"/>
      <c r="T37" s="8">
        <v>4373.3100000000004</v>
      </c>
      <c r="U37" s="3"/>
      <c r="V37" s="7">
        <f t="shared" si="5"/>
        <v>0</v>
      </c>
      <c r="W37" s="3"/>
      <c r="X37" s="8">
        <f t="shared" si="6"/>
        <v>-2255.0800000000004</v>
      </c>
      <c r="Y37" s="3"/>
      <c r="Z37" s="7">
        <f t="shared" si="7"/>
        <v>-0.51564604384322177</v>
      </c>
    </row>
    <row r="38" spans="1:26" s="68" customFormat="1" ht="15" customHeight="1" outlineLevel="1" collapsed="1" x14ac:dyDescent="0.3">
      <c r="A38" s="25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7280.08</v>
      </c>
      <c r="E38" s="2"/>
      <c r="F38" s="6">
        <f t="shared" si="0"/>
        <v>0</v>
      </c>
      <c r="G38" s="2"/>
      <c r="H38" s="2">
        <f>SUM(OSRRefH22_4x_0)</f>
        <v>6779.8600000000006</v>
      </c>
      <c r="I38" s="2"/>
      <c r="J38" s="6">
        <f t="shared" si="1"/>
        <v>0</v>
      </c>
      <c r="K38" s="2"/>
      <c r="L38" s="2">
        <f t="shared" si="2"/>
        <v>500.21999999999935</v>
      </c>
      <c r="M38" s="2"/>
      <c r="N38" s="6">
        <f t="shared" si="3"/>
        <v>7.3780284548648392E-2</v>
      </c>
      <c r="O38" s="14"/>
      <c r="P38" s="2">
        <f>SUM(OSRRefP22_4x_0)</f>
        <v>54689.05</v>
      </c>
      <c r="Q38" s="2"/>
      <c r="R38" s="6">
        <f t="shared" si="4"/>
        <v>0</v>
      </c>
      <c r="S38" s="2"/>
      <c r="T38" s="2">
        <f>SUM(OSRRefT22_4x_0)</f>
        <v>68582.790000000008</v>
      </c>
      <c r="U38" s="2"/>
      <c r="V38" s="6">
        <f t="shared" si="5"/>
        <v>0</v>
      </c>
      <c r="W38" s="2"/>
      <c r="X38" s="2">
        <f t="shared" si="6"/>
        <v>-13893.740000000005</v>
      </c>
      <c r="Y38" s="2"/>
      <c r="Z38" s="6">
        <f t="shared" si="7"/>
        <v>-0.20258347611696759</v>
      </c>
    </row>
    <row r="39" spans="1:26" s="69" customFormat="1" ht="15" hidden="1" customHeight="1" outlineLevel="2" x14ac:dyDescent="0.3">
      <c r="A39" s="26"/>
      <c r="B39" s="12" t="str">
        <f>CONCATENATE("          ","6321"," - ","BUILDING DEPRECIATION")</f>
        <v xml:space="preserve">          6321 - BUILDING DEPRECIATION</v>
      </c>
      <c r="C39" s="12"/>
      <c r="D39" s="8">
        <v>1822.68</v>
      </c>
      <c r="E39" s="3"/>
      <c r="F39" s="7">
        <f t="shared" si="0"/>
        <v>0</v>
      </c>
      <c r="G39" s="3"/>
      <c r="H39" s="8">
        <v>1822.68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>
        <v>18226.8</v>
      </c>
      <c r="Q39" s="3"/>
      <c r="R39" s="7">
        <f t="shared" si="4"/>
        <v>0</v>
      </c>
      <c r="S39" s="3"/>
      <c r="T39" s="8">
        <v>19010.990000000002</v>
      </c>
      <c r="U39" s="3"/>
      <c r="V39" s="7">
        <f t="shared" si="5"/>
        <v>0</v>
      </c>
      <c r="W39" s="3"/>
      <c r="X39" s="8">
        <f t="shared" si="6"/>
        <v>-784.19000000000233</v>
      </c>
      <c r="Y39" s="3"/>
      <c r="Z39" s="7">
        <f t="shared" si="7"/>
        <v>-4.124929843211754E-2</v>
      </c>
    </row>
    <row r="40" spans="1:26" s="69" customFormat="1" ht="15" hidden="1" customHeight="1" outlineLevel="2" x14ac:dyDescent="0.3">
      <c r="A40" s="26"/>
      <c r="B40" s="12" t="str">
        <f>CONCATENATE("          ","6322"," - ","EQUIPMENT DEPRECIATION EXPENSE")</f>
        <v xml:space="preserve">          6322 - EQUIPMENT DEPRECIATION EXPENSE</v>
      </c>
      <c r="C40" s="12"/>
      <c r="D40" s="8">
        <v>5457.4</v>
      </c>
      <c r="E40" s="3"/>
      <c r="F40" s="7">
        <f t="shared" si="0"/>
        <v>0</v>
      </c>
      <c r="G40" s="3"/>
      <c r="H40" s="8">
        <v>4957.18</v>
      </c>
      <c r="I40" s="3"/>
      <c r="J40" s="7">
        <f t="shared" si="1"/>
        <v>0</v>
      </c>
      <c r="K40" s="3"/>
      <c r="L40" s="8">
        <f t="shared" si="2"/>
        <v>500.21999999999935</v>
      </c>
      <c r="M40" s="3"/>
      <c r="N40" s="7">
        <f t="shared" si="3"/>
        <v>0.10090817763325102</v>
      </c>
      <c r="O40" s="12"/>
      <c r="P40" s="8">
        <v>36462.25</v>
      </c>
      <c r="Q40" s="3"/>
      <c r="R40" s="7">
        <f t="shared" si="4"/>
        <v>0</v>
      </c>
      <c r="S40" s="3"/>
      <c r="T40" s="8">
        <v>49571.8</v>
      </c>
      <c r="U40" s="3"/>
      <c r="V40" s="7">
        <f t="shared" si="5"/>
        <v>0</v>
      </c>
      <c r="W40" s="3"/>
      <c r="X40" s="8">
        <f t="shared" si="6"/>
        <v>-13109.550000000003</v>
      </c>
      <c r="Y40" s="3"/>
      <c r="Z40" s="7">
        <f t="shared" si="7"/>
        <v>-0.26445579946663228</v>
      </c>
    </row>
    <row r="41" spans="1:26" s="68" customFormat="1" ht="15" customHeight="1" outlineLevel="1" collapsed="1" x14ac:dyDescent="0.3">
      <c r="A41" s="25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18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18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","6277"," - ","EMPLOYEE APPRECIATION")</f>
        <v xml:space="preserve">          6277 - EMPLOYEE APPRECIATION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18</v>
      </c>
      <c r="Q42" s="3"/>
      <c r="R42" s="7">
        <f t="shared" si="4"/>
        <v>0</v>
      </c>
      <c r="S42" s="3"/>
      <c r="T42" s="8"/>
      <c r="U42" s="3"/>
      <c r="V42" s="7">
        <f t="shared" si="5"/>
        <v>0</v>
      </c>
      <c r="W42" s="3"/>
      <c r="X42" s="8">
        <f t="shared" si="6"/>
        <v>18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91.26</v>
      </c>
      <c r="E43" s="2"/>
      <c r="F43" s="6">
        <f t="shared" si="0"/>
        <v>0</v>
      </c>
      <c r="G43" s="2"/>
      <c r="H43" s="2">
        <f>SUM(OSRRefH22_6x_0)</f>
        <v>91.26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SUM(OSRRefP22_6x_0)</f>
        <v>821.34</v>
      </c>
      <c r="Q43" s="2"/>
      <c r="R43" s="6">
        <f t="shared" si="4"/>
        <v>0</v>
      </c>
      <c r="S43" s="2"/>
      <c r="T43" s="2">
        <f>SUM(OSRRefT22_6x_0)</f>
        <v>3110.75</v>
      </c>
      <c r="U43" s="2"/>
      <c r="V43" s="6">
        <f t="shared" si="5"/>
        <v>0</v>
      </c>
      <c r="W43" s="2"/>
      <c r="X43" s="2">
        <f t="shared" si="6"/>
        <v>-2289.41</v>
      </c>
      <c r="Y43" s="2"/>
      <c r="Z43" s="6">
        <f t="shared" si="7"/>
        <v>-0.73596721047978775</v>
      </c>
    </row>
    <row r="44" spans="1:26" s="69" customFormat="1" ht="15" hidden="1" customHeight="1" outlineLevel="2" x14ac:dyDescent="0.3">
      <c r="A44" s="26"/>
      <c r="B44" s="12" t="str">
        <f>CONCATENATE("          ","6351"," - ","EQUIPMENT RENTAL")</f>
        <v xml:space="preserve">          6351 - EQUIPMENT RENTAL</v>
      </c>
      <c r="C44" s="12"/>
      <c r="D44" s="8">
        <v>91.26</v>
      </c>
      <c r="E44" s="3"/>
      <c r="F44" s="7">
        <f t="shared" si="0"/>
        <v>0</v>
      </c>
      <c r="G44" s="3"/>
      <c r="H44" s="8">
        <v>91.26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821.34</v>
      </c>
      <c r="Q44" s="3"/>
      <c r="R44" s="7">
        <f t="shared" si="4"/>
        <v>0</v>
      </c>
      <c r="S44" s="3"/>
      <c r="T44" s="8">
        <v>3110.75</v>
      </c>
      <c r="U44" s="3"/>
      <c r="V44" s="7">
        <f t="shared" si="5"/>
        <v>0</v>
      </c>
      <c r="W44" s="3"/>
      <c r="X44" s="8">
        <f t="shared" si="6"/>
        <v>-2289.41</v>
      </c>
      <c r="Y44" s="3"/>
      <c r="Z44" s="7">
        <f t="shared" si="7"/>
        <v>-0.73596721047978775</v>
      </c>
    </row>
    <row r="45" spans="1:26" s="68" customFormat="1" ht="15" customHeight="1" outlineLevel="1" collapsed="1" x14ac:dyDescent="0.3">
      <c r="A45" s="25"/>
      <c r="B45" s="14" t="str">
        <f>CONCATENATE("     ","Freight out/Postage                               ")</f>
        <v xml:space="preserve">     Freight out/Postage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2.96</v>
      </c>
      <c r="I45" s="2"/>
      <c r="J45" s="6">
        <f t="shared" si="1"/>
        <v>0</v>
      </c>
      <c r="K45" s="2"/>
      <c r="L45" s="2">
        <f t="shared" si="2"/>
        <v>-2.96</v>
      </c>
      <c r="M45" s="2"/>
      <c r="N45" s="6">
        <f t="shared" si="3"/>
        <v>-1</v>
      </c>
      <c r="O45" s="14"/>
      <c r="P45" s="2">
        <f>SUM(OSRRefP22_7x_0)</f>
        <v>0</v>
      </c>
      <c r="Q45" s="2"/>
      <c r="R45" s="6">
        <f t="shared" si="4"/>
        <v>0</v>
      </c>
      <c r="S45" s="2"/>
      <c r="T45" s="2">
        <f>SUM(OSRRefT22_7x_0)</f>
        <v>-2.4500000000000002</v>
      </c>
      <c r="U45" s="2"/>
      <c r="V45" s="6">
        <f t="shared" si="5"/>
        <v>0</v>
      </c>
      <c r="W45" s="2"/>
      <c r="X45" s="2">
        <f t="shared" si="6"/>
        <v>2.4500000000000002</v>
      </c>
      <c r="Y45" s="2"/>
      <c r="Z45" s="6">
        <f t="shared" si="7"/>
        <v>-1</v>
      </c>
    </row>
    <row r="46" spans="1:26" s="69" customFormat="1" ht="15" hidden="1" customHeight="1" outlineLevel="2" x14ac:dyDescent="0.3">
      <c r="A46" s="26"/>
      <c r="B46" s="12" t="str">
        <f>CONCATENATE("          ","6307"," - ","POSTAGE")</f>
        <v xml:space="preserve">          6307 - POSTAGE</v>
      </c>
      <c r="C46" s="12"/>
      <c r="D46" s="8"/>
      <c r="E46" s="3"/>
      <c r="F46" s="7">
        <f t="shared" si="0"/>
        <v>0</v>
      </c>
      <c r="G46" s="3"/>
      <c r="H46" s="8">
        <v>2.96</v>
      </c>
      <c r="I46" s="3"/>
      <c r="J46" s="7">
        <f t="shared" si="1"/>
        <v>0</v>
      </c>
      <c r="K46" s="3"/>
      <c r="L46" s="8">
        <f t="shared" si="2"/>
        <v>-2.96</v>
      </c>
      <c r="M46" s="3"/>
      <c r="N46" s="7">
        <f t="shared" si="3"/>
        <v>-1</v>
      </c>
      <c r="O46" s="12"/>
      <c r="P46" s="8"/>
      <c r="Q46" s="3"/>
      <c r="R46" s="7">
        <f t="shared" si="4"/>
        <v>0</v>
      </c>
      <c r="S46" s="3"/>
      <c r="T46" s="8">
        <v>-2.4500000000000002</v>
      </c>
      <c r="U46" s="3"/>
      <c r="V46" s="7">
        <f t="shared" si="5"/>
        <v>0</v>
      </c>
      <c r="W46" s="3"/>
      <c r="X46" s="8">
        <f t="shared" si="6"/>
        <v>2.4500000000000002</v>
      </c>
      <c r="Y46" s="3"/>
      <c r="Z46" s="7">
        <f t="shared" si="7"/>
        <v>-1</v>
      </c>
    </row>
    <row r="47" spans="1:26" s="68" customFormat="1" ht="15" customHeight="1" outlineLevel="1" collapsed="1" x14ac:dyDescent="0.3">
      <c r="A47" s="25"/>
      <c r="B47" s="14" t="str">
        <f>CONCATENATE("     ","General                                           ")</f>
        <v xml:space="preserve">     General                                           </v>
      </c>
      <c r="C47" s="14"/>
      <c r="D47" s="2">
        <f>SUM(OSRRefD22_8x_0)</f>
        <v>215</v>
      </c>
      <c r="E47" s="2"/>
      <c r="F47" s="6">
        <f t="shared" si="0"/>
        <v>0</v>
      </c>
      <c r="G47" s="2"/>
      <c r="H47" s="2">
        <f>SUM(OSRRefH22_8x_0)</f>
        <v>205</v>
      </c>
      <c r="I47" s="2"/>
      <c r="J47" s="6">
        <f t="shared" si="1"/>
        <v>0</v>
      </c>
      <c r="K47" s="2"/>
      <c r="L47" s="2">
        <f t="shared" si="2"/>
        <v>10</v>
      </c>
      <c r="M47" s="2"/>
      <c r="N47" s="6">
        <f t="shared" si="3"/>
        <v>4.878048780487805E-2</v>
      </c>
      <c r="O47" s="14"/>
      <c r="P47" s="2">
        <f>SUM(OSRRefP22_8x_0)</f>
        <v>337.51</v>
      </c>
      <c r="Q47" s="2"/>
      <c r="R47" s="6">
        <f t="shared" si="4"/>
        <v>0</v>
      </c>
      <c r="S47" s="2"/>
      <c r="T47" s="2">
        <f>SUM(OSRRefT22_8x_0)</f>
        <v>721.41</v>
      </c>
      <c r="U47" s="2"/>
      <c r="V47" s="6">
        <f t="shared" si="5"/>
        <v>0</v>
      </c>
      <c r="W47" s="2"/>
      <c r="X47" s="2">
        <f t="shared" si="6"/>
        <v>-383.9</v>
      </c>
      <c r="Y47" s="2"/>
      <c r="Z47" s="6">
        <f t="shared" si="7"/>
        <v>-0.53215231283181541</v>
      </c>
    </row>
    <row r="48" spans="1:26" s="69" customFormat="1" ht="15" hidden="1" customHeight="1" outlineLevel="2" x14ac:dyDescent="0.3">
      <c r="A48" s="26"/>
      <c r="B48" s="12" t="str">
        <f>CONCATENATE("          ","6279"," - ","GENERAL EXPENSE")</f>
        <v xml:space="preserve">          6279 - GENERAL EXPENSE</v>
      </c>
      <c r="C48" s="12"/>
      <c r="D48" s="8">
        <v>215</v>
      </c>
      <c r="E48" s="3"/>
      <c r="F48" s="7">
        <f t="shared" si="0"/>
        <v>0</v>
      </c>
      <c r="G48" s="3"/>
      <c r="H48" s="8">
        <v>205</v>
      </c>
      <c r="I48" s="3"/>
      <c r="J48" s="7">
        <f t="shared" si="1"/>
        <v>0</v>
      </c>
      <c r="K48" s="3"/>
      <c r="L48" s="8">
        <f t="shared" si="2"/>
        <v>10</v>
      </c>
      <c r="M48" s="3"/>
      <c r="N48" s="7">
        <f t="shared" si="3"/>
        <v>4.878048780487805E-2</v>
      </c>
      <c r="O48" s="12"/>
      <c r="P48" s="8">
        <v>337.51</v>
      </c>
      <c r="Q48" s="3"/>
      <c r="R48" s="7">
        <f t="shared" si="4"/>
        <v>0</v>
      </c>
      <c r="S48" s="3"/>
      <c r="T48" s="8">
        <v>721.41</v>
      </c>
      <c r="U48" s="3"/>
      <c r="V48" s="7">
        <f t="shared" si="5"/>
        <v>0</v>
      </c>
      <c r="W48" s="3"/>
      <c r="X48" s="8">
        <f t="shared" si="6"/>
        <v>-383.9</v>
      </c>
      <c r="Y48" s="3"/>
      <c r="Z48" s="7">
        <f t="shared" si="7"/>
        <v>-0.53215231283181541</v>
      </c>
    </row>
    <row r="49" spans="1:26" s="68" customFormat="1" ht="15" customHeight="1" outlineLevel="1" collapsed="1" x14ac:dyDescent="0.3">
      <c r="A49" s="25"/>
      <c r="B49" s="14" t="str">
        <f>CONCATENATE("     ","Insurance                                         ")</f>
        <v xml:space="preserve">     Insurance                                         </v>
      </c>
      <c r="C49" s="14"/>
      <c r="D49" s="2">
        <f>SUM(OSRRefD22_9x_0)</f>
        <v>4884.6000000000004</v>
      </c>
      <c r="E49" s="2"/>
      <c r="F49" s="6">
        <f t="shared" si="0"/>
        <v>0</v>
      </c>
      <c r="G49" s="2"/>
      <c r="H49" s="2">
        <f>SUM(OSRRefH22_9x_0)</f>
        <v>3598.85</v>
      </c>
      <c r="I49" s="2"/>
      <c r="J49" s="6">
        <f t="shared" si="1"/>
        <v>0</v>
      </c>
      <c r="K49" s="2"/>
      <c r="L49" s="2">
        <f t="shared" si="2"/>
        <v>1285.7500000000005</v>
      </c>
      <c r="M49" s="2"/>
      <c r="N49" s="6">
        <f t="shared" si="3"/>
        <v>0.35726690470567002</v>
      </c>
      <c r="O49" s="14"/>
      <c r="P49" s="2">
        <f>SUM(OSRRefP22_9x_0)</f>
        <v>55729</v>
      </c>
      <c r="Q49" s="2"/>
      <c r="R49" s="6">
        <f t="shared" si="4"/>
        <v>0</v>
      </c>
      <c r="S49" s="2"/>
      <c r="T49" s="2">
        <f>SUM(OSRRefT22_9x_0)</f>
        <v>42100.5</v>
      </c>
      <c r="U49" s="2"/>
      <c r="V49" s="6">
        <f t="shared" si="5"/>
        <v>0</v>
      </c>
      <c r="W49" s="2"/>
      <c r="X49" s="2">
        <f t="shared" si="6"/>
        <v>13628.5</v>
      </c>
      <c r="Y49" s="2"/>
      <c r="Z49" s="6">
        <f t="shared" si="7"/>
        <v>0.32371349508913194</v>
      </c>
    </row>
    <row r="50" spans="1:26" s="69" customFormat="1" ht="15" hidden="1" customHeight="1" outlineLevel="2" x14ac:dyDescent="0.3">
      <c r="A50" s="26"/>
      <c r="B50" s="12" t="str">
        <f>CONCATENATE("          ","6314"," - ","LIABILITY INSURANCE")</f>
        <v xml:space="preserve">          6314 - LIABILITY INSURANCE</v>
      </c>
      <c r="C50" s="12"/>
      <c r="D50" s="8">
        <v>4884.6000000000004</v>
      </c>
      <c r="E50" s="3"/>
      <c r="F50" s="7">
        <f t="shared" ref="F50:F71" si="8">IF(D$12=0,0,D50/D$12)</f>
        <v>0</v>
      </c>
      <c r="G50" s="3"/>
      <c r="H50" s="8">
        <v>3598.85</v>
      </c>
      <c r="I50" s="3"/>
      <c r="J50" s="7">
        <f t="shared" ref="J50:J71" si="9">IF(H$12=0,0,H50/H$12)</f>
        <v>0</v>
      </c>
      <c r="K50" s="3"/>
      <c r="L50" s="8">
        <f t="shared" ref="L50:L71" si="10">+D50-H50</f>
        <v>1285.7500000000005</v>
      </c>
      <c r="M50" s="3"/>
      <c r="N50" s="7">
        <f t="shared" ref="N50:N71" si="11">IF(H50=0,0,L50/H50)</f>
        <v>0.35726690470567002</v>
      </c>
      <c r="O50" s="12"/>
      <c r="P50" s="8">
        <v>55729</v>
      </c>
      <c r="Q50" s="3"/>
      <c r="R50" s="7">
        <f t="shared" ref="R50:R71" si="12">IF(P$12=0,0,P50/P$12)</f>
        <v>0</v>
      </c>
      <c r="S50" s="3"/>
      <c r="T50" s="8">
        <v>42100.5</v>
      </c>
      <c r="U50" s="3"/>
      <c r="V50" s="7">
        <f t="shared" ref="V50:V71" si="13">IF(T$12=0,0,T50/T$12)</f>
        <v>0</v>
      </c>
      <c r="W50" s="3"/>
      <c r="X50" s="8">
        <f t="shared" ref="X50:X71" si="14">+P50-T50</f>
        <v>13628.5</v>
      </c>
      <c r="Y50" s="3"/>
      <c r="Z50" s="7">
        <f t="shared" ref="Z50:Z71" si="15">IF(T50=0,0,X50/T50)</f>
        <v>0.32371349508913194</v>
      </c>
    </row>
    <row r="51" spans="1:26" s="68" customFormat="1" ht="15" customHeight="1" outlineLevel="1" collapsed="1" x14ac:dyDescent="0.3">
      <c r="A51" s="25"/>
      <c r="B51" s="14" t="str">
        <f>CONCATENATE("     ","Repair and Maintenance                            ")</f>
        <v xml:space="preserve">     Repair and Maintenance                            </v>
      </c>
      <c r="C51" s="14"/>
      <c r="D51" s="2">
        <f>SUM(OSRRefD22_10x_0)</f>
        <v>10146.61</v>
      </c>
      <c r="E51" s="2"/>
      <c r="F51" s="6">
        <f t="shared" si="8"/>
        <v>0</v>
      </c>
      <c r="G51" s="2"/>
      <c r="H51" s="2">
        <f>SUM(OSRRefH22_10x_0)</f>
        <v>72</v>
      </c>
      <c r="I51" s="2"/>
      <c r="J51" s="6">
        <f t="shared" si="9"/>
        <v>0</v>
      </c>
      <c r="K51" s="2"/>
      <c r="L51" s="2">
        <f t="shared" si="10"/>
        <v>10074.61</v>
      </c>
      <c r="M51" s="2"/>
      <c r="N51" s="6">
        <f t="shared" si="11"/>
        <v>139.92513888888891</v>
      </c>
      <c r="O51" s="14"/>
      <c r="P51" s="2">
        <f>SUM(OSRRefP22_10x_0)</f>
        <v>35318</v>
      </c>
      <c r="Q51" s="2"/>
      <c r="R51" s="6">
        <f t="shared" si="12"/>
        <v>0</v>
      </c>
      <c r="S51" s="2"/>
      <c r="T51" s="2">
        <f>SUM(OSRRefT22_10x_0)</f>
        <v>8313.84</v>
      </c>
      <c r="U51" s="2"/>
      <c r="V51" s="6">
        <f t="shared" si="13"/>
        <v>0</v>
      </c>
      <c r="W51" s="2"/>
      <c r="X51" s="2">
        <f t="shared" si="14"/>
        <v>27004.16</v>
      </c>
      <c r="Y51" s="2"/>
      <c r="Z51" s="6">
        <f t="shared" si="15"/>
        <v>3.2480971488505914</v>
      </c>
    </row>
    <row r="52" spans="1:26" s="69" customFormat="1" ht="15" hidden="1" customHeight="1" outlineLevel="2" x14ac:dyDescent="0.3">
      <c r="A52" s="26"/>
      <c r="B52" s="12" t="str">
        <f>CONCATENATE("          ","6371"," - ","COMPUTER SOFTWARE MAINTENANCE")</f>
        <v xml:space="preserve">          6371 - COMPUTER SOFTWARE MAINTENANCE</v>
      </c>
      <c r="C52" s="12"/>
      <c r="D52" s="8">
        <v>8966.19</v>
      </c>
      <c r="E52" s="3"/>
      <c r="F52" s="7">
        <f t="shared" si="8"/>
        <v>0</v>
      </c>
      <c r="G52" s="3"/>
      <c r="H52" s="8"/>
      <c r="I52" s="3"/>
      <c r="J52" s="7">
        <f t="shared" si="9"/>
        <v>0</v>
      </c>
      <c r="K52" s="3"/>
      <c r="L52" s="8">
        <f t="shared" si="10"/>
        <v>8966.19</v>
      </c>
      <c r="M52" s="3"/>
      <c r="N52" s="7">
        <f t="shared" si="11"/>
        <v>0</v>
      </c>
      <c r="O52" s="12"/>
      <c r="P52" s="8">
        <v>16567.060000000001</v>
      </c>
      <c r="Q52" s="3"/>
      <c r="R52" s="7">
        <f t="shared" si="12"/>
        <v>0</v>
      </c>
      <c r="S52" s="3"/>
      <c r="T52" s="8">
        <v>702.27</v>
      </c>
      <c r="U52" s="3"/>
      <c r="V52" s="7">
        <f t="shared" si="13"/>
        <v>0</v>
      </c>
      <c r="W52" s="3"/>
      <c r="X52" s="8">
        <f t="shared" si="14"/>
        <v>15864.79</v>
      </c>
      <c r="Y52" s="3"/>
      <c r="Z52" s="7">
        <f t="shared" si="15"/>
        <v>22.590727213180116</v>
      </c>
    </row>
    <row r="53" spans="1:26" s="69" customFormat="1" ht="15" hidden="1" customHeight="1" outlineLevel="2" x14ac:dyDescent="0.3">
      <c r="A53" s="26"/>
      <c r="B53" s="12" t="str">
        <f>CONCATENATE("          ","6372"," - ","COMPUTER HARDWARE MAINTENANCE")</f>
        <v xml:space="preserve">          6372 - COMPUTER HARDWARE MAINTENANCE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/>
      <c r="Q53" s="3"/>
      <c r="R53" s="7">
        <f t="shared" si="12"/>
        <v>0</v>
      </c>
      <c r="S53" s="3"/>
      <c r="T53" s="8">
        <v>100</v>
      </c>
      <c r="U53" s="3"/>
      <c r="V53" s="7">
        <f t="shared" si="13"/>
        <v>0</v>
      </c>
      <c r="W53" s="3"/>
      <c r="X53" s="8">
        <f t="shared" si="14"/>
        <v>-100</v>
      </c>
      <c r="Y53" s="3"/>
      <c r="Z53" s="7">
        <f t="shared" si="15"/>
        <v>-1</v>
      </c>
    </row>
    <row r="54" spans="1:26" s="69" customFormat="1" ht="15" hidden="1" customHeight="1" outlineLevel="2" x14ac:dyDescent="0.3">
      <c r="A54" s="26"/>
      <c r="B54" s="12" t="str">
        <f>CONCATENATE("          ","6373"," - ","MAINTENANCE CONTRACTS")</f>
        <v xml:space="preserve">          6373 - MAINTENANCE CONTRACTS</v>
      </c>
      <c r="C54" s="12"/>
      <c r="D54" s="8">
        <v>0.73</v>
      </c>
      <c r="E54" s="3"/>
      <c r="F54" s="7">
        <f t="shared" si="8"/>
        <v>0</v>
      </c>
      <c r="G54" s="3"/>
      <c r="H54" s="8"/>
      <c r="I54" s="3"/>
      <c r="J54" s="7">
        <f t="shared" si="9"/>
        <v>0</v>
      </c>
      <c r="K54" s="3"/>
      <c r="L54" s="8">
        <f t="shared" si="10"/>
        <v>0.73</v>
      </c>
      <c r="M54" s="3"/>
      <c r="N54" s="7">
        <f t="shared" si="11"/>
        <v>0</v>
      </c>
      <c r="O54" s="12"/>
      <c r="P54" s="8">
        <v>7717</v>
      </c>
      <c r="Q54" s="3"/>
      <c r="R54" s="7">
        <f t="shared" si="12"/>
        <v>0</v>
      </c>
      <c r="S54" s="3"/>
      <c r="T54" s="8">
        <v>2215.61</v>
      </c>
      <c r="U54" s="3"/>
      <c r="V54" s="7">
        <f t="shared" si="13"/>
        <v>0</v>
      </c>
      <c r="W54" s="3"/>
      <c r="X54" s="8">
        <f t="shared" si="14"/>
        <v>5501.3899999999994</v>
      </c>
      <c r="Y54" s="3"/>
      <c r="Z54" s="7">
        <f t="shared" si="15"/>
        <v>2.483013707286029</v>
      </c>
    </row>
    <row r="55" spans="1:26" s="69" customFormat="1" ht="15" hidden="1" customHeight="1" outlineLevel="2" x14ac:dyDescent="0.3">
      <c r="A55" s="26"/>
      <c r="B55" s="12" t="str">
        <f>CONCATENATE("          ","6375"," - ","OUTSIDE REPAIRS &amp; MAINTENANCE")</f>
        <v xml:space="preserve">          6375 - OUTSIDE REPAIRS &amp; MAINTENANCE</v>
      </c>
      <c r="C55" s="12"/>
      <c r="D55" s="8">
        <v>1179.69</v>
      </c>
      <c r="E55" s="3"/>
      <c r="F55" s="7">
        <f t="shared" si="8"/>
        <v>0</v>
      </c>
      <c r="G55" s="3"/>
      <c r="H55" s="8">
        <v>72</v>
      </c>
      <c r="I55" s="3"/>
      <c r="J55" s="7">
        <f t="shared" si="9"/>
        <v>0</v>
      </c>
      <c r="K55" s="3"/>
      <c r="L55" s="8">
        <f t="shared" si="10"/>
        <v>1107.69</v>
      </c>
      <c r="M55" s="3"/>
      <c r="N55" s="7">
        <f t="shared" si="11"/>
        <v>15.384583333333333</v>
      </c>
      <c r="O55" s="12"/>
      <c r="P55" s="8">
        <v>11033.94</v>
      </c>
      <c r="Q55" s="3"/>
      <c r="R55" s="7">
        <f t="shared" si="12"/>
        <v>0</v>
      </c>
      <c r="S55" s="3"/>
      <c r="T55" s="8">
        <v>5295.96</v>
      </c>
      <c r="U55" s="3"/>
      <c r="V55" s="7">
        <f t="shared" si="13"/>
        <v>0</v>
      </c>
      <c r="W55" s="3"/>
      <c r="X55" s="8">
        <f t="shared" si="14"/>
        <v>5737.9800000000005</v>
      </c>
      <c r="Y55" s="3"/>
      <c r="Z55" s="7">
        <f t="shared" si="15"/>
        <v>1.0834636213264452</v>
      </c>
    </row>
    <row r="56" spans="1:26" s="68" customFormat="1" ht="15" customHeight="1" outlineLevel="1" collapsed="1" x14ac:dyDescent="0.3">
      <c r="A56" s="25"/>
      <c r="B56" s="14" t="str">
        <f>CONCATENATE("     ","Services                                          ")</f>
        <v xml:space="preserve">     Services                                          </v>
      </c>
      <c r="C56" s="14"/>
      <c r="D56" s="2">
        <f>SUM(OSRRefD22_11x_0)</f>
        <v>670.1</v>
      </c>
      <c r="E56" s="2"/>
      <c r="F56" s="6">
        <f t="shared" si="8"/>
        <v>0</v>
      </c>
      <c r="G56" s="2"/>
      <c r="H56" s="2">
        <f>SUM(OSRRefH22_11x_0)</f>
        <v>4924.1000000000004</v>
      </c>
      <c r="I56" s="2"/>
      <c r="J56" s="6">
        <f t="shared" si="9"/>
        <v>0</v>
      </c>
      <c r="K56" s="2"/>
      <c r="L56" s="2">
        <f t="shared" si="10"/>
        <v>-4254</v>
      </c>
      <c r="M56" s="2"/>
      <c r="N56" s="6">
        <f t="shared" si="11"/>
        <v>-0.86391421782660782</v>
      </c>
      <c r="O56" s="14"/>
      <c r="P56" s="2">
        <f>SUM(OSRRefP22_11x_0)</f>
        <v>10375.32</v>
      </c>
      <c r="Q56" s="2"/>
      <c r="R56" s="6">
        <f t="shared" si="12"/>
        <v>0</v>
      </c>
      <c r="S56" s="2"/>
      <c r="T56" s="2">
        <f>SUM(OSRRefT22_11x_0)</f>
        <v>27052.18</v>
      </c>
      <c r="U56" s="2"/>
      <c r="V56" s="6">
        <f t="shared" si="13"/>
        <v>0</v>
      </c>
      <c r="W56" s="2"/>
      <c r="X56" s="2">
        <f t="shared" si="14"/>
        <v>-16676.86</v>
      </c>
      <c r="Y56" s="2"/>
      <c r="Z56" s="6">
        <f t="shared" si="15"/>
        <v>-0.61647009594051205</v>
      </c>
    </row>
    <row r="57" spans="1:26" s="69" customFormat="1" ht="15" hidden="1" customHeight="1" outlineLevel="2" x14ac:dyDescent="0.3">
      <c r="A57" s="26"/>
      <c r="B57" s="12" t="str">
        <f>CONCATENATE("          ","6282"," - ","JANITORIAL/EXTERMINATOR EXPENS")</f>
        <v xml:space="preserve">          6282 - JANITORIAL/EXTERMINATOR EXPENS</v>
      </c>
      <c r="C57" s="12"/>
      <c r="D57" s="8">
        <v>670.1</v>
      </c>
      <c r="E57" s="3"/>
      <c r="F57" s="7">
        <f t="shared" si="8"/>
        <v>0</v>
      </c>
      <c r="G57" s="3"/>
      <c r="H57" s="8">
        <v>670.1</v>
      </c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>
        <v>6701</v>
      </c>
      <c r="Q57" s="3"/>
      <c r="R57" s="7">
        <f t="shared" si="12"/>
        <v>0</v>
      </c>
      <c r="S57" s="3"/>
      <c r="T57" s="8">
        <v>5680.18</v>
      </c>
      <c r="U57" s="3"/>
      <c r="V57" s="7">
        <f t="shared" si="13"/>
        <v>0</v>
      </c>
      <c r="W57" s="3"/>
      <c r="X57" s="8">
        <f t="shared" si="14"/>
        <v>1020.8199999999997</v>
      </c>
      <c r="Y57" s="3"/>
      <c r="Z57" s="7">
        <f t="shared" si="15"/>
        <v>0.17971613575626119</v>
      </c>
    </row>
    <row r="58" spans="1:26" s="69" customFormat="1" ht="15" hidden="1" customHeight="1" outlineLevel="2" x14ac:dyDescent="0.3">
      <c r="A58" s="26"/>
      <c r="B58" s="12" t="str">
        <f>CONCATENATE("          ","6284"," - ","TRASH REMOVAL EXPENSE")</f>
        <v xml:space="preserve">          6284 - TRASH REMOVAL EXPENSE</v>
      </c>
      <c r="C58" s="12"/>
      <c r="D58" s="8"/>
      <c r="E58" s="3"/>
      <c r="F58" s="7">
        <f t="shared" si="8"/>
        <v>0</v>
      </c>
      <c r="G58" s="3"/>
      <c r="H58" s="8">
        <v>4254</v>
      </c>
      <c r="I58" s="3"/>
      <c r="J58" s="7">
        <f t="shared" si="9"/>
        <v>0</v>
      </c>
      <c r="K58" s="3"/>
      <c r="L58" s="8">
        <f t="shared" si="10"/>
        <v>-4254</v>
      </c>
      <c r="M58" s="3"/>
      <c r="N58" s="7">
        <f t="shared" si="11"/>
        <v>-1</v>
      </c>
      <c r="O58" s="12"/>
      <c r="P58" s="8"/>
      <c r="Q58" s="3"/>
      <c r="R58" s="7">
        <f t="shared" si="12"/>
        <v>0</v>
      </c>
      <c r="S58" s="3"/>
      <c r="T58" s="8">
        <v>21372</v>
      </c>
      <c r="U58" s="3"/>
      <c r="V58" s="7">
        <f t="shared" si="13"/>
        <v>0</v>
      </c>
      <c r="W58" s="3"/>
      <c r="X58" s="8">
        <f t="shared" si="14"/>
        <v>-21372</v>
      </c>
      <c r="Y58" s="3"/>
      <c r="Z58" s="7">
        <f t="shared" si="15"/>
        <v>-1</v>
      </c>
    </row>
    <row r="59" spans="1:26" s="69" customFormat="1" ht="15" hidden="1" customHeight="1" outlineLevel="2" x14ac:dyDescent="0.3">
      <c r="A59" s="26"/>
      <c r="B59" s="12" t="str">
        <f>CONCATENATE("          ","6285"," - ","JANITORIAL SERVICES")</f>
        <v xml:space="preserve">          6285 - JANITORIAL SERVICES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3674.32</v>
      </c>
      <c r="Q59" s="3"/>
      <c r="R59" s="7">
        <f t="shared" si="12"/>
        <v>0</v>
      </c>
      <c r="S59" s="3"/>
      <c r="T59" s="8"/>
      <c r="U59" s="3"/>
      <c r="V59" s="7">
        <f t="shared" si="13"/>
        <v>0</v>
      </c>
      <c r="W59" s="3"/>
      <c r="X59" s="8">
        <f t="shared" si="14"/>
        <v>3674.32</v>
      </c>
      <c r="Y59" s="3"/>
      <c r="Z59" s="7">
        <f t="shared" si="15"/>
        <v>0</v>
      </c>
    </row>
    <row r="60" spans="1:26" s="68" customFormat="1" ht="15" customHeight="1" outlineLevel="1" collapsed="1" x14ac:dyDescent="0.3">
      <c r="A60" s="2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2">
        <f>SUM(OSRRefD22_12x_0)</f>
        <v>0</v>
      </c>
      <c r="E60" s="2"/>
      <c r="F60" s="6">
        <f t="shared" si="8"/>
        <v>0</v>
      </c>
      <c r="G60" s="2"/>
      <c r="H60" s="2">
        <f>SUM(OSRRefH22_12x_0)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SUM(OSRRefP22_12x_0)</f>
        <v>119.2</v>
      </c>
      <c r="Q60" s="2"/>
      <c r="R60" s="6">
        <f t="shared" si="12"/>
        <v>0</v>
      </c>
      <c r="S60" s="2"/>
      <c r="T60" s="2">
        <f>SUM(OSRRefT22_12x_0)</f>
        <v>119.07</v>
      </c>
      <c r="U60" s="2"/>
      <c r="V60" s="6">
        <f t="shared" si="13"/>
        <v>0</v>
      </c>
      <c r="W60" s="2"/>
      <c r="X60" s="2">
        <f t="shared" si="14"/>
        <v>0.13000000000000966</v>
      </c>
      <c r="Y60" s="2"/>
      <c r="Z60" s="6">
        <f t="shared" si="15"/>
        <v>1.0917947425884745E-3</v>
      </c>
    </row>
    <row r="61" spans="1:26" s="69" customFormat="1" ht="15" hidden="1" customHeight="1" outlineLevel="2" x14ac:dyDescent="0.3">
      <c r="A61" s="26"/>
      <c r="B61" s="12" t="str">
        <f>CONCATENATE("          ","6275"," - ","SUBSCRIPTIONS")</f>
        <v xml:space="preserve">          6275 - SUBSCRIPTIONS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119.2</v>
      </c>
      <c r="Q61" s="3"/>
      <c r="R61" s="7">
        <f t="shared" si="12"/>
        <v>0</v>
      </c>
      <c r="S61" s="3"/>
      <c r="T61" s="8">
        <v>119.07</v>
      </c>
      <c r="U61" s="3"/>
      <c r="V61" s="7">
        <f t="shared" si="13"/>
        <v>0</v>
      </c>
      <c r="W61" s="3"/>
      <c r="X61" s="8">
        <f t="shared" si="14"/>
        <v>0.13000000000000966</v>
      </c>
      <c r="Y61" s="3"/>
      <c r="Z61" s="7">
        <f t="shared" si="15"/>
        <v>1.0917947425884745E-3</v>
      </c>
    </row>
    <row r="62" spans="1:26" s="68" customFormat="1" ht="15" customHeight="1" outlineLevel="1" collapsed="1" x14ac:dyDescent="0.3">
      <c r="A62" s="25"/>
      <c r="B62" s="14" t="str">
        <f>CONCATENATE("     ","Supplies                                          ")</f>
        <v xml:space="preserve">     Supplies                                          </v>
      </c>
      <c r="C62" s="14"/>
      <c r="D62" s="2">
        <f>SUM(OSRRefD22_13x_0)</f>
        <v>8.82</v>
      </c>
      <c r="E62" s="2"/>
      <c r="F62" s="6">
        <f t="shared" si="8"/>
        <v>0</v>
      </c>
      <c r="G62" s="2"/>
      <c r="H62" s="2">
        <f>SUM(OSRRefH22_13x_0)</f>
        <v>0</v>
      </c>
      <c r="I62" s="2"/>
      <c r="J62" s="6">
        <f t="shared" si="9"/>
        <v>0</v>
      </c>
      <c r="K62" s="2"/>
      <c r="L62" s="2">
        <f t="shared" si="10"/>
        <v>8.82</v>
      </c>
      <c r="M62" s="2"/>
      <c r="N62" s="6">
        <f t="shared" si="11"/>
        <v>0</v>
      </c>
      <c r="O62" s="14"/>
      <c r="P62" s="2">
        <f>SUM(OSRRefP22_13x_0)</f>
        <v>535.64</v>
      </c>
      <c r="Q62" s="2"/>
      <c r="R62" s="6">
        <f t="shared" si="12"/>
        <v>0</v>
      </c>
      <c r="S62" s="2"/>
      <c r="T62" s="2">
        <f>SUM(OSRRefT22_13x_0)</f>
        <v>-29072.880000000001</v>
      </c>
      <c r="U62" s="2"/>
      <c r="V62" s="6">
        <f t="shared" si="13"/>
        <v>0</v>
      </c>
      <c r="W62" s="2"/>
      <c r="X62" s="2">
        <f t="shared" si="14"/>
        <v>29608.52</v>
      </c>
      <c r="Y62" s="2"/>
      <c r="Z62" s="6">
        <f t="shared" si="15"/>
        <v>-1.0184240433008356</v>
      </c>
    </row>
    <row r="63" spans="1:26" s="69" customFormat="1" ht="15" hidden="1" customHeight="1" outlineLevel="2" x14ac:dyDescent="0.3">
      <c r="A63" s="26"/>
      <c r="B63" s="12" t="str">
        <f>CONCATENATE("          ","6235"," - ","COVID-19 EXPENSES")</f>
        <v xml:space="preserve">          6235 - COVID-19 EXPENSES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318.42</v>
      </c>
      <c r="Q63" s="3"/>
      <c r="R63" s="7">
        <f t="shared" si="12"/>
        <v>0</v>
      </c>
      <c r="S63" s="3"/>
      <c r="T63" s="8">
        <v>127.89</v>
      </c>
      <c r="U63" s="3"/>
      <c r="V63" s="7">
        <f t="shared" si="13"/>
        <v>0</v>
      </c>
      <c r="W63" s="3"/>
      <c r="X63" s="8">
        <f t="shared" si="14"/>
        <v>190.53000000000003</v>
      </c>
      <c r="Y63" s="3"/>
      <c r="Z63" s="7">
        <f t="shared" si="15"/>
        <v>1.4897959183673473</v>
      </c>
    </row>
    <row r="64" spans="1:26" s="69" customFormat="1" ht="15" hidden="1" customHeight="1" outlineLevel="2" x14ac:dyDescent="0.3">
      <c r="A64" s="26"/>
      <c r="B64" s="12" t="str">
        <f>CONCATENATE("          ","6241"," - ","OFFICE EXPENSE")</f>
        <v xml:space="preserve">          6241 - OFFICE EXPENSE</v>
      </c>
      <c r="C64" s="12"/>
      <c r="D64" s="8">
        <v>8.82</v>
      </c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8.82</v>
      </c>
      <c r="M64" s="3"/>
      <c r="N64" s="7">
        <f t="shared" si="11"/>
        <v>0</v>
      </c>
      <c r="O64" s="12"/>
      <c r="P64" s="8">
        <v>217.22</v>
      </c>
      <c r="Q64" s="3"/>
      <c r="R64" s="7">
        <f t="shared" si="12"/>
        <v>0</v>
      </c>
      <c r="S64" s="3"/>
      <c r="T64" s="8">
        <v>-29200.77</v>
      </c>
      <c r="U64" s="3"/>
      <c r="V64" s="7">
        <f t="shared" si="13"/>
        <v>0</v>
      </c>
      <c r="W64" s="3"/>
      <c r="X64" s="8">
        <f t="shared" si="14"/>
        <v>29417.99</v>
      </c>
      <c r="Y64" s="3"/>
      <c r="Z64" s="7">
        <f t="shared" si="15"/>
        <v>-1.0074388449345686</v>
      </c>
    </row>
    <row r="65" spans="1:26" s="68" customFormat="1" ht="15" customHeight="1" outlineLevel="1" collapsed="1" x14ac:dyDescent="0.3">
      <c r="A65" s="25"/>
      <c r="B65" s="14" t="str">
        <f>CONCATENATE("     ","Telephone/Data Lines                              ")</f>
        <v xml:space="preserve">     Telephone/Data Lines                              </v>
      </c>
      <c r="C65" s="14"/>
      <c r="D65" s="2">
        <f>SUM(OSRRefD22_14x_0)</f>
        <v>340.2</v>
      </c>
      <c r="E65" s="2"/>
      <c r="F65" s="6">
        <f t="shared" si="8"/>
        <v>0</v>
      </c>
      <c r="G65" s="2"/>
      <c r="H65" s="2">
        <f>SUM(OSRRefH22_14x_0)</f>
        <v>94.6</v>
      </c>
      <c r="I65" s="2"/>
      <c r="J65" s="6">
        <f t="shared" si="9"/>
        <v>0</v>
      </c>
      <c r="K65" s="2"/>
      <c r="L65" s="2">
        <f t="shared" si="10"/>
        <v>245.6</v>
      </c>
      <c r="M65" s="2"/>
      <c r="N65" s="6">
        <f t="shared" si="11"/>
        <v>2.5961945031712474</v>
      </c>
      <c r="O65" s="14"/>
      <c r="P65" s="2">
        <f>SUM(OSRRefP22_14x_0)</f>
        <v>2066.41</v>
      </c>
      <c r="Q65" s="2"/>
      <c r="R65" s="6">
        <f t="shared" si="12"/>
        <v>0</v>
      </c>
      <c r="S65" s="2"/>
      <c r="T65" s="2">
        <f>SUM(OSRRefT22_14x_0)</f>
        <v>1763.23</v>
      </c>
      <c r="U65" s="2"/>
      <c r="V65" s="6">
        <f t="shared" si="13"/>
        <v>0</v>
      </c>
      <c r="W65" s="2"/>
      <c r="X65" s="2">
        <f t="shared" si="14"/>
        <v>303.17999999999984</v>
      </c>
      <c r="Y65" s="2"/>
      <c r="Z65" s="6">
        <f t="shared" si="15"/>
        <v>0.1719458040074181</v>
      </c>
    </row>
    <row r="66" spans="1:26" s="69" customFormat="1" ht="15" hidden="1" customHeight="1" outlineLevel="2" x14ac:dyDescent="0.3">
      <c r="A66" s="26"/>
      <c r="B66" s="12" t="str">
        <f>CONCATENATE("          ","6309"," - ","TELEPHONE")</f>
        <v xml:space="preserve">          6309 - TELEPHONE</v>
      </c>
      <c r="C66" s="12"/>
      <c r="D66" s="8">
        <v>340.2</v>
      </c>
      <c r="E66" s="3"/>
      <c r="F66" s="7">
        <f t="shared" si="8"/>
        <v>0</v>
      </c>
      <c r="G66" s="3"/>
      <c r="H66" s="8">
        <v>94.6</v>
      </c>
      <c r="I66" s="3"/>
      <c r="J66" s="7">
        <f t="shared" si="9"/>
        <v>0</v>
      </c>
      <c r="K66" s="3"/>
      <c r="L66" s="8">
        <f t="shared" si="10"/>
        <v>245.6</v>
      </c>
      <c r="M66" s="3"/>
      <c r="N66" s="7">
        <f t="shared" si="11"/>
        <v>2.5961945031712474</v>
      </c>
      <c r="O66" s="12"/>
      <c r="P66" s="8">
        <v>2066.41</v>
      </c>
      <c r="Q66" s="3"/>
      <c r="R66" s="7">
        <f t="shared" si="12"/>
        <v>0</v>
      </c>
      <c r="S66" s="3"/>
      <c r="T66" s="8">
        <v>1763.23</v>
      </c>
      <c r="U66" s="3"/>
      <c r="V66" s="7">
        <f t="shared" si="13"/>
        <v>0</v>
      </c>
      <c r="W66" s="3"/>
      <c r="X66" s="8">
        <f t="shared" si="14"/>
        <v>303.17999999999984</v>
      </c>
      <c r="Y66" s="3"/>
      <c r="Z66" s="7">
        <f t="shared" si="15"/>
        <v>0.1719458040074181</v>
      </c>
    </row>
    <row r="67" spans="1:26" s="68" customFormat="1" ht="15" customHeight="1" outlineLevel="1" collapsed="1" x14ac:dyDescent="0.3">
      <c r="A67" s="25"/>
      <c r="B67" s="14" t="str">
        <f>CONCATENATE("     ","Travel                                            ")</f>
        <v xml:space="preserve">     Travel                                            </v>
      </c>
      <c r="C67" s="14"/>
      <c r="D67" s="2">
        <f>SUM(OSRRefD22_15x_0)</f>
        <v>0</v>
      </c>
      <c r="E67" s="2"/>
      <c r="F67" s="6">
        <f t="shared" si="8"/>
        <v>0</v>
      </c>
      <c r="G67" s="2"/>
      <c r="H67" s="2">
        <f>SUM(OSRRefH22_15x_0)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SUM(OSRRefP22_15x_0)</f>
        <v>141.24</v>
      </c>
      <c r="Q67" s="2"/>
      <c r="R67" s="6">
        <f t="shared" si="12"/>
        <v>0</v>
      </c>
      <c r="S67" s="2"/>
      <c r="T67" s="2">
        <f>SUM(OSRRefT22_15x_0)</f>
        <v>332.21</v>
      </c>
      <c r="U67" s="2"/>
      <c r="V67" s="6">
        <f t="shared" si="13"/>
        <v>0</v>
      </c>
      <c r="W67" s="2"/>
      <c r="X67" s="2">
        <f t="shared" si="14"/>
        <v>-190.96999999999997</v>
      </c>
      <c r="Y67" s="2"/>
      <c r="Z67" s="6">
        <f t="shared" si="15"/>
        <v>-0.5748472351825652</v>
      </c>
    </row>
    <row r="68" spans="1:26" s="69" customFormat="1" ht="15" hidden="1" customHeight="1" outlineLevel="2" x14ac:dyDescent="0.3">
      <c r="A68" s="26"/>
      <c r="B68" s="12" t="str">
        <f>CONCATENATE("          ","6292"," - ","TRAVEL/CONFERENCE")</f>
        <v xml:space="preserve">          6292 - TRAVEL/CONFERENCE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18.59</v>
      </c>
      <c r="Q68" s="3"/>
      <c r="R68" s="7">
        <f t="shared" si="12"/>
        <v>0</v>
      </c>
      <c r="S68" s="3"/>
      <c r="T68" s="8"/>
      <c r="U68" s="3"/>
      <c r="V68" s="7">
        <f t="shared" si="13"/>
        <v>0</v>
      </c>
      <c r="W68" s="3"/>
      <c r="X68" s="8">
        <f t="shared" si="14"/>
        <v>18.59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6"/>
      <c r="B69" s="12" t="str">
        <f>CONCATENATE("          ","6298"," - ","VEHICLE MILEAGE")</f>
        <v xml:space="preserve">          6298 - VEHICLE MILEAGE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122.65</v>
      </c>
      <c r="Q69" s="3"/>
      <c r="R69" s="7">
        <f t="shared" si="12"/>
        <v>0</v>
      </c>
      <c r="S69" s="3"/>
      <c r="T69" s="8">
        <v>332.21</v>
      </c>
      <c r="U69" s="3"/>
      <c r="V69" s="7">
        <f t="shared" si="13"/>
        <v>0</v>
      </c>
      <c r="W69" s="3"/>
      <c r="X69" s="8">
        <f t="shared" si="14"/>
        <v>-209.55999999999997</v>
      </c>
      <c r="Y69" s="3"/>
      <c r="Z69" s="7">
        <f t="shared" si="15"/>
        <v>-0.63080581559856708</v>
      </c>
    </row>
    <row r="70" spans="1:26" s="68" customFormat="1" ht="15" customHeight="1" outlineLevel="1" collapsed="1" x14ac:dyDescent="0.3">
      <c r="A70" s="25"/>
      <c r="B70" s="14" t="str">
        <f>CONCATENATE("     ","Utilities                                         ")</f>
        <v xml:space="preserve">     Utilities                                         </v>
      </c>
      <c r="C70" s="14"/>
      <c r="D70" s="2">
        <f>SUM(OSRRefD22_16x_0)</f>
        <v>5550</v>
      </c>
      <c r="E70" s="2"/>
      <c r="F70" s="6">
        <f t="shared" si="8"/>
        <v>0</v>
      </c>
      <c r="G70" s="2"/>
      <c r="H70" s="2">
        <f>SUM(OSRRefH22_16x_0)</f>
        <v>1000</v>
      </c>
      <c r="I70" s="2"/>
      <c r="J70" s="6">
        <f t="shared" si="9"/>
        <v>0</v>
      </c>
      <c r="K70" s="2"/>
      <c r="L70" s="2">
        <f t="shared" si="10"/>
        <v>4550</v>
      </c>
      <c r="M70" s="2"/>
      <c r="N70" s="6">
        <f t="shared" si="11"/>
        <v>4.55</v>
      </c>
      <c r="O70" s="14"/>
      <c r="P70" s="2">
        <f>SUM(OSRRefP22_16x_0)</f>
        <v>55500</v>
      </c>
      <c r="Q70" s="2"/>
      <c r="R70" s="6">
        <f t="shared" si="12"/>
        <v>0</v>
      </c>
      <c r="S70" s="2"/>
      <c r="T70" s="2">
        <f>SUM(OSRRefT22_16x_0)</f>
        <v>-10039</v>
      </c>
      <c r="U70" s="2"/>
      <c r="V70" s="6">
        <f t="shared" si="13"/>
        <v>0</v>
      </c>
      <c r="W70" s="2"/>
      <c r="X70" s="2">
        <f t="shared" si="14"/>
        <v>65539</v>
      </c>
      <c r="Y70" s="2"/>
      <c r="Z70" s="6">
        <f t="shared" si="15"/>
        <v>-6.5284390875585219</v>
      </c>
    </row>
    <row r="71" spans="1:26" s="69" customFormat="1" ht="15" hidden="1" customHeight="1" outlineLevel="2" x14ac:dyDescent="0.3">
      <c r="A71" s="26"/>
      <c r="B71" s="12" t="str">
        <f>CONCATENATE("          ","6274"," - ","UTILITIES")</f>
        <v xml:space="preserve">          6274 - UTILITIES</v>
      </c>
      <c r="C71" s="12"/>
      <c r="D71" s="8">
        <v>5550</v>
      </c>
      <c r="E71" s="3"/>
      <c r="F71" s="7">
        <f t="shared" si="8"/>
        <v>0</v>
      </c>
      <c r="G71" s="3"/>
      <c r="H71" s="8">
        <v>1000</v>
      </c>
      <c r="I71" s="3"/>
      <c r="J71" s="7">
        <f t="shared" si="9"/>
        <v>0</v>
      </c>
      <c r="K71" s="3"/>
      <c r="L71" s="8">
        <f t="shared" si="10"/>
        <v>4550</v>
      </c>
      <c r="M71" s="3"/>
      <c r="N71" s="7">
        <f t="shared" si="11"/>
        <v>4.55</v>
      </c>
      <c r="O71" s="12"/>
      <c r="P71" s="8">
        <v>55500</v>
      </c>
      <c r="Q71" s="3"/>
      <c r="R71" s="7">
        <f t="shared" si="12"/>
        <v>0</v>
      </c>
      <c r="S71" s="3"/>
      <c r="T71" s="8">
        <v>-10039</v>
      </c>
      <c r="U71" s="3"/>
      <c r="V71" s="7">
        <f t="shared" si="13"/>
        <v>0</v>
      </c>
      <c r="W71" s="3"/>
      <c r="X71" s="8">
        <f t="shared" si="14"/>
        <v>65539</v>
      </c>
      <c r="Y71" s="3"/>
      <c r="Z71" s="7">
        <f t="shared" si="15"/>
        <v>-6.5284390875585219</v>
      </c>
    </row>
    <row r="72" spans="1:26" s="64" customFormat="1" ht="15" customHeight="1" x14ac:dyDescent="0.3">
      <c r="A72" s="36"/>
      <c r="B72" s="36"/>
      <c r="C72" s="36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2" customFormat="1" ht="15" customHeight="1" collapsed="1" x14ac:dyDescent="0.3">
      <c r="A73" s="11"/>
      <c r="B73" s="27" t="s">
        <v>290</v>
      </c>
      <c r="C73" s="11"/>
      <c r="D73" s="5">
        <f>SUM(OSRRefD25x_0)</f>
        <v>0</v>
      </c>
      <c r="E73" s="5"/>
      <c r="F73" s="13">
        <f>IF(D$12=0,0,D73/D$12)</f>
        <v>0</v>
      </c>
      <c r="G73" s="5"/>
      <c r="H73" s="5">
        <f>SUM(OSRRefH25x_0)</f>
        <v>496.99</v>
      </c>
      <c r="I73" s="5"/>
      <c r="J73" s="13">
        <f>IF(H$12=0,0,H73/H$12)</f>
        <v>0</v>
      </c>
      <c r="K73" s="5"/>
      <c r="L73" s="5">
        <f>+D73-H73</f>
        <v>-496.99</v>
      </c>
      <c r="M73" s="5"/>
      <c r="N73" s="13">
        <f>IF(H73=0,0,L73/H73)</f>
        <v>-1</v>
      </c>
      <c r="O73" s="11"/>
      <c r="P73" s="5">
        <f>SUM(OSRRefP25x_0)</f>
        <v>34156.61</v>
      </c>
      <c r="Q73" s="5"/>
      <c r="R73" s="13">
        <f>IF(P$12=0,0,P73/P$12)</f>
        <v>0</v>
      </c>
      <c r="S73" s="5"/>
      <c r="T73" s="5">
        <f>SUM(OSRRefT25x_0)</f>
        <v>6046.4100000000008</v>
      </c>
      <c r="U73" s="5"/>
      <c r="V73" s="13">
        <f>IF(T$12=0,0,T73/T$12)</f>
        <v>0</v>
      </c>
      <c r="W73" s="5"/>
      <c r="X73" s="5">
        <f>+P73-T73</f>
        <v>28110.2</v>
      </c>
      <c r="Y73" s="5"/>
      <c r="Z73" s="13">
        <f>IF(T73=0,0,X73/T73)</f>
        <v>4.6490727555690068</v>
      </c>
    </row>
    <row r="74" spans="1:26" s="69" customFormat="1" ht="15" hidden="1" customHeight="1" outlineLevel="1" x14ac:dyDescent="0.3">
      <c r="A74" s="42"/>
      <c r="B74" s="12" t="str">
        <f>CONCATENATE("          ","9150"," - ","MISC. INCOME")</f>
        <v xml:space="preserve">          9150 - MISC. INCOME</v>
      </c>
      <c r="C74" s="12"/>
      <c r="D74" s="3">
        <f>0</f>
        <v>0</v>
      </c>
      <c r="E74" s="3"/>
      <c r="F74" s="20">
        <f>IF(D$12=0,0,D74/D$12)</f>
        <v>0</v>
      </c>
      <c r="G74" s="3"/>
      <c r="H74" s="3">
        <f>--496.99</f>
        <v>496.99</v>
      </c>
      <c r="I74" s="3"/>
      <c r="J74" s="20">
        <f>IF(H$12=0,0,H74/H$12)</f>
        <v>0</v>
      </c>
      <c r="K74" s="3"/>
      <c r="L74" s="3">
        <f>+D74-H74</f>
        <v>-496.99</v>
      </c>
      <c r="M74" s="3"/>
      <c r="N74" s="20">
        <f>IF(H74=0,0,L74/H74)</f>
        <v>-1</v>
      </c>
      <c r="O74" s="12"/>
      <c r="P74" s="3">
        <f>--34156.61</f>
        <v>34156.61</v>
      </c>
      <c r="Q74" s="3"/>
      <c r="R74" s="20">
        <f>IF(P$12=0,0,P74/P$12)</f>
        <v>0</v>
      </c>
      <c r="S74" s="3"/>
      <c r="T74" s="3">
        <f>--5230.06</f>
        <v>5230.0600000000004</v>
      </c>
      <c r="U74" s="3"/>
      <c r="V74" s="20">
        <f>IF(T$12=0,0,T74/T$12)</f>
        <v>0</v>
      </c>
      <c r="W74" s="3"/>
      <c r="X74" s="3">
        <f>+P74-T74</f>
        <v>28926.55</v>
      </c>
      <c r="Y74" s="3"/>
      <c r="Z74" s="20">
        <f>IF(T74=0,0,X74/T74)</f>
        <v>5.5308256501837452</v>
      </c>
    </row>
    <row r="75" spans="1:26" s="69" customFormat="1" ht="15" hidden="1" customHeight="1" outlineLevel="1" x14ac:dyDescent="0.3">
      <c r="A75" s="42"/>
      <c r="B75" s="12" t="str">
        <f>CONCATENATE("          ","9160"," - ","MISC. INCOME")</f>
        <v xml:space="preserve">          9160 - MISC. INCOME</v>
      </c>
      <c r="C75" s="12"/>
      <c r="D75" s="3">
        <f>0</f>
        <v>0</v>
      </c>
      <c r="E75" s="3"/>
      <c r="F75" s="20">
        <f>IF(D$12=0,0,D75/D$12)</f>
        <v>0</v>
      </c>
      <c r="G75" s="3"/>
      <c r="H75" s="3">
        <f>0</f>
        <v>0</v>
      </c>
      <c r="I75" s="3"/>
      <c r="J75" s="20">
        <f>IF(H$12=0,0,H75/H$12)</f>
        <v>0</v>
      </c>
      <c r="K75" s="3"/>
      <c r="L75" s="3">
        <f>+D75-H75</f>
        <v>0</v>
      </c>
      <c r="M75" s="3"/>
      <c r="N75" s="20">
        <f>IF(H75=0,0,L75/H75)</f>
        <v>0</v>
      </c>
      <c r="O75" s="12"/>
      <c r="P75" s="3">
        <f>0</f>
        <v>0</v>
      </c>
      <c r="Q75" s="3"/>
      <c r="R75" s="20">
        <f>IF(P$12=0,0,P75/P$12)</f>
        <v>0</v>
      </c>
      <c r="S75" s="3"/>
      <c r="T75" s="3">
        <f>--816.35</f>
        <v>816.35</v>
      </c>
      <c r="U75" s="3"/>
      <c r="V75" s="20">
        <f>IF(T$12=0,0,T75/T$12)</f>
        <v>0</v>
      </c>
      <c r="W75" s="3"/>
      <c r="X75" s="3">
        <f>+P75-T75</f>
        <v>-816.35</v>
      </c>
      <c r="Y75" s="3"/>
      <c r="Z75" s="20">
        <f>IF(T75=0,0,X75/T75)</f>
        <v>-1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2" customFormat="1" ht="15" customHeight="1" x14ac:dyDescent="0.3">
      <c r="A77" s="11"/>
      <c r="B77" s="28" t="s">
        <v>291</v>
      </c>
      <c r="C77" s="28"/>
      <c r="D77" s="21">
        <f>+D16-D18+D73</f>
        <v>-61037.41</v>
      </c>
      <c r="E77" s="15"/>
      <c r="F77" s="23">
        <f>IF(D$12=0,0,D77/D$12)</f>
        <v>0</v>
      </c>
      <c r="G77" s="15"/>
      <c r="H77" s="21">
        <f>+H16-H18+H73</f>
        <v>-37640.359999999993</v>
      </c>
      <c r="I77" s="15"/>
      <c r="J77" s="23">
        <f>IF(H$12=0,0,H77/H$12)</f>
        <v>0</v>
      </c>
      <c r="K77" s="16"/>
      <c r="L77" s="21">
        <f>+D77-H77</f>
        <v>-23397.05000000001</v>
      </c>
      <c r="M77" s="16"/>
      <c r="N77" s="23">
        <f>IF(H77=0,0,L77/H77)</f>
        <v>0.62159474564005268</v>
      </c>
      <c r="O77" s="27"/>
      <c r="P77" s="21">
        <f>+P16-P18+P73</f>
        <v>-469917.49</v>
      </c>
      <c r="Q77" s="15"/>
      <c r="R77" s="23">
        <f>IF(P$12=0,0,P77/P$12)</f>
        <v>0</v>
      </c>
      <c r="S77" s="15"/>
      <c r="T77" s="21">
        <f>+T16-T18+T73</f>
        <v>-285404.31</v>
      </c>
      <c r="U77" s="15"/>
      <c r="V77" s="23">
        <f>IF(T$12=0,0,T77/T$12)</f>
        <v>0</v>
      </c>
      <c r="W77" s="16"/>
      <c r="X77" s="21">
        <f>+P77-T77</f>
        <v>-184513.18</v>
      </c>
      <c r="Y77" s="16"/>
      <c r="Z77" s="23">
        <f>IF(T77=0,0,X77/T77)</f>
        <v>0.64649752486218581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2" customFormat="1" ht="15" customHeight="1" x14ac:dyDescent="0.3">
      <c r="A79" s="48"/>
      <c r="B79" s="11" t="s">
        <v>292</v>
      </c>
      <c r="C79" s="11"/>
      <c r="D79" s="5"/>
      <c r="E79" s="5"/>
      <c r="F79" s="13">
        <f>IF(D$12=0,0,D79/D$12)</f>
        <v>0</v>
      </c>
      <c r="G79" s="5"/>
      <c r="H79" s="5"/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/>
      <c r="Q79" s="5"/>
      <c r="R79" s="13">
        <f>IF(P$12=0,0,P79/P$12)</f>
        <v>0</v>
      </c>
      <c r="S79" s="5"/>
      <c r="T79" s="5"/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2" customFormat="1" ht="15" customHeight="1" x14ac:dyDescent="0.3">
      <c r="A81" s="11"/>
      <c r="B81" s="28" t="s">
        <v>293</v>
      </c>
      <c r="C81" s="28"/>
      <c r="D81" s="34">
        <f>+D77-D79</f>
        <v>-61037.41</v>
      </c>
      <c r="E81" s="15"/>
      <c r="F81" s="30">
        <f>IF(D$12=0,0,D81/D$12)</f>
        <v>0</v>
      </c>
      <c r="G81" s="15"/>
      <c r="H81" s="34">
        <f>+H77-H79</f>
        <v>-37640.359999999993</v>
      </c>
      <c r="I81" s="15"/>
      <c r="J81" s="30">
        <f>IF(H$12=0,0,H81/H$12)</f>
        <v>0</v>
      </c>
      <c r="K81" s="16"/>
      <c r="L81" s="34">
        <f>D81-H81</f>
        <v>-23397.05000000001</v>
      </c>
      <c r="M81" s="16"/>
      <c r="N81" s="30">
        <f>IF(H81=0,0,L81/H81)</f>
        <v>0.62159474564005268</v>
      </c>
      <c r="O81" s="27"/>
      <c r="P81" s="34">
        <f>+P77-P79</f>
        <v>-469917.49</v>
      </c>
      <c r="Q81" s="15"/>
      <c r="R81" s="30">
        <f>IF(P$12=0,0,P81/P$12)</f>
        <v>0</v>
      </c>
      <c r="S81" s="15"/>
      <c r="T81" s="34">
        <f>+T77-T79</f>
        <v>-285404.31</v>
      </c>
      <c r="U81" s="15"/>
      <c r="V81" s="30">
        <f>IF(T$12=0,0,T81/T$12)</f>
        <v>0</v>
      </c>
      <c r="W81" s="16"/>
      <c r="X81" s="34">
        <f>P81-T81</f>
        <v>-184513.18</v>
      </c>
      <c r="Y81" s="16"/>
      <c r="Z81" s="30">
        <f>IF(T81=0,0,X81/T81)</f>
        <v>0.64649752486218581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11"/>
      <c r="B84" s="28" t="s">
        <v>296</v>
      </c>
      <c r="C84" s="28"/>
      <c r="D84" s="29">
        <f>SUM(D81:D83)</f>
        <v>-61037.41</v>
      </c>
      <c r="E84" s="15"/>
      <c r="F84" s="35">
        <f>IF(D$12=0,0,D84/D$12)</f>
        <v>0</v>
      </c>
      <c r="G84" s="15"/>
      <c r="H84" s="29">
        <f>SUM(H81:H83)</f>
        <v>-37640.359999999993</v>
      </c>
      <c r="I84" s="15"/>
      <c r="J84" s="35">
        <f>IF(H$12=0,0,H84/H$12)</f>
        <v>0</v>
      </c>
      <c r="K84" s="16"/>
      <c r="L84" s="29">
        <f>+D84-H84</f>
        <v>-23397.05000000001</v>
      </c>
      <c r="M84" s="16"/>
      <c r="N84" s="35">
        <f>IF(H84=0,0,L84/H84)</f>
        <v>0.62159474564005268</v>
      </c>
      <c r="O84" s="27"/>
      <c r="P84" s="29">
        <f>SUM(P81:P83)</f>
        <v>-469917.49</v>
      </c>
      <c r="Q84" s="15"/>
      <c r="R84" s="35">
        <f>IF(P$12=0,0,P84/P$12)</f>
        <v>0</v>
      </c>
      <c r="S84" s="15"/>
      <c r="T84" s="29">
        <f>SUM(T81:T83)</f>
        <v>-285404.31</v>
      </c>
      <c r="U84" s="15"/>
      <c r="V84" s="35">
        <f>IF(T$12=0,0,T84/T$12)</f>
        <v>0</v>
      </c>
      <c r="W84" s="16"/>
      <c r="X84" s="29">
        <f>+P84-T84</f>
        <v>-184513.18</v>
      </c>
      <c r="Y84" s="16"/>
      <c r="Z84" s="35">
        <f>IF(T84=0,0,X84/T84)</f>
        <v>0.64649752486218581</v>
      </c>
    </row>
    <row r="85" spans="1:26" ht="15" customHeight="1" x14ac:dyDescent="0.3">
      <c r="A85" s="10"/>
      <c r="C85" s="10"/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3">
      <c r="A86" s="10"/>
      <c r="B86" s="56">
        <v>44694.890829479169</v>
      </c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3">
      <c r="A87" s="10"/>
      <c r="B87" s="52" t="s">
        <v>297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3">
      <c r="A88" s="10"/>
      <c r="B88" s="58"/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3"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EBBDF-D985-E11A-B734-B3D9E9695603}">
  <sheetPr>
    <tabColor rgb="FF92D050"/>
    <outlinePr summaryBelow="0" summaryRight="0"/>
  </sheetPr>
  <dimension ref="A2:Z4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","412"," - ","Chartroom")</f>
        <v>Department 412 - Chartroom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314.83000000000004</v>
      </c>
      <c r="E18" s="22"/>
      <c r="F18" s="32">
        <f t="shared" ref="F18:F31" si="0">IF(D$12=0,0,D18/D$12)</f>
        <v>0</v>
      </c>
      <c r="G18" s="22"/>
      <c r="H18" s="22" cm="1">
        <f t="array" ref="H18">SUM(OSRRefH22x_0)</f>
        <v>613.36</v>
      </c>
      <c r="I18" s="22"/>
      <c r="J18" s="32">
        <f t="shared" ref="J18:J31" si="1">IF(H$12=0,0,H18/H$12)</f>
        <v>0</v>
      </c>
      <c r="K18" s="5"/>
      <c r="L18" s="22">
        <f t="shared" ref="L18:L31" si="2">+D18-H18</f>
        <v>-298.52999999999997</v>
      </c>
      <c r="M18" s="5"/>
      <c r="N18" s="32">
        <f t="shared" ref="N18:N31" si="3">IF(H18=0,0,L18/H18)</f>
        <v>-0.48671253423764177</v>
      </c>
      <c r="O18" s="11"/>
      <c r="P18" s="22" cm="1">
        <f t="array" ref="P18">SUM(OSRRefP22x_0)</f>
        <v>5833.6400000000012</v>
      </c>
      <c r="Q18" s="22"/>
      <c r="R18" s="32">
        <f t="shared" ref="R18:R31" si="4">IF(P$12=0,0,P18/P$12)</f>
        <v>0</v>
      </c>
      <c r="S18" s="22"/>
      <c r="T18" s="22" cm="1">
        <f t="array" ref="T18">SUM(OSRRefT22x_0)</f>
        <v>8563.57</v>
      </c>
      <c r="U18" s="22"/>
      <c r="V18" s="32">
        <f t="shared" ref="V18:V31" si="5">IF(T$12=0,0,T18/T$12)</f>
        <v>0</v>
      </c>
      <c r="W18" s="5"/>
      <c r="X18" s="22">
        <f t="shared" ref="X18:X31" si="6">+P18-T18</f>
        <v>-2729.9299999999985</v>
      </c>
      <c r="Y18" s="5"/>
      <c r="Z18" s="32">
        <f t="shared" ref="Z18:Z31" si="7">IF(T18=0,0,X18/T18)</f>
        <v>-0.31878410522714223</v>
      </c>
    </row>
    <row r="19" spans="1:26" s="68" customFormat="1" ht="15" customHeight="1" outlineLevel="1" collapsed="1" x14ac:dyDescent="0.3">
      <c r="A19" s="25"/>
      <c r="B19" s="14" t="str">
        <f>CONCATENATE("     ","*Payroll                                          ")</f>
        <v xml:space="preserve">     *Payroll                                          </v>
      </c>
      <c r="C19" s="14"/>
      <c r="D19" s="2">
        <f>SUM(OSRRefD22_0x_0)</f>
        <v>-262.52999999999997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-262.52999999999997</v>
      </c>
      <c r="M19" s="2"/>
      <c r="N19" s="6">
        <f t="shared" si="3"/>
        <v>0</v>
      </c>
      <c r="O19" s="14"/>
      <c r="P19" s="2">
        <f>SUM(OSRRefP22_0x_0)</f>
        <v>-262.52999999999997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-262.52999999999997</v>
      </c>
      <c r="Y19" s="2"/>
      <c r="Z19" s="6">
        <f t="shared" si="7"/>
        <v>0</v>
      </c>
    </row>
    <row r="20" spans="1:26" s="69" customFormat="1" ht="15" hidden="1" customHeight="1" outlineLevel="2" x14ac:dyDescent="0.3">
      <c r="A20" s="26"/>
      <c r="B20" s="12" t="str">
        <f>CONCATENATE("          ","6002"," - ","STAFF SALARIES")</f>
        <v xml:space="preserve">          6002 - STAFF SALARIES</v>
      </c>
      <c r="C20" s="12"/>
      <c r="D20" s="8">
        <v>-262.52999999999997</v>
      </c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-262.52999999999997</v>
      </c>
      <c r="M20" s="3"/>
      <c r="N20" s="7">
        <f t="shared" si="3"/>
        <v>0</v>
      </c>
      <c r="O20" s="12"/>
      <c r="P20" s="8">
        <v>-262.52999999999997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-262.52999999999997</v>
      </c>
      <c r="Y20" s="3"/>
      <c r="Z20" s="7">
        <f t="shared" si="7"/>
        <v>0</v>
      </c>
    </row>
    <row r="21" spans="1:26" s="68" customFormat="1" ht="15" customHeight="1" outlineLevel="1" collapsed="1" x14ac:dyDescent="0.3">
      <c r="A21" s="25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577.36</v>
      </c>
      <c r="E21" s="2"/>
      <c r="F21" s="6">
        <f t="shared" si="0"/>
        <v>0</v>
      </c>
      <c r="G21" s="2"/>
      <c r="H21" s="2">
        <f>SUM(OSRRefH22_1x_0)</f>
        <v>577.36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5773.6</v>
      </c>
      <c r="Q21" s="2"/>
      <c r="R21" s="6">
        <f t="shared" si="4"/>
        <v>0</v>
      </c>
      <c r="S21" s="2"/>
      <c r="T21" s="2">
        <f>SUM(OSRRefT22_1x_0)</f>
        <v>6112.59</v>
      </c>
      <c r="U21" s="2"/>
      <c r="V21" s="6">
        <f t="shared" si="5"/>
        <v>0</v>
      </c>
      <c r="W21" s="2"/>
      <c r="X21" s="2">
        <f t="shared" si="6"/>
        <v>-338.98999999999978</v>
      </c>
      <c r="Y21" s="2"/>
      <c r="Z21" s="6">
        <f t="shared" si="7"/>
        <v>-5.545767015291387E-2</v>
      </c>
    </row>
    <row r="22" spans="1:26" s="69" customFormat="1" ht="15" hidden="1" customHeight="1" outlineLevel="2" x14ac:dyDescent="0.3">
      <c r="A22" s="26"/>
      <c r="B22" s="12" t="str">
        <f>CONCATENATE("          ","6322"," - ","EQUIPMENT DEPRECIATION EXPENSE")</f>
        <v xml:space="preserve">          6322 - EQUIPMENT DEPRECIATION EXPENSE</v>
      </c>
      <c r="C22" s="12"/>
      <c r="D22" s="8">
        <v>577.36</v>
      </c>
      <c r="E22" s="3"/>
      <c r="F22" s="7">
        <f t="shared" si="0"/>
        <v>0</v>
      </c>
      <c r="G22" s="3"/>
      <c r="H22" s="8">
        <v>577.36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5773.6</v>
      </c>
      <c r="Q22" s="3"/>
      <c r="R22" s="7">
        <f t="shared" si="4"/>
        <v>0</v>
      </c>
      <c r="S22" s="3"/>
      <c r="T22" s="8">
        <v>6112.59</v>
      </c>
      <c r="U22" s="3"/>
      <c r="V22" s="7">
        <f t="shared" si="5"/>
        <v>0</v>
      </c>
      <c r="W22" s="3"/>
      <c r="X22" s="8">
        <f t="shared" si="6"/>
        <v>-338.98999999999978</v>
      </c>
      <c r="Y22" s="3"/>
      <c r="Z22" s="7">
        <f t="shared" si="7"/>
        <v>-5.545767015291387E-2</v>
      </c>
    </row>
    <row r="23" spans="1:26" s="68" customFormat="1" ht="15" customHeight="1" outlineLevel="1" collapsed="1" x14ac:dyDescent="0.3">
      <c r="A23" s="25"/>
      <c r="B23" s="14" t="str">
        <f>CONCATENATE("     ","Equipment Rental                                  ")</f>
        <v xml:space="preserve">     Equipment Rental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16.239999999999998</v>
      </c>
      <c r="U23" s="2"/>
      <c r="V23" s="6">
        <f t="shared" si="5"/>
        <v>0</v>
      </c>
      <c r="W23" s="2"/>
      <c r="X23" s="2">
        <f t="shared" si="6"/>
        <v>-16.239999999999998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","6351"," - ","EQUIPMENT RENTAL")</f>
        <v xml:space="preserve">          6351 - EQUIPMENT RENTAL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16.239999999999998</v>
      </c>
      <c r="U24" s="3"/>
      <c r="V24" s="7">
        <f t="shared" si="5"/>
        <v>0</v>
      </c>
      <c r="W24" s="3"/>
      <c r="X24" s="8">
        <f t="shared" si="6"/>
        <v>-16.239999999999998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","Repair and Maintenance                            ")</f>
        <v xml:space="preserve">     Repair and Maintenance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186.97</v>
      </c>
      <c r="Q25" s="2"/>
      <c r="R25" s="6">
        <f t="shared" si="4"/>
        <v>0</v>
      </c>
      <c r="S25" s="2"/>
      <c r="T25" s="2">
        <f>SUM(OSRRefT22_3x_0)</f>
        <v>1677.13</v>
      </c>
      <c r="U25" s="2"/>
      <c r="V25" s="6">
        <f t="shared" si="5"/>
        <v>0</v>
      </c>
      <c r="W25" s="2"/>
      <c r="X25" s="2">
        <f t="shared" si="6"/>
        <v>-1490.16</v>
      </c>
      <c r="Y25" s="2"/>
      <c r="Z25" s="6">
        <f t="shared" si="7"/>
        <v>-0.88851788471972948</v>
      </c>
    </row>
    <row r="26" spans="1:26" s="69" customFormat="1" ht="15" hidden="1" customHeight="1" outlineLevel="2" x14ac:dyDescent="0.3">
      <c r="A26" s="26"/>
      <c r="B26" s="12" t="str">
        <f>CONCATENATE("          ","6373"," - ","MAINTENANCE CONTRACTS")</f>
        <v xml:space="preserve">          6373 - MAINTENANCE CONTRACTS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186.97</v>
      </c>
      <c r="Q26" s="3"/>
      <c r="R26" s="7">
        <f t="shared" si="4"/>
        <v>0</v>
      </c>
      <c r="S26" s="3"/>
      <c r="T26" s="8">
        <v>339</v>
      </c>
      <c r="U26" s="3"/>
      <c r="V26" s="7">
        <f t="shared" si="5"/>
        <v>0</v>
      </c>
      <c r="W26" s="3"/>
      <c r="X26" s="8">
        <f t="shared" si="6"/>
        <v>-152.03</v>
      </c>
      <c r="Y26" s="3"/>
      <c r="Z26" s="7">
        <f t="shared" si="7"/>
        <v>-0.44846607669616517</v>
      </c>
    </row>
    <row r="27" spans="1:26" s="69" customFormat="1" ht="15" hidden="1" customHeight="1" outlineLevel="2" x14ac:dyDescent="0.3">
      <c r="A27" s="26"/>
      <c r="B27" s="12" t="str">
        <f>CONCATENATE("          ","6375"," - ","OUTSIDE REPAIRS &amp; MAINTENANCE")</f>
        <v xml:space="preserve">          6375 - OUTSIDE REPAIRS &amp; MAINTENANCE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1338.13</v>
      </c>
      <c r="U27" s="3"/>
      <c r="V27" s="7">
        <f t="shared" si="5"/>
        <v>0</v>
      </c>
      <c r="W27" s="3"/>
      <c r="X27" s="8">
        <f t="shared" si="6"/>
        <v>-1338.13</v>
      </c>
      <c r="Y27" s="3"/>
      <c r="Z27" s="7">
        <f t="shared" si="7"/>
        <v>-1</v>
      </c>
    </row>
    <row r="28" spans="1:26" s="68" customFormat="1" ht="15" customHeight="1" outlineLevel="1" collapsed="1" x14ac:dyDescent="0.3">
      <c r="A28" s="25"/>
      <c r="B28" s="14" t="str">
        <f>CONCATENATE("     ","Services                                          ")</f>
        <v xml:space="preserve">     Services                                          </v>
      </c>
      <c r="C28" s="14"/>
      <c r="D28" s="2">
        <f>SUM(OSRRefD22_4x_0)</f>
        <v>0</v>
      </c>
      <c r="E28" s="2"/>
      <c r="F28" s="6">
        <f t="shared" si="0"/>
        <v>0</v>
      </c>
      <c r="G28" s="2"/>
      <c r="H28" s="2">
        <f>SUM(OSRRefH22_4x_0)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SUM(OSRRefP22_4x_0)</f>
        <v>0</v>
      </c>
      <c r="Q28" s="2"/>
      <c r="R28" s="6">
        <f t="shared" si="4"/>
        <v>0</v>
      </c>
      <c r="S28" s="2"/>
      <c r="T28" s="2">
        <f>SUM(OSRRefT22_4x_0)</f>
        <v>320.58</v>
      </c>
      <c r="U28" s="2"/>
      <c r="V28" s="6">
        <f t="shared" si="5"/>
        <v>0</v>
      </c>
      <c r="W28" s="2"/>
      <c r="X28" s="2">
        <f t="shared" si="6"/>
        <v>-320.58</v>
      </c>
      <c r="Y28" s="2"/>
      <c r="Z28" s="6">
        <f t="shared" si="7"/>
        <v>-1</v>
      </c>
    </row>
    <row r="29" spans="1:26" s="69" customFormat="1" ht="15" hidden="1" customHeight="1" outlineLevel="2" x14ac:dyDescent="0.3">
      <c r="A29" s="26"/>
      <c r="B29" s="12" t="str">
        <f>CONCATENATE("          ","6286"," - ","LAUNDRY EXPENSE")</f>
        <v xml:space="preserve">          6286 - LAUNDRY EXPENSE</v>
      </c>
      <c r="C29" s="12"/>
      <c r="D29" s="8"/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320.58</v>
      </c>
      <c r="U29" s="3"/>
      <c r="V29" s="7">
        <f t="shared" si="5"/>
        <v>0</v>
      </c>
      <c r="W29" s="3"/>
      <c r="X29" s="8">
        <f t="shared" si="6"/>
        <v>-320.58</v>
      </c>
      <c r="Y29" s="3"/>
      <c r="Z29" s="7">
        <f t="shared" si="7"/>
        <v>-1</v>
      </c>
    </row>
    <row r="30" spans="1:26" s="68" customFormat="1" ht="15" customHeight="1" outlineLevel="1" collapsed="1" x14ac:dyDescent="0.3">
      <c r="A30" s="25"/>
      <c r="B30" s="14" t="str">
        <f>CONCATENATE("     ","Telephone/Data Lines                              ")</f>
        <v xml:space="preserve">     Telephone/Data Lines                              </v>
      </c>
      <c r="C30" s="14"/>
      <c r="D30" s="2">
        <f>SUM(OSRRefD22_5x_0)</f>
        <v>0</v>
      </c>
      <c r="E30" s="2"/>
      <c r="F30" s="6">
        <f t="shared" si="0"/>
        <v>0</v>
      </c>
      <c r="G30" s="2"/>
      <c r="H30" s="2">
        <f>SUM(OSRRefH22_5x_0)</f>
        <v>36</v>
      </c>
      <c r="I30" s="2"/>
      <c r="J30" s="6">
        <f t="shared" si="1"/>
        <v>0</v>
      </c>
      <c r="K30" s="2"/>
      <c r="L30" s="2">
        <f t="shared" si="2"/>
        <v>-36</v>
      </c>
      <c r="M30" s="2"/>
      <c r="N30" s="6">
        <f t="shared" si="3"/>
        <v>-1</v>
      </c>
      <c r="O30" s="14"/>
      <c r="P30" s="2">
        <f>SUM(OSRRefP22_5x_0)</f>
        <v>135.6</v>
      </c>
      <c r="Q30" s="2"/>
      <c r="R30" s="6">
        <f t="shared" si="4"/>
        <v>0</v>
      </c>
      <c r="S30" s="2"/>
      <c r="T30" s="2">
        <f>SUM(OSRRefT22_5x_0)</f>
        <v>437.03</v>
      </c>
      <c r="U30" s="2"/>
      <c r="V30" s="6">
        <f t="shared" si="5"/>
        <v>0</v>
      </c>
      <c r="W30" s="2"/>
      <c r="X30" s="2">
        <f t="shared" si="6"/>
        <v>-301.42999999999995</v>
      </c>
      <c r="Y30" s="2"/>
      <c r="Z30" s="6">
        <f t="shared" si="7"/>
        <v>-0.68972381758689327</v>
      </c>
    </row>
    <row r="31" spans="1:26" s="69" customFormat="1" ht="15" hidden="1" customHeight="1" outlineLevel="2" x14ac:dyDescent="0.3">
      <c r="A31" s="26"/>
      <c r="B31" s="12" t="str">
        <f>CONCATENATE("          ","6309"," - ","TELEPHONE")</f>
        <v xml:space="preserve">          6309 - TELEPHONE</v>
      </c>
      <c r="C31" s="12"/>
      <c r="D31" s="8"/>
      <c r="E31" s="3"/>
      <c r="F31" s="7">
        <f t="shared" si="0"/>
        <v>0</v>
      </c>
      <c r="G31" s="3"/>
      <c r="H31" s="8">
        <v>36</v>
      </c>
      <c r="I31" s="3"/>
      <c r="J31" s="7">
        <f t="shared" si="1"/>
        <v>0</v>
      </c>
      <c r="K31" s="3"/>
      <c r="L31" s="8">
        <f t="shared" si="2"/>
        <v>-36</v>
      </c>
      <c r="M31" s="3"/>
      <c r="N31" s="7">
        <f t="shared" si="3"/>
        <v>-1</v>
      </c>
      <c r="O31" s="12"/>
      <c r="P31" s="8">
        <v>135.6</v>
      </c>
      <c r="Q31" s="3"/>
      <c r="R31" s="7">
        <f t="shared" si="4"/>
        <v>0</v>
      </c>
      <c r="S31" s="3"/>
      <c r="T31" s="8">
        <v>437.03</v>
      </c>
      <c r="U31" s="3"/>
      <c r="V31" s="7">
        <f t="shared" si="5"/>
        <v>0</v>
      </c>
      <c r="W31" s="3"/>
      <c r="X31" s="8">
        <f t="shared" si="6"/>
        <v>-301.42999999999995</v>
      </c>
      <c r="Y31" s="3"/>
      <c r="Z31" s="7">
        <f t="shared" si="7"/>
        <v>-0.68972381758689327</v>
      </c>
    </row>
    <row r="32" spans="1:26" s="64" customFormat="1" ht="15" customHeight="1" x14ac:dyDescent="0.3">
      <c r="A32" s="36"/>
      <c r="B32" s="36"/>
      <c r="C32" s="36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2" customFormat="1" ht="15" customHeight="1" x14ac:dyDescent="0.3">
      <c r="A33" s="11"/>
      <c r="B33" s="27" t="s">
        <v>290</v>
      </c>
      <c r="C33" s="11"/>
      <c r="D33" s="5">
        <f>SUM(0)</f>
        <v>0</v>
      </c>
      <c r="E33" s="5"/>
      <c r="F33" s="13">
        <f>IF(D$12=0,0,D33/D$12)</f>
        <v>0</v>
      </c>
      <c r="G33" s="5"/>
      <c r="H33" s="5">
        <f>SUM(0)</f>
        <v>0</v>
      </c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>
        <f>SUM(0)</f>
        <v>0</v>
      </c>
      <c r="Q33" s="5"/>
      <c r="R33" s="13">
        <f>IF(P$12=0,0,P33/P$12)</f>
        <v>0</v>
      </c>
      <c r="S33" s="5"/>
      <c r="T33" s="5">
        <f>SUM(0)</f>
        <v>0</v>
      </c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3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3">
      <c r="A35" s="11"/>
      <c r="B35" s="28" t="s">
        <v>291</v>
      </c>
      <c r="C35" s="28"/>
      <c r="D35" s="21">
        <f>+D16-D18+D33</f>
        <v>-314.83000000000004</v>
      </c>
      <c r="E35" s="15"/>
      <c r="F35" s="23">
        <f>IF(D$12=0,0,D35/D$12)</f>
        <v>0</v>
      </c>
      <c r="G35" s="15"/>
      <c r="H35" s="21">
        <f>+H16-H18+H33</f>
        <v>-613.36</v>
      </c>
      <c r="I35" s="15"/>
      <c r="J35" s="23">
        <f>IF(H$12=0,0,H35/H$12)</f>
        <v>0</v>
      </c>
      <c r="K35" s="16"/>
      <c r="L35" s="21">
        <f>+D35-H35</f>
        <v>298.52999999999997</v>
      </c>
      <c r="M35" s="16"/>
      <c r="N35" s="23">
        <f>IF(H35=0,0,L35/H35)</f>
        <v>-0.48671253423764177</v>
      </c>
      <c r="O35" s="27"/>
      <c r="P35" s="21">
        <f>+P16-P18+P33</f>
        <v>-5833.6400000000012</v>
      </c>
      <c r="Q35" s="15"/>
      <c r="R35" s="23">
        <f>IF(P$12=0,0,P35/P$12)</f>
        <v>0</v>
      </c>
      <c r="S35" s="15"/>
      <c r="T35" s="21">
        <f>+T16-T18+T33</f>
        <v>-8563.57</v>
      </c>
      <c r="U35" s="15"/>
      <c r="V35" s="23">
        <f>IF(T$12=0,0,T35/T$12)</f>
        <v>0</v>
      </c>
      <c r="W35" s="16"/>
      <c r="X35" s="21">
        <f>+P35-T35</f>
        <v>2729.9299999999985</v>
      </c>
      <c r="Y35" s="16"/>
      <c r="Z35" s="23">
        <f>IF(T35=0,0,X35/T35)</f>
        <v>-0.31878410522714223</v>
      </c>
    </row>
    <row r="36" spans="1:26" ht="15" customHeight="1" x14ac:dyDescent="0.3">
      <c r="A36" s="10"/>
      <c r="B36" s="11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48"/>
      <c r="B37" s="11" t="s">
        <v>292</v>
      </c>
      <c r="C37" s="11"/>
      <c r="D37" s="5"/>
      <c r="E37" s="5"/>
      <c r="F37" s="13">
        <f>IF(D$12=0,0,D37/D$12)</f>
        <v>0</v>
      </c>
      <c r="G37" s="5"/>
      <c r="H37" s="5"/>
      <c r="I37" s="5"/>
      <c r="J37" s="13">
        <f>IF(H$12=0,0,H37/H$12)</f>
        <v>0</v>
      </c>
      <c r="K37" s="5"/>
      <c r="L37" s="5">
        <f>+D37-H37</f>
        <v>0</v>
      </c>
      <c r="M37" s="5"/>
      <c r="N37" s="13">
        <f>IF(H37=0,0,L37/H37)</f>
        <v>0</v>
      </c>
      <c r="O37" s="11"/>
      <c r="P37" s="5"/>
      <c r="Q37" s="5"/>
      <c r="R37" s="13">
        <f>IF(P$12=0,0,P37/P$12)</f>
        <v>0</v>
      </c>
      <c r="S37" s="5"/>
      <c r="T37" s="5"/>
      <c r="U37" s="5"/>
      <c r="V37" s="13">
        <f>IF(T$12=0,0,T37/T$12)</f>
        <v>0</v>
      </c>
      <c r="W37" s="5"/>
      <c r="X37" s="5">
        <f>+P37-T37</f>
        <v>0</v>
      </c>
      <c r="Y37" s="5"/>
      <c r="Z37" s="13">
        <f>IF(T37=0,0,X37/T37)</f>
        <v>0</v>
      </c>
    </row>
    <row r="38" spans="1:26" ht="15" customHeight="1" x14ac:dyDescent="0.3">
      <c r="A38" s="10"/>
      <c r="B38" s="11"/>
      <c r="C38" s="11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O38" s="11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293</v>
      </c>
      <c r="C39" s="28"/>
      <c r="D39" s="34">
        <f>+D35-D37</f>
        <v>-314.83000000000004</v>
      </c>
      <c r="E39" s="15"/>
      <c r="F39" s="30">
        <f>IF(D$12=0,0,D39/D$12)</f>
        <v>0</v>
      </c>
      <c r="G39" s="15"/>
      <c r="H39" s="34">
        <f>+H35-H37</f>
        <v>-613.36</v>
      </c>
      <c r="I39" s="15"/>
      <c r="J39" s="30">
        <f>IF(H$12=0,0,H39/H$12)</f>
        <v>0</v>
      </c>
      <c r="K39" s="16"/>
      <c r="L39" s="34">
        <f>D39-H39</f>
        <v>298.52999999999997</v>
      </c>
      <c r="M39" s="16"/>
      <c r="N39" s="30">
        <f>IF(H39=0,0,L39/H39)</f>
        <v>-0.48671253423764177</v>
      </c>
      <c r="O39" s="27"/>
      <c r="P39" s="34">
        <f>+P35-P37</f>
        <v>-5833.6400000000012</v>
      </c>
      <c r="Q39" s="15"/>
      <c r="R39" s="30">
        <f>IF(P$12=0,0,P39/P$12)</f>
        <v>0</v>
      </c>
      <c r="S39" s="15"/>
      <c r="T39" s="34">
        <f>+T35-T37</f>
        <v>-8563.57</v>
      </c>
      <c r="U39" s="15"/>
      <c r="V39" s="30">
        <f>IF(T$12=0,0,T39/T$12)</f>
        <v>0</v>
      </c>
      <c r="W39" s="16"/>
      <c r="X39" s="34">
        <f>P39-T39</f>
        <v>2729.9299999999985</v>
      </c>
      <c r="Y39" s="16"/>
      <c r="Z39" s="30">
        <f>IF(T39=0,0,X39/T39)</f>
        <v>-0.31878410522714223</v>
      </c>
    </row>
    <row r="40" spans="1:26" ht="15" customHeight="1" x14ac:dyDescent="0.3">
      <c r="A40" s="10"/>
      <c r="B40" s="10"/>
      <c r="C40" s="10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ht="15" customHeight="1" x14ac:dyDescent="0.3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8" t="s">
        <v>296</v>
      </c>
      <c r="C42" s="28"/>
      <c r="D42" s="29">
        <f>SUM(D39:D41)</f>
        <v>-314.83000000000004</v>
      </c>
      <c r="E42" s="15"/>
      <c r="F42" s="35">
        <f>IF(D$12=0,0,D42/D$12)</f>
        <v>0</v>
      </c>
      <c r="G42" s="15"/>
      <c r="H42" s="29">
        <f>SUM(H39:H41)</f>
        <v>-613.36</v>
      </c>
      <c r="I42" s="15"/>
      <c r="J42" s="35">
        <f>IF(H$12=0,0,H42/H$12)</f>
        <v>0</v>
      </c>
      <c r="K42" s="16"/>
      <c r="L42" s="29">
        <f>+D42-H42</f>
        <v>298.52999999999997</v>
      </c>
      <c r="M42" s="16"/>
      <c r="N42" s="35">
        <f>IF(H42=0,0,L42/H42)</f>
        <v>-0.48671253423764177</v>
      </c>
      <c r="O42" s="27"/>
      <c r="P42" s="29">
        <f>SUM(P39:P41)</f>
        <v>-5833.6400000000012</v>
      </c>
      <c r="Q42" s="15"/>
      <c r="R42" s="35">
        <f>IF(P$12=0,0,P42/P$12)</f>
        <v>0</v>
      </c>
      <c r="S42" s="15"/>
      <c r="T42" s="29">
        <f>SUM(T39:T41)</f>
        <v>-8563.57</v>
      </c>
      <c r="U42" s="15"/>
      <c r="V42" s="35">
        <f>IF(T$12=0,0,T42/T$12)</f>
        <v>0</v>
      </c>
      <c r="W42" s="16"/>
      <c r="X42" s="29">
        <f>+P42-T42</f>
        <v>2729.9299999999985</v>
      </c>
      <c r="Y42" s="16"/>
      <c r="Z42" s="35">
        <f>IF(T42=0,0,X42/T42)</f>
        <v>-0.31878410522714223</v>
      </c>
    </row>
    <row r="43" spans="1:26" ht="15" customHeight="1" x14ac:dyDescent="0.3">
      <c r="A43" s="10"/>
      <c r="C43" s="10"/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  <row r="44" spans="1:26" ht="15" customHeight="1" x14ac:dyDescent="0.3">
      <c r="A44" s="10"/>
      <c r="B44" s="56">
        <v>44694.890829479169</v>
      </c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  <row r="45" spans="1:26" ht="15" customHeight="1" x14ac:dyDescent="0.3">
      <c r="A45" s="10"/>
      <c r="B45" s="52" t="s">
        <v>297</v>
      </c>
      <c r="D45" s="18"/>
      <c r="E45" s="18"/>
      <c r="G45" s="18"/>
      <c r="H45" s="18"/>
      <c r="I45" s="18"/>
      <c r="J45" s="40"/>
      <c r="K45" s="18"/>
      <c r="L45" s="18"/>
      <c r="M45" s="18"/>
      <c r="P45" s="18"/>
      <c r="Q45" s="18"/>
      <c r="R45" s="40"/>
      <c r="S45" s="18"/>
      <c r="T45" s="18"/>
      <c r="U45" s="18"/>
      <c r="V45" s="40"/>
      <c r="W45" s="18"/>
      <c r="X45" s="18"/>
    </row>
    <row r="46" spans="1:26" ht="15" customHeight="1" x14ac:dyDescent="0.3">
      <c r="A46" s="10"/>
      <c r="B46" s="58"/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3"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619EE-E23F-A578-C53C-9D3C62446ABB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","413"," - ","Beach Walk")</f>
        <v>Department 413 - Beach Walk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58.03</v>
      </c>
      <c r="E18" s="22"/>
      <c r="F18" s="32">
        <f t="shared" ref="F18:F34" si="0">IF(D$12=0,0,D18/D$12)</f>
        <v>0</v>
      </c>
      <c r="G18" s="22"/>
      <c r="H18" s="22" cm="1">
        <f t="array" ref="H18">SUM(OSRRefH22x_0)</f>
        <v>58.03</v>
      </c>
      <c r="I18" s="22"/>
      <c r="J18" s="32">
        <f t="shared" ref="J18:J34" si="1">IF(H$12=0,0,H18/H$12)</f>
        <v>0</v>
      </c>
      <c r="K18" s="5"/>
      <c r="L18" s="22">
        <f t="shared" ref="L18:L34" si="2">+D18-H18</f>
        <v>0</v>
      </c>
      <c r="M18" s="5"/>
      <c r="N18" s="32">
        <f t="shared" ref="N18:N34" si="3">IF(H18=0,0,L18/H18)</f>
        <v>0</v>
      </c>
      <c r="O18" s="11"/>
      <c r="P18" s="22" cm="1">
        <f t="array" ref="P18">SUM(OSRRefP22x_0)</f>
        <v>945.1099999999999</v>
      </c>
      <c r="Q18" s="22"/>
      <c r="R18" s="32">
        <f t="shared" ref="R18:R34" si="4">IF(P$12=0,0,P18/P$12)</f>
        <v>0</v>
      </c>
      <c r="S18" s="22"/>
      <c r="T18" s="22" cm="1">
        <f t="array" ref="T18">SUM(OSRRefT22x_0)</f>
        <v>5245.38</v>
      </c>
      <c r="U18" s="22"/>
      <c r="V18" s="32">
        <f t="shared" ref="V18:V34" si="5">IF(T$12=0,0,T18/T$12)</f>
        <v>0</v>
      </c>
      <c r="W18" s="5"/>
      <c r="X18" s="22">
        <f t="shared" ref="X18:X34" si="6">+P18-T18</f>
        <v>-4300.2700000000004</v>
      </c>
      <c r="Y18" s="5"/>
      <c r="Z18" s="32">
        <f t="shared" ref="Z18:Z34" si="7">IF(T18=0,0,X18/T18)</f>
        <v>-0.81982048964993959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1493.43</v>
      </c>
      <c r="U19" s="2"/>
      <c r="V19" s="6">
        <f t="shared" si="5"/>
        <v>0</v>
      </c>
      <c r="W19" s="2"/>
      <c r="X19" s="2">
        <f t="shared" si="6"/>
        <v>-1493.43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191.51</v>
      </c>
      <c r="U20" s="3"/>
      <c r="V20" s="7">
        <f t="shared" si="5"/>
        <v>0</v>
      </c>
      <c r="W20" s="3"/>
      <c r="X20" s="8">
        <f t="shared" si="6"/>
        <v>-191.51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","6113"," - ","GROUP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718.51</v>
      </c>
      <c r="U21" s="3"/>
      <c r="V21" s="7">
        <f t="shared" si="5"/>
        <v>0</v>
      </c>
      <c r="W21" s="3"/>
      <c r="X21" s="8">
        <f t="shared" si="6"/>
        <v>-718.51</v>
      </c>
      <c r="Y21" s="3"/>
      <c r="Z21" s="7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","6115"," - ","P.E.R.S.")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377.03</v>
      </c>
      <c r="U22" s="3"/>
      <c r="V22" s="7">
        <f t="shared" si="5"/>
        <v>0</v>
      </c>
      <c r="W22" s="3"/>
      <c r="X22" s="8">
        <f t="shared" si="6"/>
        <v>-377.03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","6118"," - ","VACATION")</f>
        <v xml:space="preserve">          6118 - VACATION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93.89</v>
      </c>
      <c r="U23" s="3"/>
      <c r="V23" s="7">
        <f t="shared" si="5"/>
        <v>0</v>
      </c>
      <c r="W23" s="3"/>
      <c r="X23" s="8">
        <f t="shared" si="6"/>
        <v>-93.89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","6119"," - ","SICK LEAVE")</f>
        <v xml:space="preserve">          6119 - SICK LEAVE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112.49</v>
      </c>
      <c r="U24" s="3"/>
      <c r="V24" s="7">
        <f t="shared" si="5"/>
        <v>0</v>
      </c>
      <c r="W24" s="3"/>
      <c r="X24" s="8">
        <f t="shared" si="6"/>
        <v>-112.49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0</v>
      </c>
      <c r="E25" s="2"/>
      <c r="F25" s="6">
        <f t="shared" si="0"/>
        <v>0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SUM(OSRRefP22_1x_0)</f>
        <v>0</v>
      </c>
      <c r="Q25" s="2"/>
      <c r="R25" s="6">
        <f t="shared" si="4"/>
        <v>0</v>
      </c>
      <c r="S25" s="2"/>
      <c r="T25" s="2">
        <f>SUM(OSRRefT22_1x_0)</f>
        <v>2259.48</v>
      </c>
      <c r="U25" s="2"/>
      <c r="V25" s="6">
        <f t="shared" si="5"/>
        <v>0</v>
      </c>
      <c r="W25" s="2"/>
      <c r="X25" s="2">
        <f t="shared" si="6"/>
        <v>-2259.48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","6002"," - ","STAFF SALARIES")</f>
        <v xml:space="preserve">          6002 - STAFF SALARIES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2259.48</v>
      </c>
      <c r="U26" s="3"/>
      <c r="V26" s="7">
        <f t="shared" si="5"/>
        <v>0</v>
      </c>
      <c r="W26" s="3"/>
      <c r="X26" s="8">
        <f t="shared" si="6"/>
        <v>-2259.48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","Depreciation                                      ")</f>
        <v xml:space="preserve">     Depreciation                                      </v>
      </c>
      <c r="C27" s="14"/>
      <c r="D27" s="2">
        <f>SUM(OSRRefD22_2x_0)</f>
        <v>58.03</v>
      </c>
      <c r="E27" s="2"/>
      <c r="F27" s="6">
        <f t="shared" si="0"/>
        <v>0</v>
      </c>
      <c r="G27" s="2"/>
      <c r="H27" s="2">
        <f>SUM(OSRRefH22_2x_0)</f>
        <v>58.03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580.29999999999995</v>
      </c>
      <c r="Q27" s="2"/>
      <c r="R27" s="6">
        <f t="shared" si="4"/>
        <v>0</v>
      </c>
      <c r="S27" s="2"/>
      <c r="T27" s="2">
        <f>SUM(OSRRefT22_2x_0)</f>
        <v>580.29999999999995</v>
      </c>
      <c r="U27" s="2"/>
      <c r="V27" s="6">
        <f t="shared" si="5"/>
        <v>0</v>
      </c>
      <c r="W27" s="2"/>
      <c r="X27" s="2">
        <f t="shared" si="6"/>
        <v>0</v>
      </c>
      <c r="Y27" s="2"/>
      <c r="Z27" s="6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","6322"," - ","EQUIPMENT DEPRECIATION EXPENSE")</f>
        <v xml:space="preserve">          6322 - EQUIPMENT DEPRECIATION EXPENSE</v>
      </c>
      <c r="C28" s="12"/>
      <c r="D28" s="8">
        <v>58.03</v>
      </c>
      <c r="E28" s="3"/>
      <c r="F28" s="7">
        <f t="shared" si="0"/>
        <v>0</v>
      </c>
      <c r="G28" s="3"/>
      <c r="H28" s="8">
        <v>58.03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580.29999999999995</v>
      </c>
      <c r="Q28" s="3"/>
      <c r="R28" s="7">
        <f t="shared" si="4"/>
        <v>0</v>
      </c>
      <c r="S28" s="3"/>
      <c r="T28" s="8">
        <v>580.29999999999995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","Repair and Maintenance                            ")</f>
        <v xml:space="preserve">     Repair and Maintenance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364.81</v>
      </c>
      <c r="Q29" s="2"/>
      <c r="R29" s="6">
        <f t="shared" si="4"/>
        <v>0</v>
      </c>
      <c r="S29" s="2"/>
      <c r="T29" s="2">
        <f>SUM(OSRRefT22_3x_0)</f>
        <v>575.85</v>
      </c>
      <c r="U29" s="2"/>
      <c r="V29" s="6">
        <f t="shared" si="5"/>
        <v>0</v>
      </c>
      <c r="W29" s="2"/>
      <c r="X29" s="2">
        <f t="shared" si="6"/>
        <v>-211.04000000000002</v>
      </c>
      <c r="Y29" s="2"/>
      <c r="Z29" s="6">
        <f t="shared" si="7"/>
        <v>-0.36648432751584614</v>
      </c>
    </row>
    <row r="30" spans="1:26" s="69" customFormat="1" ht="15" hidden="1" customHeight="1" outlineLevel="2" x14ac:dyDescent="0.3">
      <c r="A30" s="26"/>
      <c r="B30" s="12" t="str">
        <f>CONCATENATE("          ","6373"," - ","MAINTENANCE CONTRACTS")</f>
        <v xml:space="preserve">          6373 - MAINTENANCE CONTRACTS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>
        <v>364.81</v>
      </c>
      <c r="Q30" s="3"/>
      <c r="R30" s="7">
        <f t="shared" si="4"/>
        <v>0</v>
      </c>
      <c r="S30" s="3"/>
      <c r="T30" s="8">
        <v>575.85</v>
      </c>
      <c r="U30" s="3"/>
      <c r="V30" s="7">
        <f t="shared" si="5"/>
        <v>0</v>
      </c>
      <c r="W30" s="3"/>
      <c r="X30" s="8">
        <f t="shared" si="6"/>
        <v>-211.04000000000002</v>
      </c>
      <c r="Y30" s="3"/>
      <c r="Z30" s="7">
        <f t="shared" si="7"/>
        <v>-0.36648432751584614</v>
      </c>
    </row>
    <row r="31" spans="1:26" s="68" customFormat="1" ht="15" customHeight="1" outlineLevel="1" collapsed="1" x14ac:dyDescent="0.3">
      <c r="A31" s="25"/>
      <c r="B31" s="14" t="str">
        <f>CONCATENATE("     ","Services                                          ")</f>
        <v xml:space="preserve">     Services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0</v>
      </c>
      <c r="Q31" s="2"/>
      <c r="R31" s="6">
        <f t="shared" si="4"/>
        <v>0</v>
      </c>
      <c r="S31" s="2"/>
      <c r="T31" s="2">
        <f>SUM(OSRRefT22_4x_0)</f>
        <v>286.62</v>
      </c>
      <c r="U31" s="2"/>
      <c r="V31" s="6">
        <f t="shared" si="5"/>
        <v>0</v>
      </c>
      <c r="W31" s="2"/>
      <c r="X31" s="2">
        <f t="shared" si="6"/>
        <v>-286.62</v>
      </c>
      <c r="Y31" s="2"/>
      <c r="Z31" s="6">
        <f t="shared" si="7"/>
        <v>-1</v>
      </c>
    </row>
    <row r="32" spans="1:26" s="69" customFormat="1" ht="15" hidden="1" customHeight="1" outlineLevel="2" x14ac:dyDescent="0.3">
      <c r="A32" s="26"/>
      <c r="B32" s="12" t="str">
        <f>CONCATENATE("          ","6282"," - ","JANITORIAL/EXTERMINATOR EXPENS")</f>
        <v xml:space="preserve">          6282 - JANITORIAL/EXTERMINATOR EXPENS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286.62</v>
      </c>
      <c r="U32" s="3"/>
      <c r="V32" s="7">
        <f t="shared" si="5"/>
        <v>0</v>
      </c>
      <c r="W32" s="3"/>
      <c r="X32" s="8">
        <f t="shared" si="6"/>
        <v>-286.62</v>
      </c>
      <c r="Y32" s="3"/>
      <c r="Z32" s="7">
        <f t="shared" si="7"/>
        <v>-1</v>
      </c>
    </row>
    <row r="33" spans="1:26" s="68" customFormat="1" ht="15" customHeight="1" outlineLevel="1" collapsed="1" x14ac:dyDescent="0.3">
      <c r="A33" s="25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49.7</v>
      </c>
      <c r="U33" s="2"/>
      <c r="V33" s="6">
        <f t="shared" si="5"/>
        <v>0</v>
      </c>
      <c r="W33" s="2"/>
      <c r="X33" s="2">
        <f t="shared" si="6"/>
        <v>-49.7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","6309"," - ","TELEPHONE")</f>
        <v xml:space="preserve">          6309 - TELEPHONE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49.7</v>
      </c>
      <c r="U34" s="3"/>
      <c r="V34" s="7">
        <f t="shared" si="5"/>
        <v>0</v>
      </c>
      <c r="W34" s="3"/>
      <c r="X34" s="8">
        <f t="shared" si="6"/>
        <v>-49.7</v>
      </c>
      <c r="Y34" s="3"/>
      <c r="Z34" s="7">
        <f t="shared" si="7"/>
        <v>-1</v>
      </c>
    </row>
    <row r="35" spans="1:26" s="64" customFormat="1" ht="15" customHeight="1" x14ac:dyDescent="0.3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3">
      <c r="A36" s="11"/>
      <c r="B36" s="27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3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3">
      <c r="A38" s="11"/>
      <c r="B38" s="28" t="s">
        <v>291</v>
      </c>
      <c r="C38" s="28"/>
      <c r="D38" s="21">
        <f>+D16-D18+D36</f>
        <v>-58.03</v>
      </c>
      <c r="E38" s="15"/>
      <c r="F38" s="23">
        <f>IF(D$12=0,0,D38/D$12)</f>
        <v>0</v>
      </c>
      <c r="G38" s="15"/>
      <c r="H38" s="21">
        <f>+H16-H18+H36</f>
        <v>-58.03</v>
      </c>
      <c r="I38" s="15"/>
      <c r="J38" s="23">
        <f>IF(H$12=0,0,H38/H$12)</f>
        <v>0</v>
      </c>
      <c r="K38" s="16"/>
      <c r="L38" s="21">
        <f>+D38-H38</f>
        <v>0</v>
      </c>
      <c r="M38" s="16"/>
      <c r="N38" s="23">
        <f>IF(H38=0,0,L38/H38)</f>
        <v>0</v>
      </c>
      <c r="O38" s="27"/>
      <c r="P38" s="21">
        <f>+P16-P18+P36</f>
        <v>-945.1099999999999</v>
      </c>
      <c r="Q38" s="15"/>
      <c r="R38" s="23">
        <f>IF(P$12=0,0,P38/P$12)</f>
        <v>0</v>
      </c>
      <c r="S38" s="15"/>
      <c r="T38" s="21">
        <f>+T16-T18+T36</f>
        <v>-5245.38</v>
      </c>
      <c r="U38" s="15"/>
      <c r="V38" s="23">
        <f>IF(T$12=0,0,T38/T$12)</f>
        <v>0</v>
      </c>
      <c r="W38" s="16"/>
      <c r="X38" s="21">
        <f>+P38-T38</f>
        <v>4300.2700000000004</v>
      </c>
      <c r="Y38" s="16"/>
      <c r="Z38" s="23">
        <f>IF(T38=0,0,X38/T38)</f>
        <v>-0.81982048964993959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48"/>
      <c r="B40" s="11" t="s">
        <v>292</v>
      </c>
      <c r="C40" s="11"/>
      <c r="D40" s="5"/>
      <c r="E40" s="5"/>
      <c r="F40" s="13">
        <f>IF(D$12=0,0,D40/D$12)</f>
        <v>0</v>
      </c>
      <c r="G40" s="5"/>
      <c r="H40" s="5"/>
      <c r="I40" s="5"/>
      <c r="J40" s="13">
        <f>IF(H$12=0,0,H40/H$12)</f>
        <v>0</v>
      </c>
      <c r="K40" s="5"/>
      <c r="L40" s="5">
        <f>+D40-H40</f>
        <v>0</v>
      </c>
      <c r="M40" s="5"/>
      <c r="N40" s="13">
        <f>IF(H40=0,0,L40/H40)</f>
        <v>0</v>
      </c>
      <c r="O40" s="11"/>
      <c r="P40" s="5"/>
      <c r="Q40" s="5"/>
      <c r="R40" s="13">
        <f>IF(P$12=0,0,P40/P$12)</f>
        <v>0</v>
      </c>
      <c r="S40" s="5"/>
      <c r="T40" s="5"/>
      <c r="U40" s="5"/>
      <c r="V40" s="13">
        <f>IF(T$12=0,0,T40/T$12)</f>
        <v>0</v>
      </c>
      <c r="W40" s="5"/>
      <c r="X40" s="5">
        <f>+P40-T40</f>
        <v>0</v>
      </c>
      <c r="Y40" s="5"/>
      <c r="Z40" s="13">
        <f>IF(T40=0,0,X40/T40)</f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8" t="s">
        <v>293</v>
      </c>
      <c r="C42" s="28"/>
      <c r="D42" s="34">
        <f>+D38-D40</f>
        <v>-58.03</v>
      </c>
      <c r="E42" s="15"/>
      <c r="F42" s="30">
        <f>IF(D$12=0,0,D42/D$12)</f>
        <v>0</v>
      </c>
      <c r="G42" s="15"/>
      <c r="H42" s="34">
        <f>+H38-H40</f>
        <v>-58.03</v>
      </c>
      <c r="I42" s="15"/>
      <c r="J42" s="30">
        <f>IF(H$12=0,0,H42/H$12)</f>
        <v>0</v>
      </c>
      <c r="K42" s="16"/>
      <c r="L42" s="34">
        <f>D42-H42</f>
        <v>0</v>
      </c>
      <c r="M42" s="16"/>
      <c r="N42" s="30">
        <f>IF(H42=0,0,L42/H42)</f>
        <v>0</v>
      </c>
      <c r="O42" s="27"/>
      <c r="P42" s="34">
        <f>+P38-P40</f>
        <v>-945.1099999999999</v>
      </c>
      <c r="Q42" s="15"/>
      <c r="R42" s="30">
        <f>IF(P$12=0,0,P42/P$12)</f>
        <v>0</v>
      </c>
      <c r="S42" s="15"/>
      <c r="T42" s="34">
        <f>+T38-T40</f>
        <v>-5245.38</v>
      </c>
      <c r="U42" s="15"/>
      <c r="V42" s="30">
        <f>IF(T$12=0,0,T42/T$12)</f>
        <v>0</v>
      </c>
      <c r="W42" s="16"/>
      <c r="X42" s="34">
        <f>P42-T42</f>
        <v>4300.2700000000004</v>
      </c>
      <c r="Y42" s="16"/>
      <c r="Z42" s="30">
        <f>IF(T42=0,0,X42/T42)</f>
        <v>-0.81982048964993959</v>
      </c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3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3">
      <c r="A45" s="11"/>
      <c r="B45" s="28" t="s">
        <v>296</v>
      </c>
      <c r="C45" s="28"/>
      <c r="D45" s="29">
        <f>SUM(D42:D44)</f>
        <v>-58.03</v>
      </c>
      <c r="E45" s="15"/>
      <c r="F45" s="35">
        <f>IF(D$12=0,0,D45/D$12)</f>
        <v>0</v>
      </c>
      <c r="G45" s="15"/>
      <c r="H45" s="29">
        <f>SUM(H42:H44)</f>
        <v>-58.03</v>
      </c>
      <c r="I45" s="15"/>
      <c r="J45" s="35">
        <f>IF(H$12=0,0,H45/H$12)</f>
        <v>0</v>
      </c>
      <c r="K45" s="16"/>
      <c r="L45" s="29">
        <f>+D45-H45</f>
        <v>0</v>
      </c>
      <c r="M45" s="16"/>
      <c r="N45" s="35">
        <f>IF(H45=0,0,L45/H45)</f>
        <v>0</v>
      </c>
      <c r="O45" s="27"/>
      <c r="P45" s="29">
        <f>SUM(P42:P44)</f>
        <v>-945.1099999999999</v>
      </c>
      <c r="Q45" s="15"/>
      <c r="R45" s="35">
        <f>IF(P$12=0,0,P45/P$12)</f>
        <v>0</v>
      </c>
      <c r="S45" s="15"/>
      <c r="T45" s="29">
        <f>SUM(T42:T44)</f>
        <v>-5245.38</v>
      </c>
      <c r="U45" s="15"/>
      <c r="V45" s="35">
        <f>IF(T$12=0,0,T45/T$12)</f>
        <v>0</v>
      </c>
      <c r="W45" s="16"/>
      <c r="X45" s="29">
        <f>+P45-T45</f>
        <v>4300.2700000000004</v>
      </c>
      <c r="Y45" s="16"/>
      <c r="Z45" s="35">
        <f>IF(T45=0,0,X45/T45)</f>
        <v>-0.81982048964993959</v>
      </c>
    </row>
    <row r="46" spans="1:26" ht="15" customHeight="1" x14ac:dyDescent="0.3">
      <c r="A46" s="10"/>
      <c r="C46" s="10"/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3">
      <c r="A47" s="10"/>
      <c r="B47" s="56">
        <v>44694.890829479169</v>
      </c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  <row r="48" spans="1:26" ht="15" customHeight="1" x14ac:dyDescent="0.3">
      <c r="A48" s="10"/>
      <c r="B48" s="52" t="s">
        <v>297</v>
      </c>
      <c r="D48" s="18"/>
      <c r="E48" s="18"/>
      <c r="G48" s="18"/>
      <c r="H48" s="18"/>
      <c r="I48" s="18"/>
      <c r="J48" s="40"/>
      <c r="K48" s="18"/>
      <c r="L48" s="18"/>
      <c r="M48" s="18"/>
      <c r="P48" s="18"/>
      <c r="Q48" s="18"/>
      <c r="R48" s="40"/>
      <c r="S48" s="18"/>
      <c r="T48" s="18"/>
      <c r="U48" s="18"/>
      <c r="V48" s="40"/>
      <c r="W48" s="18"/>
      <c r="X48" s="18"/>
    </row>
    <row r="49" spans="1:24" ht="15" customHeight="1" x14ac:dyDescent="0.3">
      <c r="A49" s="10"/>
      <c r="B49" s="58"/>
      <c r="D49" s="18"/>
      <c r="E49" s="18"/>
      <c r="G49" s="18"/>
      <c r="H49" s="18"/>
      <c r="I49" s="18"/>
      <c r="J49" s="40"/>
      <c r="K49" s="18"/>
      <c r="L49" s="18"/>
      <c r="M49" s="18"/>
      <c r="P49" s="18"/>
      <c r="Q49" s="18"/>
      <c r="R49" s="40"/>
      <c r="S49" s="18"/>
      <c r="T49" s="18"/>
      <c r="U49" s="18"/>
      <c r="V49" s="40"/>
      <c r="W49" s="18"/>
      <c r="X49" s="18"/>
    </row>
    <row r="50" spans="1:24" ht="15" customHeight="1" x14ac:dyDescent="0.3">
      <c r="D50" s="18"/>
      <c r="E50" s="18"/>
      <c r="G50" s="18"/>
      <c r="H50" s="18"/>
      <c r="I50" s="18"/>
      <c r="J50" s="40"/>
      <c r="K50" s="18"/>
      <c r="L50" s="18"/>
      <c r="M50" s="18"/>
      <c r="P50" s="18"/>
      <c r="Q50" s="18"/>
      <c r="R50" s="40"/>
      <c r="S50" s="18"/>
      <c r="T50" s="18"/>
      <c r="U50" s="18"/>
      <c r="V50" s="40"/>
      <c r="W50" s="18"/>
      <c r="X5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3F4ED-2676-8453-00A2-F12BFFF06E83}">
  <sheetPr>
    <tabColor rgb="FF92D050"/>
    <outlinePr summaryBelow="0" summaryRight="0"/>
  </sheetPr>
  <dimension ref="A2:Z4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","414"," - ","Starbucks UDP")</f>
        <v>Department 414 - Starbucks UDP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SUM(OSRRefP13x_0)</f>
        <v>0</v>
      </c>
      <c r="Q12" s="5"/>
      <c r="R12" s="13"/>
      <c r="S12" s="5"/>
      <c r="T12" s="5">
        <f>SUM(OSRRefT13x_0)</f>
        <v>974.91</v>
      </c>
      <c r="U12" s="5"/>
      <c r="V12" s="13"/>
      <c r="W12" s="5"/>
      <c r="X12" s="5">
        <f>+P12-T12</f>
        <v>-974.91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","4058"," - ","TAXABLE SALES-FOOD")</f>
        <v xml:space="preserve">          4058 - TAXABLE SALES-FOOD</v>
      </c>
      <c r="C13" s="12"/>
      <c r="D13" s="3">
        <f>0</f>
        <v>0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0</f>
        <v>0</v>
      </c>
      <c r="Q13" s="3"/>
      <c r="R13" s="20"/>
      <c r="S13" s="3"/>
      <c r="T13" s="3">
        <f>--974.91</f>
        <v>974.91</v>
      </c>
      <c r="U13" s="3"/>
      <c r="V13" s="20"/>
      <c r="W13" s="3"/>
      <c r="X13" s="3">
        <f>+P13-T13</f>
        <v>-974.91</v>
      </c>
      <c r="Y13" s="3"/>
      <c r="Z13" s="20">
        <f>IF(T13=0,0,X13/T13)</f>
        <v>-1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>
        <f>SUM(OSRRefD16x_0)</f>
        <v>0</v>
      </c>
      <c r="E15" s="5"/>
      <c r="F15" s="13">
        <f>IF(D$12=0,0,D15/D$12)</f>
        <v>0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SUM(OSRRefP16x_0)</f>
        <v>0</v>
      </c>
      <c r="Q15" s="5"/>
      <c r="R15" s="13">
        <f>IF(P$12=0,0,P15/P$12)</f>
        <v>0</v>
      </c>
      <c r="S15" s="5"/>
      <c r="T15" s="5">
        <f>SUM(OSRRefT16x_0)</f>
        <v>-2369.56</v>
      </c>
      <c r="U15" s="5"/>
      <c r="V15" s="13">
        <f>IF(T$12=0,0,T15/T$12)</f>
        <v>-2.4305423064693152</v>
      </c>
      <c r="W15" s="5"/>
      <c r="X15" s="5">
        <f>+P15-T15</f>
        <v>2369.56</v>
      </c>
      <c r="Y15" s="5"/>
      <c r="Z15" s="13">
        <f>IF(T15=0,0,X15/T15)</f>
        <v>-1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/>
      <c r="E16" s="3"/>
      <c r="F16" s="20">
        <f>IF(D$12=0,0,D16/D$12)</f>
        <v>0</v>
      </c>
      <c r="G16" s="3"/>
      <c r="H16" s="3"/>
      <c r="I16" s="3"/>
      <c r="J16" s="20">
        <f>IF(H$12=0,0,H16/H$12)</f>
        <v>0</v>
      </c>
      <c r="K16" s="3"/>
      <c r="L16" s="3">
        <f>+D16-H16</f>
        <v>0</v>
      </c>
      <c r="M16" s="3"/>
      <c r="N16" s="20">
        <f>IF(H16=0,0,L16/H16)</f>
        <v>0</v>
      </c>
      <c r="O16" s="12"/>
      <c r="P16" s="3"/>
      <c r="Q16" s="3"/>
      <c r="R16" s="20">
        <f>IF(P$12=0,0,P16/P$12)</f>
        <v>0</v>
      </c>
      <c r="S16" s="3"/>
      <c r="T16" s="3">
        <v>-2369.56</v>
      </c>
      <c r="U16" s="3"/>
      <c r="V16" s="20">
        <f>IF(T$12=0,0,T16/T$12)</f>
        <v>-2.4305423064693152</v>
      </c>
      <c r="W16" s="3"/>
      <c r="X16" s="3">
        <f>+P16-T16</f>
        <v>2369.56</v>
      </c>
      <c r="Y16" s="3"/>
      <c r="Z16" s="20">
        <f>IF(T16=0,0,X16/T16)</f>
        <v>-1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>
        <f>D12-D15</f>
        <v>0</v>
      </c>
      <c r="E18" s="15"/>
      <c r="F18" s="23">
        <f>IF(D$12=0,0,D18/D$12)</f>
        <v>0</v>
      </c>
      <c r="G18" s="15"/>
      <c r="H18" s="21">
        <f>H12-H15</f>
        <v>0</v>
      </c>
      <c r="I18" s="15"/>
      <c r="J18" s="23">
        <f>IF(H$12=0,0,H18/H$12)</f>
        <v>0</v>
      </c>
      <c r="K18" s="16"/>
      <c r="L18" s="21">
        <f>+D18-H18</f>
        <v>0</v>
      </c>
      <c r="M18" s="16"/>
      <c r="N18" s="23">
        <f>IF(H18=0,0,L18/H18)</f>
        <v>0</v>
      </c>
      <c r="O18" s="27"/>
      <c r="P18" s="21">
        <f>P12-P15</f>
        <v>0</v>
      </c>
      <c r="Q18" s="15"/>
      <c r="R18" s="23">
        <f>IF(P$12=0,0,P18/P$12)</f>
        <v>0</v>
      </c>
      <c r="S18" s="15"/>
      <c r="T18" s="21">
        <f>T12-T15</f>
        <v>3344.47</v>
      </c>
      <c r="U18" s="15"/>
      <c r="V18" s="23">
        <f>IF(T$12=0,0,T18/T$12)</f>
        <v>3.4305423064693152</v>
      </c>
      <c r="W18" s="16"/>
      <c r="X18" s="21">
        <f>+P18-T18</f>
        <v>-3344.47</v>
      </c>
      <c r="Y18" s="16"/>
      <c r="Z18" s="23">
        <f>IF(T18=0,0,X18/T18)</f>
        <v>-1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cm="1">
        <f t="array" ref="D20">SUM(OSRRefD22x_0)</f>
        <v>0</v>
      </c>
      <c r="E20" s="22"/>
      <c r="F20" s="32">
        <f t="shared" ref="F20:F33" si="0">IF(D$12=0,0,D20/D$12)</f>
        <v>0</v>
      </c>
      <c r="G20" s="22"/>
      <c r="H20" s="22" cm="1">
        <f t="array" ref="H20">SUM(OSRRefH22x_0)</f>
        <v>1825.26</v>
      </c>
      <c r="I20" s="22"/>
      <c r="J20" s="32">
        <f t="shared" ref="J20:J33" si="1">IF(H$12=0,0,H20/H$12)</f>
        <v>0</v>
      </c>
      <c r="K20" s="5"/>
      <c r="L20" s="22">
        <f t="shared" ref="L20:L33" si="2">+D20-H20</f>
        <v>-1825.26</v>
      </c>
      <c r="M20" s="5"/>
      <c r="N20" s="32">
        <f t="shared" ref="N20:N33" si="3">IF(H20=0,0,L20/H20)</f>
        <v>-1</v>
      </c>
      <c r="O20" s="11"/>
      <c r="P20" s="22" cm="1">
        <f t="array" ref="P20">SUM(OSRRefP22x_0)</f>
        <v>372.9</v>
      </c>
      <c r="Q20" s="22"/>
      <c r="R20" s="32">
        <f t="shared" ref="R20:R33" si="4">IF(P$12=0,0,P20/P$12)</f>
        <v>0</v>
      </c>
      <c r="S20" s="22"/>
      <c r="T20" s="22" cm="1">
        <f t="array" ref="T20">SUM(OSRRefT22x_0)</f>
        <v>19917.349999999999</v>
      </c>
      <c r="U20" s="22"/>
      <c r="V20" s="32">
        <f t="shared" ref="V20:V33" si="5">IF(T$12=0,0,T20/T$12)</f>
        <v>20.429937122401043</v>
      </c>
      <c r="W20" s="5"/>
      <c r="X20" s="22">
        <f t="shared" ref="X20:X33" si="6">+P20-T20</f>
        <v>-19544.449999999997</v>
      </c>
      <c r="Y20" s="5"/>
      <c r="Z20" s="32">
        <f t="shared" ref="Z20:Z33" si="7">IF(T20=0,0,X20/T20)</f>
        <v>-0.98127762980516975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702.51</v>
      </c>
      <c r="U21" s="2"/>
      <c r="V21" s="6">
        <f t="shared" si="5"/>
        <v>0.72058959288549718</v>
      </c>
      <c r="W21" s="2"/>
      <c r="X21" s="2">
        <f t="shared" si="6"/>
        <v>-702.51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702.51</v>
      </c>
      <c r="U22" s="3"/>
      <c r="V22" s="7">
        <f t="shared" si="5"/>
        <v>0.72058959288549718</v>
      </c>
      <c r="W22" s="3"/>
      <c r="X22" s="8">
        <f t="shared" si="6"/>
        <v>-702.51</v>
      </c>
      <c r="Y22" s="3"/>
      <c r="Z22" s="7">
        <f t="shared" si="7"/>
        <v>-1</v>
      </c>
    </row>
    <row r="23" spans="1:26" s="68" customFormat="1" ht="15" customHeight="1" outlineLevel="1" collapsed="1" x14ac:dyDescent="0.3">
      <c r="A23" s="25"/>
      <c r="B23" s="14" t="str">
        <f>CONCATENATE("     ","Advertising/Promo                                 ")</f>
        <v xml:space="preserve">     Advertising/Promo                                 </v>
      </c>
      <c r="C23" s="14"/>
      <c r="D23" s="2">
        <f>SUM(OSRRefD22_1x_0)</f>
        <v>0</v>
      </c>
      <c r="E23" s="2"/>
      <c r="F23" s="6">
        <f t="shared" si="0"/>
        <v>0</v>
      </c>
      <c r="G23" s="2"/>
      <c r="H23" s="2">
        <f>SUM(OSRRefH22_1x_0)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SUM(OSRRefP22_1x_0)</f>
        <v>0</v>
      </c>
      <c r="Q23" s="2"/>
      <c r="R23" s="6">
        <f t="shared" si="4"/>
        <v>0</v>
      </c>
      <c r="S23" s="2"/>
      <c r="T23" s="2">
        <f>SUM(OSRRefT22_1x_0)</f>
        <v>83.83</v>
      </c>
      <c r="U23" s="2"/>
      <c r="V23" s="6">
        <f t="shared" si="5"/>
        <v>8.5987424480208435E-2</v>
      </c>
      <c r="W23" s="2"/>
      <c r="X23" s="2">
        <f t="shared" si="6"/>
        <v>-83.83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","6362"," - ","ADVERTISING EXPENSE")</f>
        <v xml:space="preserve">          6362 - ADVERTISING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83.83</v>
      </c>
      <c r="U24" s="3"/>
      <c r="V24" s="7">
        <f t="shared" si="5"/>
        <v>8.5987424480208435E-2</v>
      </c>
      <c r="W24" s="3"/>
      <c r="X24" s="8">
        <f t="shared" si="6"/>
        <v>-83.83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","Depreciation                                      ")</f>
        <v xml:space="preserve">     Depreciation                                      </v>
      </c>
      <c r="C25" s="14"/>
      <c r="D25" s="2">
        <f>SUM(OSRRefD22_2x_0)</f>
        <v>0</v>
      </c>
      <c r="E25" s="2"/>
      <c r="F25" s="6">
        <f t="shared" si="0"/>
        <v>0</v>
      </c>
      <c r="G25" s="2"/>
      <c r="H25" s="2">
        <f>SUM(OSRRefH22_2x_0)</f>
        <v>1825.26</v>
      </c>
      <c r="I25" s="2"/>
      <c r="J25" s="6">
        <f t="shared" si="1"/>
        <v>0</v>
      </c>
      <c r="K25" s="2"/>
      <c r="L25" s="2">
        <f t="shared" si="2"/>
        <v>-1825.26</v>
      </c>
      <c r="M25" s="2"/>
      <c r="N25" s="6">
        <f t="shared" si="3"/>
        <v>-1</v>
      </c>
      <c r="O25" s="14"/>
      <c r="P25" s="2">
        <f>SUM(OSRRefP22_2x_0)</f>
        <v>0</v>
      </c>
      <c r="Q25" s="2"/>
      <c r="R25" s="6">
        <f t="shared" si="4"/>
        <v>0</v>
      </c>
      <c r="S25" s="2"/>
      <c r="T25" s="2">
        <f>SUM(OSRRefT22_2x_0)</f>
        <v>18399.39</v>
      </c>
      <c r="U25" s="2"/>
      <c r="V25" s="6">
        <f t="shared" si="5"/>
        <v>18.872911345662676</v>
      </c>
      <c r="W25" s="2"/>
      <c r="X25" s="2">
        <f t="shared" si="6"/>
        <v>-18399.39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","6322"," - ","EQUIPMENT DEPRECIATION EXPENSE")</f>
        <v xml:space="preserve">          6322 - EQUIPMENT DEPRECIATION EXPENSE</v>
      </c>
      <c r="C26" s="12"/>
      <c r="D26" s="8"/>
      <c r="E26" s="3"/>
      <c r="F26" s="7">
        <f t="shared" si="0"/>
        <v>0</v>
      </c>
      <c r="G26" s="3"/>
      <c r="H26" s="8">
        <v>1825.26</v>
      </c>
      <c r="I26" s="3"/>
      <c r="J26" s="7">
        <f t="shared" si="1"/>
        <v>0</v>
      </c>
      <c r="K26" s="3"/>
      <c r="L26" s="8">
        <f t="shared" si="2"/>
        <v>-1825.26</v>
      </c>
      <c r="M26" s="3"/>
      <c r="N26" s="7">
        <f t="shared" si="3"/>
        <v>-1</v>
      </c>
      <c r="O26" s="12"/>
      <c r="P26" s="8"/>
      <c r="Q26" s="3"/>
      <c r="R26" s="7">
        <f t="shared" si="4"/>
        <v>0</v>
      </c>
      <c r="S26" s="3"/>
      <c r="T26" s="8">
        <v>18399.39</v>
      </c>
      <c r="U26" s="3"/>
      <c r="V26" s="7">
        <f t="shared" si="5"/>
        <v>18.872911345662676</v>
      </c>
      <c r="W26" s="3"/>
      <c r="X26" s="8">
        <f t="shared" si="6"/>
        <v>-18399.39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","Equipment Rental                                  ")</f>
        <v xml:space="preserve">     Equipment Rental                                  </v>
      </c>
      <c r="C27" s="14"/>
      <c r="D27" s="2">
        <f>SUM(OSRRefD22_3x_0)</f>
        <v>0</v>
      </c>
      <c r="E27" s="2"/>
      <c r="F27" s="6">
        <f t="shared" si="0"/>
        <v>0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SUM(OSRRefP22_3x_0)</f>
        <v>118.91</v>
      </c>
      <c r="Q27" s="2"/>
      <c r="R27" s="6">
        <f t="shared" si="4"/>
        <v>0</v>
      </c>
      <c r="S27" s="2"/>
      <c r="T27" s="2">
        <f>SUM(OSRRefT22_3x_0)</f>
        <v>96.3</v>
      </c>
      <c r="U27" s="2"/>
      <c r="V27" s="6">
        <f t="shared" si="5"/>
        <v>9.8778348770655749E-2</v>
      </c>
      <c r="W27" s="2"/>
      <c r="X27" s="2">
        <f t="shared" si="6"/>
        <v>22.61</v>
      </c>
      <c r="Y27" s="2"/>
      <c r="Z27" s="6">
        <f t="shared" si="7"/>
        <v>0.2347871235721703</v>
      </c>
    </row>
    <row r="28" spans="1:26" s="69" customFormat="1" ht="15" hidden="1" customHeight="1" outlineLevel="2" x14ac:dyDescent="0.3">
      <c r="A28" s="26"/>
      <c r="B28" s="12" t="str">
        <f>CONCATENATE("          ","6351"," - ","EQUIPMENT RENTAL")</f>
        <v xml:space="preserve">          6351 - EQUIPMENT RENTAL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118.91</v>
      </c>
      <c r="Q28" s="3"/>
      <c r="R28" s="7">
        <f t="shared" si="4"/>
        <v>0</v>
      </c>
      <c r="S28" s="3"/>
      <c r="T28" s="8">
        <v>96.3</v>
      </c>
      <c r="U28" s="3"/>
      <c r="V28" s="7">
        <f t="shared" si="5"/>
        <v>9.8778348770655749E-2</v>
      </c>
      <c r="W28" s="3"/>
      <c r="X28" s="8">
        <f t="shared" si="6"/>
        <v>22.61</v>
      </c>
      <c r="Y28" s="3"/>
      <c r="Z28" s="7">
        <f t="shared" si="7"/>
        <v>0.2347871235721703</v>
      </c>
    </row>
    <row r="29" spans="1:26" s="68" customFormat="1" ht="15" customHeight="1" outlineLevel="1" collapsed="1" x14ac:dyDescent="0.3">
      <c r="A29" s="25"/>
      <c r="B29" s="14" t="str">
        <f>CONCATENATE("     ","General                                           ")</f>
        <v xml:space="preserve">     General 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7.28</v>
      </c>
      <c r="U29" s="2"/>
      <c r="V29" s="6">
        <f t="shared" si="5"/>
        <v>7.467355961063073E-3</v>
      </c>
      <c r="W29" s="2"/>
      <c r="X29" s="2">
        <f t="shared" si="6"/>
        <v>-7.28</v>
      </c>
      <c r="Y29" s="2"/>
      <c r="Z29" s="6">
        <f t="shared" si="7"/>
        <v>-1</v>
      </c>
    </row>
    <row r="30" spans="1:26" s="69" customFormat="1" ht="15" hidden="1" customHeight="1" outlineLevel="2" x14ac:dyDescent="0.3">
      <c r="A30" s="26"/>
      <c r="B30" s="12" t="str">
        <f>CONCATENATE("          ","6279"," - ","GENERAL EXPENSE")</f>
        <v xml:space="preserve">          6279 - GENERAL EXPENSE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7.28</v>
      </c>
      <c r="U30" s="3"/>
      <c r="V30" s="7">
        <f t="shared" si="5"/>
        <v>7.467355961063073E-3</v>
      </c>
      <c r="W30" s="3"/>
      <c r="X30" s="8">
        <f t="shared" si="6"/>
        <v>-7.28</v>
      </c>
      <c r="Y30" s="3"/>
      <c r="Z30" s="7">
        <f t="shared" si="7"/>
        <v>-1</v>
      </c>
    </row>
    <row r="31" spans="1:26" s="68" customFormat="1" ht="15" customHeight="1" outlineLevel="1" collapsed="1" x14ac:dyDescent="0.3">
      <c r="A31" s="25"/>
      <c r="B31" s="14" t="str">
        <f>CONCATENATE("     ","Repair and Maintenance                            ")</f>
        <v xml:space="preserve">     Repair and Maintenance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253.99</v>
      </c>
      <c r="Q31" s="2"/>
      <c r="R31" s="6">
        <f t="shared" si="4"/>
        <v>0</v>
      </c>
      <c r="S31" s="2"/>
      <c r="T31" s="2">
        <f>SUM(OSRRefT22_5x_0)</f>
        <v>628.04</v>
      </c>
      <c r="U31" s="2"/>
      <c r="V31" s="6">
        <f t="shared" si="5"/>
        <v>0.64420305464094119</v>
      </c>
      <c r="W31" s="2"/>
      <c r="X31" s="2">
        <f t="shared" si="6"/>
        <v>-374.04999999999995</v>
      </c>
      <c r="Y31" s="2"/>
      <c r="Z31" s="6">
        <f t="shared" si="7"/>
        <v>-0.59558308388000758</v>
      </c>
    </row>
    <row r="32" spans="1:26" s="69" customFormat="1" ht="15" hidden="1" customHeight="1" outlineLevel="2" x14ac:dyDescent="0.3">
      <c r="A32" s="26"/>
      <c r="B32" s="12" t="str">
        <f>CONCATENATE("          ","6373"," - ","MAINTENANCE CONTRACTS")</f>
        <v xml:space="preserve">          6373 - MAINTENANCE CONTRACTS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253.99</v>
      </c>
      <c r="Q32" s="3"/>
      <c r="R32" s="7">
        <f t="shared" si="4"/>
        <v>0</v>
      </c>
      <c r="S32" s="3"/>
      <c r="T32" s="8">
        <v>428.04</v>
      </c>
      <c r="U32" s="3"/>
      <c r="V32" s="7">
        <f t="shared" si="5"/>
        <v>0.43905591285349421</v>
      </c>
      <c r="W32" s="3"/>
      <c r="X32" s="8">
        <f t="shared" si="6"/>
        <v>-174.05</v>
      </c>
      <c r="Y32" s="3"/>
      <c r="Z32" s="7">
        <f t="shared" si="7"/>
        <v>-0.40662087655359314</v>
      </c>
    </row>
    <row r="33" spans="1:26" s="69" customFormat="1" ht="15" hidden="1" customHeight="1" outlineLevel="2" x14ac:dyDescent="0.3">
      <c r="A33" s="26"/>
      <c r="B33" s="12" t="str">
        <f>CONCATENATE("          ","6375"," - ","OUTSIDE REPAIRS &amp; MAINTENANCE")</f>
        <v xml:space="preserve">          6375 - OUTSIDE REPAIRS &amp; MAINTENANCE</v>
      </c>
      <c r="C33" s="12"/>
      <c r="D33" s="8"/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200</v>
      </c>
      <c r="U33" s="3"/>
      <c r="V33" s="7">
        <f t="shared" si="5"/>
        <v>0.20514714178744706</v>
      </c>
      <c r="W33" s="3"/>
      <c r="X33" s="8">
        <f t="shared" si="6"/>
        <v>-200</v>
      </c>
      <c r="Y33" s="3"/>
      <c r="Z33" s="7">
        <f t="shared" si="7"/>
        <v>-1</v>
      </c>
    </row>
    <row r="34" spans="1:26" s="64" customFormat="1" ht="15" customHeight="1" x14ac:dyDescent="0.3">
      <c r="A34" s="36"/>
      <c r="B34" s="36"/>
      <c r="C34" s="36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3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62" customFormat="1" ht="15" customHeight="1" x14ac:dyDescent="0.3">
      <c r="A35" s="11"/>
      <c r="B35" s="27" t="s">
        <v>290</v>
      </c>
      <c r="C35" s="11"/>
      <c r="D35" s="5">
        <f>SUM(0)</f>
        <v>0</v>
      </c>
      <c r="E35" s="5"/>
      <c r="F35" s="13">
        <f>IF(D$12=0,0,D35/D$12)</f>
        <v>0</v>
      </c>
      <c r="G35" s="5"/>
      <c r="H35" s="5">
        <f>SUM(0)</f>
        <v>0</v>
      </c>
      <c r="I35" s="5"/>
      <c r="J35" s="13">
        <f>IF(H$12=0,0,H35/H$12)</f>
        <v>0</v>
      </c>
      <c r="K35" s="5"/>
      <c r="L35" s="5">
        <f>+D35-H35</f>
        <v>0</v>
      </c>
      <c r="M35" s="5"/>
      <c r="N35" s="13">
        <f>IF(H35=0,0,L35/H35)</f>
        <v>0</v>
      </c>
      <c r="O35" s="11"/>
      <c r="P35" s="5">
        <f>SUM(0)</f>
        <v>0</v>
      </c>
      <c r="Q35" s="5"/>
      <c r="R35" s="13">
        <f>IF(P$12=0,0,P35/P$12)</f>
        <v>0</v>
      </c>
      <c r="S35" s="5"/>
      <c r="T35" s="5">
        <f>SUM(0)</f>
        <v>0</v>
      </c>
      <c r="U35" s="5"/>
      <c r="V35" s="13">
        <f>IF(T$12=0,0,T35/T$12)</f>
        <v>0</v>
      </c>
      <c r="W35" s="5"/>
      <c r="X35" s="5">
        <f>+P35-T35</f>
        <v>0</v>
      </c>
      <c r="Y35" s="5"/>
      <c r="Z35" s="13">
        <f>IF(T35=0,0,X35/T35)</f>
        <v>0</v>
      </c>
    </row>
    <row r="36" spans="1:26" ht="15" customHeight="1" x14ac:dyDescent="0.3">
      <c r="A36" s="10"/>
      <c r="B36" s="11"/>
      <c r="C36" s="11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O36" s="11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291</v>
      </c>
      <c r="C37" s="28"/>
      <c r="D37" s="21">
        <f>+D18-D20+D35</f>
        <v>0</v>
      </c>
      <c r="E37" s="15"/>
      <c r="F37" s="23">
        <f>IF(D$12=0,0,D37/D$12)</f>
        <v>0</v>
      </c>
      <c r="G37" s="15"/>
      <c r="H37" s="21">
        <f>+H18-H20+H35</f>
        <v>-1825.26</v>
      </c>
      <c r="I37" s="15"/>
      <c r="J37" s="23">
        <f>IF(H$12=0,0,H37/H$12)</f>
        <v>0</v>
      </c>
      <c r="K37" s="16"/>
      <c r="L37" s="21">
        <f>+D37-H37</f>
        <v>1825.26</v>
      </c>
      <c r="M37" s="16"/>
      <c r="N37" s="23">
        <f>IF(H37=0,0,L37/H37)</f>
        <v>-1</v>
      </c>
      <c r="O37" s="27"/>
      <c r="P37" s="21">
        <f>+P18-P20+P35</f>
        <v>-372.9</v>
      </c>
      <c r="Q37" s="15"/>
      <c r="R37" s="23">
        <f>IF(P$12=0,0,P37/P$12)</f>
        <v>0</v>
      </c>
      <c r="S37" s="15"/>
      <c r="T37" s="21">
        <f>+T18-T20+T35</f>
        <v>-16572.879999999997</v>
      </c>
      <c r="U37" s="15"/>
      <c r="V37" s="23">
        <f>IF(T$12=0,0,T37/T$12)</f>
        <v>-16.999394815931726</v>
      </c>
      <c r="W37" s="16"/>
      <c r="X37" s="21">
        <f>+P37-T37</f>
        <v>16199.979999999998</v>
      </c>
      <c r="Y37" s="16"/>
      <c r="Z37" s="23">
        <f>IF(T37=0,0,X37/T37)</f>
        <v>-0.97749938453666474</v>
      </c>
    </row>
    <row r="38" spans="1:26" ht="15" customHeight="1" x14ac:dyDescent="0.3">
      <c r="A38" s="10"/>
      <c r="B38" s="11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48"/>
      <c r="B39" s="11" t="s">
        <v>292</v>
      </c>
      <c r="C39" s="11"/>
      <c r="D39" s="5"/>
      <c r="E39" s="5"/>
      <c r="F39" s="13">
        <f>IF(D$12=0,0,D39/D$12)</f>
        <v>0</v>
      </c>
      <c r="G39" s="5"/>
      <c r="H39" s="5">
        <v>3.04</v>
      </c>
      <c r="I39" s="5"/>
      <c r="J39" s="13">
        <f>IF(H$12=0,0,H39/H$12)</f>
        <v>0</v>
      </c>
      <c r="K39" s="5"/>
      <c r="L39" s="5">
        <f>+D39-H39</f>
        <v>-3.04</v>
      </c>
      <c r="M39" s="5"/>
      <c r="N39" s="13">
        <f>IF(H39=0,0,L39/H39)</f>
        <v>-1</v>
      </c>
      <c r="O39" s="11"/>
      <c r="P39" s="5"/>
      <c r="Q39" s="5"/>
      <c r="R39" s="13">
        <f>IF(P$12=0,0,P39/P$12)</f>
        <v>0</v>
      </c>
      <c r="S39" s="5"/>
      <c r="T39" s="5">
        <v>203.96</v>
      </c>
      <c r="U39" s="5"/>
      <c r="V39" s="13">
        <f>IF(T$12=0,0,T39/T$12)</f>
        <v>0.20920905519483851</v>
      </c>
      <c r="W39" s="5"/>
      <c r="X39" s="5">
        <f>+P39-T39</f>
        <v>-203.96</v>
      </c>
      <c r="Y39" s="5"/>
      <c r="Z39" s="13">
        <f>IF(T39=0,0,X39/T39)</f>
        <v>-1</v>
      </c>
    </row>
    <row r="40" spans="1:26" ht="15" customHeight="1" x14ac:dyDescent="0.3">
      <c r="A40" s="10"/>
      <c r="B40" s="11"/>
      <c r="C40" s="11"/>
      <c r="D40" s="4"/>
      <c r="E40" s="4"/>
      <c r="F40" s="9"/>
      <c r="G40" s="4"/>
      <c r="H40" s="4"/>
      <c r="I40" s="4"/>
      <c r="J40" s="9"/>
      <c r="K40" s="4"/>
      <c r="L40" s="4"/>
      <c r="M40" s="4"/>
      <c r="N40" s="9"/>
      <c r="O40" s="11"/>
      <c r="P40" s="4"/>
      <c r="Q40" s="4"/>
      <c r="R40" s="9"/>
      <c r="S40" s="4"/>
      <c r="T40" s="4"/>
      <c r="U40" s="4"/>
      <c r="V40" s="9"/>
      <c r="W40" s="4"/>
      <c r="X40" s="4"/>
      <c r="Y40" s="4"/>
      <c r="Z40" s="9"/>
    </row>
    <row r="41" spans="1:26" s="62" customFormat="1" ht="15" customHeight="1" x14ac:dyDescent="0.3">
      <c r="A41" s="11"/>
      <c r="B41" s="28" t="s">
        <v>293</v>
      </c>
      <c r="C41" s="28"/>
      <c r="D41" s="34">
        <f>+D37-D39</f>
        <v>0</v>
      </c>
      <c r="E41" s="15"/>
      <c r="F41" s="30">
        <f>IF(D$12=0,0,D41/D$12)</f>
        <v>0</v>
      </c>
      <c r="G41" s="15"/>
      <c r="H41" s="34">
        <f>+H37-H39</f>
        <v>-1828.3</v>
      </c>
      <c r="I41" s="15"/>
      <c r="J41" s="30">
        <f>IF(H$12=0,0,H41/H$12)</f>
        <v>0</v>
      </c>
      <c r="K41" s="16"/>
      <c r="L41" s="34">
        <f>D41-H41</f>
        <v>1828.3</v>
      </c>
      <c r="M41" s="16"/>
      <c r="N41" s="30">
        <f>IF(H41=0,0,L41/H41)</f>
        <v>-1</v>
      </c>
      <c r="O41" s="27"/>
      <c r="P41" s="34">
        <f>+P37-P39</f>
        <v>-372.9</v>
      </c>
      <c r="Q41" s="15"/>
      <c r="R41" s="30">
        <f>IF(P$12=0,0,P41/P$12)</f>
        <v>0</v>
      </c>
      <c r="S41" s="15"/>
      <c r="T41" s="34">
        <f>+T37-T39</f>
        <v>-16776.839999999997</v>
      </c>
      <c r="U41" s="15"/>
      <c r="V41" s="30">
        <f>IF(T$12=0,0,T41/T$12)</f>
        <v>-17.208603871126563</v>
      </c>
      <c r="W41" s="16"/>
      <c r="X41" s="34">
        <f>P41-T41</f>
        <v>16403.939999999995</v>
      </c>
      <c r="Y41" s="16"/>
      <c r="Z41" s="30">
        <f>IF(T41=0,0,X41/T41)</f>
        <v>-0.97777292982468678</v>
      </c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s="62" customFormat="1" ht="15" customHeight="1" x14ac:dyDescent="0.3">
      <c r="A44" s="11"/>
      <c r="B44" s="28" t="s">
        <v>296</v>
      </c>
      <c r="C44" s="28"/>
      <c r="D44" s="29">
        <f>SUM(D41:D43)</f>
        <v>0</v>
      </c>
      <c r="E44" s="15"/>
      <c r="F44" s="35">
        <f>IF(D$12=0,0,D44/D$12)</f>
        <v>0</v>
      </c>
      <c r="G44" s="15"/>
      <c r="H44" s="29">
        <f>SUM(H41:H43)</f>
        <v>-1828.3</v>
      </c>
      <c r="I44" s="15"/>
      <c r="J44" s="35">
        <f>IF(H$12=0,0,H44/H$12)</f>
        <v>0</v>
      </c>
      <c r="K44" s="16"/>
      <c r="L44" s="29">
        <f>+D44-H44</f>
        <v>1828.3</v>
      </c>
      <c r="M44" s="16"/>
      <c r="N44" s="35">
        <f>IF(H44=0,0,L44/H44)</f>
        <v>-1</v>
      </c>
      <c r="O44" s="27"/>
      <c r="P44" s="29">
        <f>SUM(P41:P43)</f>
        <v>-372.9</v>
      </c>
      <c r="Q44" s="15"/>
      <c r="R44" s="35">
        <f>IF(P$12=0,0,P44/P$12)</f>
        <v>0</v>
      </c>
      <c r="S44" s="15"/>
      <c r="T44" s="29">
        <f>SUM(T41:T43)</f>
        <v>-16776.839999999997</v>
      </c>
      <c r="U44" s="15"/>
      <c r="V44" s="35">
        <f>IF(T$12=0,0,T44/T$12)</f>
        <v>-17.208603871126563</v>
      </c>
      <c r="W44" s="16"/>
      <c r="X44" s="29">
        <f>+P44-T44</f>
        <v>16403.939999999995</v>
      </c>
      <c r="Y44" s="16"/>
      <c r="Z44" s="35">
        <f>IF(T44=0,0,X44/T44)</f>
        <v>-0.97777292982468678</v>
      </c>
    </row>
    <row r="45" spans="1:26" ht="15" customHeight="1" x14ac:dyDescent="0.3">
      <c r="A45" s="10"/>
      <c r="C45" s="10"/>
      <c r="D45" s="18"/>
      <c r="E45" s="18"/>
      <c r="G45" s="18"/>
      <c r="H45" s="18"/>
      <c r="I45" s="18"/>
      <c r="J45" s="40"/>
      <c r="K45" s="18"/>
      <c r="L45" s="18"/>
      <c r="M45" s="18"/>
      <c r="P45" s="18"/>
      <c r="Q45" s="18"/>
      <c r="R45" s="40"/>
      <c r="S45" s="18"/>
      <c r="T45" s="18"/>
      <c r="U45" s="18"/>
      <c r="V45" s="40"/>
      <c r="W45" s="18"/>
      <c r="X45" s="18"/>
    </row>
    <row r="46" spans="1:26" ht="15" customHeight="1" x14ac:dyDescent="0.3">
      <c r="A46" s="10"/>
      <c r="B46" s="56">
        <v>44694.890829479169</v>
      </c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3">
      <c r="A47" s="10"/>
      <c r="B47" s="52" t="s">
        <v>297</v>
      </c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  <row r="48" spans="1:26" ht="15" customHeight="1" x14ac:dyDescent="0.3">
      <c r="A48" s="10"/>
      <c r="B48" s="58"/>
      <c r="D48" s="18"/>
      <c r="E48" s="18"/>
      <c r="G48" s="18"/>
      <c r="H48" s="18"/>
      <c r="I48" s="18"/>
      <c r="J48" s="40"/>
      <c r="K48" s="18"/>
      <c r="L48" s="18"/>
      <c r="M48" s="18"/>
      <c r="P48" s="18"/>
      <c r="Q48" s="18"/>
      <c r="R48" s="40"/>
      <c r="S48" s="18"/>
      <c r="T48" s="18"/>
      <c r="U48" s="18"/>
      <c r="V48" s="40"/>
      <c r="W48" s="18"/>
      <c r="X48" s="18"/>
    </row>
    <row r="49" spans="4:24" ht="15" customHeight="1" x14ac:dyDescent="0.3">
      <c r="D49" s="18"/>
      <c r="E49" s="18"/>
      <c r="G49" s="18"/>
      <c r="H49" s="18"/>
      <c r="I49" s="18"/>
      <c r="J49" s="40"/>
      <c r="K49" s="18"/>
      <c r="L49" s="18"/>
      <c r="M49" s="18"/>
      <c r="P49" s="18"/>
      <c r="Q49" s="18"/>
      <c r="R49" s="40"/>
      <c r="S49" s="18"/>
      <c r="T49" s="18"/>
      <c r="U49" s="18"/>
      <c r="V49" s="40"/>
      <c r="W49" s="18"/>
      <c r="X4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DB29-D426-A80D-B354-7EA51232738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298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8B328-5C21-8E54-5187-343ABCE12AC3}">
  <sheetPr>
    <tabColor rgb="FF92D050"/>
    <outlinePr summaryBelow="0" summaryRight="0"/>
  </sheetPr>
  <dimension ref="A2:Z9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","415"," - ","Outpost")</f>
        <v>Department 415 - Outpost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174866.5</v>
      </c>
      <c r="E12" s="5"/>
      <c r="F12" s="13"/>
      <c r="G12" s="5"/>
      <c r="H12" s="5">
        <f>SUM(OSRRefH13x_0)</f>
        <v>12771.779999999999</v>
      </c>
      <c r="I12" s="5"/>
      <c r="J12" s="13"/>
      <c r="K12" s="5"/>
      <c r="L12" s="5">
        <f>+D12-H12</f>
        <v>162094.72</v>
      </c>
      <c r="M12" s="5"/>
      <c r="N12" s="13">
        <f>IF(H12=0,0,L12/H12)</f>
        <v>12.691631080397565</v>
      </c>
      <c r="O12" s="11"/>
      <c r="P12" s="5">
        <f>SUM(OSRRefP13x_0)</f>
        <v>765443.13</v>
      </c>
      <c r="Q12" s="5"/>
      <c r="R12" s="13"/>
      <c r="S12" s="5"/>
      <c r="T12" s="5">
        <f>SUM(OSRRefT13x_0)</f>
        <v>63389.66</v>
      </c>
      <c r="U12" s="5"/>
      <c r="V12" s="13"/>
      <c r="W12" s="5"/>
      <c r="X12" s="5">
        <f>+P12-T12</f>
        <v>702053.47</v>
      </c>
      <c r="Y12" s="5"/>
      <c r="Z12" s="13">
        <f>IF(T12=0,0,X12/T12)</f>
        <v>11.075204852021606</v>
      </c>
    </row>
    <row r="13" spans="1:26" s="69" customFormat="1" ht="15" hidden="1" customHeight="1" outlineLevel="1" x14ac:dyDescent="0.3">
      <c r="A13" s="42"/>
      <c r="B13" s="12" t="str">
        <f>CONCATENATE("          ","4051"," - ","TAXABLE SALES-FOOD")</f>
        <v xml:space="preserve">          4051 - TAXABLE SALES-FOOD</v>
      </c>
      <c r="C13" s="12"/>
      <c r="D13" s="3">
        <f>--48352.68</f>
        <v>48352.68</v>
      </c>
      <c r="E13" s="3"/>
      <c r="F13" s="20"/>
      <c r="G13" s="3"/>
      <c r="H13" s="3">
        <f>--6552.2</f>
        <v>6552.2</v>
      </c>
      <c r="I13" s="3"/>
      <c r="J13" s="20"/>
      <c r="K13" s="3"/>
      <c r="L13" s="3">
        <f>+D13-H13</f>
        <v>41800.480000000003</v>
      </c>
      <c r="M13" s="3"/>
      <c r="N13" s="20">
        <f>IF(H13=0,0,L13/H13)</f>
        <v>6.379609902017644</v>
      </c>
      <c r="O13" s="12"/>
      <c r="P13" s="3">
        <f>--261544.87</f>
        <v>261544.87</v>
      </c>
      <c r="Q13" s="3"/>
      <c r="R13" s="20"/>
      <c r="S13" s="3"/>
      <c r="T13" s="3">
        <f>--32121.26</f>
        <v>32121.26</v>
      </c>
      <c r="U13" s="3"/>
      <c r="V13" s="20"/>
      <c r="W13" s="3"/>
      <c r="X13" s="3">
        <f>+P13-T13</f>
        <v>229423.61</v>
      </c>
      <c r="Y13" s="3"/>
      <c r="Z13" s="20">
        <f>IF(T13=0,0,X13/T13)</f>
        <v>7.1424224952570352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--126513.82</f>
        <v>126513.82</v>
      </c>
      <c r="E14" s="3"/>
      <c r="F14" s="20"/>
      <c r="G14" s="3"/>
      <c r="H14" s="3">
        <f>--6219.58</f>
        <v>6219.58</v>
      </c>
      <c r="I14" s="3"/>
      <c r="J14" s="20"/>
      <c r="K14" s="3"/>
      <c r="L14" s="3">
        <f>+D14-H14</f>
        <v>120294.24</v>
      </c>
      <c r="M14" s="3"/>
      <c r="N14" s="20">
        <f>IF(H14=0,0,L14/H14)</f>
        <v>19.341215966351427</v>
      </c>
      <c r="O14" s="12"/>
      <c r="P14" s="3">
        <f>--503898.26</f>
        <v>503898.26</v>
      </c>
      <c r="Q14" s="3"/>
      <c r="R14" s="20"/>
      <c r="S14" s="3"/>
      <c r="T14" s="3">
        <f>--31268.4</f>
        <v>31268.400000000001</v>
      </c>
      <c r="U14" s="3"/>
      <c r="V14" s="20"/>
      <c r="W14" s="3"/>
      <c r="X14" s="3">
        <f>+P14-T14</f>
        <v>472629.86</v>
      </c>
      <c r="Y14" s="3"/>
      <c r="Z14" s="20">
        <f>IF(T14=0,0,X14/T14)</f>
        <v>15.115255657468881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42986.32</v>
      </c>
      <c r="E16" s="5"/>
      <c r="F16" s="13">
        <f>IF(D$12=0,0,D16/D$12)</f>
        <v>0.24582364260736048</v>
      </c>
      <c r="G16" s="5"/>
      <c r="H16" s="5">
        <f>SUM(OSRRefH16x_0)</f>
        <v>3876.35</v>
      </c>
      <c r="I16" s="5"/>
      <c r="J16" s="13">
        <f>IF(H$12=0,0,H16/H$12)</f>
        <v>0.30350898621805261</v>
      </c>
      <c r="K16" s="5"/>
      <c r="L16" s="5">
        <f>+D16-H16</f>
        <v>39109.97</v>
      </c>
      <c r="M16" s="5"/>
      <c r="N16" s="13">
        <f>IF(H16=0,0,L16/H16)</f>
        <v>10.089380473899416</v>
      </c>
      <c r="O16" s="11"/>
      <c r="P16" s="5">
        <f>SUM(OSRRefP16x_0)</f>
        <v>244350.18</v>
      </c>
      <c r="Q16" s="5"/>
      <c r="R16" s="13">
        <f>IF(P$12=0,0,P16/P$12)</f>
        <v>0.31922708614551154</v>
      </c>
      <c r="S16" s="5"/>
      <c r="T16" s="5">
        <f>SUM(OSRRefT16x_0)</f>
        <v>25154.489999999998</v>
      </c>
      <c r="U16" s="5"/>
      <c r="V16" s="13">
        <f>IF(T$12=0,0,T16/T$12)</f>
        <v>0.39682323584004076</v>
      </c>
      <c r="W16" s="5"/>
      <c r="X16" s="5">
        <f>+P16-T16</f>
        <v>219195.69</v>
      </c>
      <c r="Y16" s="5"/>
      <c r="Z16" s="13">
        <f>IF(T16=0,0,X16/T16)</f>
        <v>8.7139786972425206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46534.52</v>
      </c>
      <c r="E17" s="3"/>
      <c r="F17" s="20">
        <f>IF(D$12=0,0,D17/D$12)</f>
        <v>0.26611455024261366</v>
      </c>
      <c r="G17" s="3"/>
      <c r="H17" s="3">
        <v>3742.42</v>
      </c>
      <c r="I17" s="3"/>
      <c r="J17" s="20">
        <f>IF(H$12=0,0,H17/H$12)</f>
        <v>0.29302258573198103</v>
      </c>
      <c r="K17" s="3"/>
      <c r="L17" s="3">
        <f>+D17-H17</f>
        <v>42792.1</v>
      </c>
      <c r="M17" s="3"/>
      <c r="N17" s="20">
        <f>IF(H17=0,0,L17/H17)</f>
        <v>11.434339277793512</v>
      </c>
      <c r="O17" s="12"/>
      <c r="P17" s="3">
        <v>253355.15</v>
      </c>
      <c r="Q17" s="3"/>
      <c r="R17" s="20">
        <f>IF(P$12=0,0,P17/P$12)</f>
        <v>0.33099147418045283</v>
      </c>
      <c r="S17" s="3"/>
      <c r="T17" s="3">
        <v>19770.48</v>
      </c>
      <c r="U17" s="3"/>
      <c r="V17" s="20">
        <f>IF(T$12=0,0,T17/T$12)</f>
        <v>0.31188809026582565</v>
      </c>
      <c r="W17" s="3"/>
      <c r="X17" s="3">
        <f>+P17-T17</f>
        <v>233584.66999999998</v>
      </c>
      <c r="Y17" s="3"/>
      <c r="Z17" s="20">
        <f>IF(T17=0,0,X17/T17)</f>
        <v>11.814820378665566</v>
      </c>
    </row>
    <row r="18" spans="1:26" s="69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-3548.2</v>
      </c>
      <c r="E18" s="3"/>
      <c r="F18" s="20">
        <f>IF(D$12=0,0,D18/D$12)</f>
        <v>-2.0290907635253177E-2</v>
      </c>
      <c r="G18" s="3"/>
      <c r="H18" s="3">
        <v>133.93</v>
      </c>
      <c r="I18" s="3"/>
      <c r="J18" s="20">
        <f>IF(H$12=0,0,H18/H$12)</f>
        <v>1.0486400486071638E-2</v>
      </c>
      <c r="K18" s="3"/>
      <c r="L18" s="3">
        <f>+D18-H18</f>
        <v>-3682.1299999999997</v>
      </c>
      <c r="M18" s="3"/>
      <c r="N18" s="20">
        <f>IF(H18=0,0,L18/H18)</f>
        <v>-27.492944075263193</v>
      </c>
      <c r="O18" s="12"/>
      <c r="P18" s="3">
        <v>-9004.9699999999993</v>
      </c>
      <c r="Q18" s="3"/>
      <c r="R18" s="20">
        <f>IF(P$12=0,0,P18/P$12)</f>
        <v>-1.1764388034941276E-2</v>
      </c>
      <c r="S18" s="3"/>
      <c r="T18" s="3">
        <v>5384.01</v>
      </c>
      <c r="U18" s="3"/>
      <c r="V18" s="20">
        <f>IF(T$12=0,0,T18/T$12)</f>
        <v>8.4935145574215096E-2</v>
      </c>
      <c r="W18" s="3"/>
      <c r="X18" s="3">
        <f>+P18-T18</f>
        <v>-14388.98</v>
      </c>
      <c r="Y18" s="3"/>
      <c r="Z18" s="20">
        <f>IF(T18=0,0,X18/T18)</f>
        <v>-2.6725396126678813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2" customFormat="1" ht="15" customHeight="1" x14ac:dyDescent="0.3">
      <c r="A20" s="11"/>
      <c r="B20" s="28" t="s">
        <v>288</v>
      </c>
      <c r="C20" s="28"/>
      <c r="D20" s="21">
        <f>D12-D16</f>
        <v>131880.18</v>
      </c>
      <c r="E20" s="15"/>
      <c r="F20" s="23">
        <f>IF(D$12=0,0,D20/D$12)</f>
        <v>0.75417635739263944</v>
      </c>
      <c r="G20" s="15"/>
      <c r="H20" s="21">
        <f>H12-H16</f>
        <v>8895.4299999999985</v>
      </c>
      <c r="I20" s="15"/>
      <c r="J20" s="23">
        <f>IF(H$12=0,0,H20/H$12)</f>
        <v>0.69649101378194733</v>
      </c>
      <c r="K20" s="16"/>
      <c r="L20" s="21">
        <f>+D20-H20</f>
        <v>122984.75</v>
      </c>
      <c r="M20" s="16"/>
      <c r="N20" s="23">
        <f>IF(H20=0,0,L20/H20)</f>
        <v>13.825610453907233</v>
      </c>
      <c r="O20" s="27"/>
      <c r="P20" s="21">
        <f>P12-P16</f>
        <v>521092.95</v>
      </c>
      <c r="Q20" s="15"/>
      <c r="R20" s="23">
        <f>IF(P$12=0,0,P20/P$12)</f>
        <v>0.68077291385448846</v>
      </c>
      <c r="S20" s="15"/>
      <c r="T20" s="21">
        <f>T12-T16</f>
        <v>38235.170000000006</v>
      </c>
      <c r="U20" s="15"/>
      <c r="V20" s="23">
        <f>IF(T$12=0,0,T20/T$12)</f>
        <v>0.60317676415995924</v>
      </c>
      <c r="W20" s="16"/>
      <c r="X20" s="21">
        <f>+P20-T20</f>
        <v>482857.78</v>
      </c>
      <c r="Y20" s="16"/>
      <c r="Z20" s="23">
        <f>IF(T20=0,0,X20/T20)</f>
        <v>12.628629086780572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6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2" customFormat="1" ht="15" customHeight="1" x14ac:dyDescent="0.3">
      <c r="A22" s="11"/>
      <c r="B22" s="27" t="s">
        <v>289</v>
      </c>
      <c r="C22" s="11"/>
      <c r="D22" s="22" cm="1">
        <f t="array" ref="D22">SUM(OSRRefD22x_0)</f>
        <v>104849.36999999998</v>
      </c>
      <c r="E22" s="22"/>
      <c r="F22" s="32">
        <f t="shared" ref="F22:F53" si="0">IF(D$12=0,0,D22/D$12)</f>
        <v>0.59959666374062492</v>
      </c>
      <c r="G22" s="22"/>
      <c r="H22" s="22" cm="1">
        <f t="array" ref="H22">SUM(OSRRefH22x_0)</f>
        <v>65239.47</v>
      </c>
      <c r="I22" s="22"/>
      <c r="J22" s="32">
        <f t="shared" ref="J22:J53" si="1">IF(H$12=0,0,H22/H$12)</f>
        <v>5.1080953477119095</v>
      </c>
      <c r="K22" s="5"/>
      <c r="L22" s="22">
        <f t="shared" ref="L22:L53" si="2">+D22-H22</f>
        <v>39609.89999999998</v>
      </c>
      <c r="M22" s="5"/>
      <c r="N22" s="32">
        <f t="shared" ref="N22:N53" si="3">IF(H22=0,0,L22/H22)</f>
        <v>0.60714625670625433</v>
      </c>
      <c r="O22" s="11"/>
      <c r="P22" s="22" cm="1">
        <f t="array" ref="P22">SUM(OSRRefP22x_0)</f>
        <v>801764.90000000014</v>
      </c>
      <c r="Q22" s="22"/>
      <c r="R22" s="32">
        <f t="shared" ref="R22:R53" si="4">IF(P$12=0,0,P22/P$12)</f>
        <v>1.0474519511331954</v>
      </c>
      <c r="S22" s="22"/>
      <c r="T22" s="22" cm="1">
        <f t="array" ref="T22">SUM(OSRRefT22x_0)</f>
        <v>607520.42000000004</v>
      </c>
      <c r="U22" s="22"/>
      <c r="V22" s="32">
        <f t="shared" ref="V22:V53" si="5">IF(T$12=0,0,T22/T$12)</f>
        <v>9.5839040625868641</v>
      </c>
      <c r="W22" s="5"/>
      <c r="X22" s="22">
        <f t="shared" ref="X22:X53" si="6">+P22-T22</f>
        <v>194244.4800000001</v>
      </c>
      <c r="Y22" s="5"/>
      <c r="Z22" s="32">
        <f t="shared" ref="Z22:Z53" si="7">IF(T22=0,0,X22/T22)</f>
        <v>0.31973325275222864</v>
      </c>
    </row>
    <row r="23" spans="1:26" s="68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12163.599999999999</v>
      </c>
      <c r="E23" s="2"/>
      <c r="F23" s="6">
        <f t="shared" si="0"/>
        <v>6.9559349560950778E-2</v>
      </c>
      <c r="G23" s="2"/>
      <c r="H23" s="2">
        <f>SUM(OSRRefH22_0x_0)</f>
        <v>15119.630000000001</v>
      </c>
      <c r="I23" s="2"/>
      <c r="J23" s="6">
        <f t="shared" si="1"/>
        <v>1.1838310713150402</v>
      </c>
      <c r="K23" s="2"/>
      <c r="L23" s="2">
        <f t="shared" si="2"/>
        <v>-2956.0300000000025</v>
      </c>
      <c r="M23" s="2"/>
      <c r="N23" s="6">
        <f t="shared" si="3"/>
        <v>-0.19550941392084345</v>
      </c>
      <c r="O23" s="14"/>
      <c r="P23" s="2">
        <f>SUM(OSRRefP22_0x_0)</f>
        <v>127277.33</v>
      </c>
      <c r="Q23" s="2"/>
      <c r="R23" s="6">
        <f t="shared" si="4"/>
        <v>0.16627927668512749</v>
      </c>
      <c r="S23" s="2"/>
      <c r="T23" s="2">
        <f>SUM(OSRRefT22_0x_0)</f>
        <v>135468.92000000001</v>
      </c>
      <c r="U23" s="2"/>
      <c r="V23" s="6">
        <f t="shared" si="5"/>
        <v>2.1370822938630685</v>
      </c>
      <c r="W23" s="2"/>
      <c r="X23" s="2">
        <f t="shared" si="6"/>
        <v>-8191.5900000000111</v>
      </c>
      <c r="Y23" s="2"/>
      <c r="Z23" s="6">
        <f t="shared" si="7"/>
        <v>-6.0468408547141368E-2</v>
      </c>
    </row>
    <row r="24" spans="1:26" s="69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3339.89</v>
      </c>
      <c r="E24" s="3"/>
      <c r="F24" s="7">
        <f t="shared" si="0"/>
        <v>1.9099656023309208E-2</v>
      </c>
      <c r="G24" s="3"/>
      <c r="H24" s="8">
        <v>2233.5700000000002</v>
      </c>
      <c r="I24" s="3"/>
      <c r="J24" s="7">
        <f t="shared" si="1"/>
        <v>0.17488321909710317</v>
      </c>
      <c r="K24" s="3"/>
      <c r="L24" s="8">
        <f t="shared" si="2"/>
        <v>1106.3199999999997</v>
      </c>
      <c r="M24" s="3"/>
      <c r="N24" s="7">
        <f t="shared" si="3"/>
        <v>0.49531467560900244</v>
      </c>
      <c r="O24" s="12"/>
      <c r="P24" s="8">
        <v>19210.75</v>
      </c>
      <c r="Q24" s="3"/>
      <c r="R24" s="7">
        <f t="shared" si="4"/>
        <v>2.5097553622305029E-2</v>
      </c>
      <c r="S24" s="3"/>
      <c r="T24" s="8">
        <v>15800.65</v>
      </c>
      <c r="U24" s="3"/>
      <c r="V24" s="7">
        <f t="shared" si="5"/>
        <v>0.2492622613845854</v>
      </c>
      <c r="W24" s="3"/>
      <c r="X24" s="8">
        <f t="shared" si="6"/>
        <v>3410.1000000000004</v>
      </c>
      <c r="Y24" s="3"/>
      <c r="Z24" s="7">
        <f t="shared" si="7"/>
        <v>0.21582023524348684</v>
      </c>
    </row>
    <row r="25" spans="1:26" s="69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1487.34</v>
      </c>
      <c r="E25" s="3"/>
      <c r="F25" s="7">
        <f t="shared" si="0"/>
        <v>8.5055742523582265E-3</v>
      </c>
      <c r="G25" s="3"/>
      <c r="H25" s="8">
        <v>574.29</v>
      </c>
      <c r="I25" s="3"/>
      <c r="J25" s="7">
        <f t="shared" si="1"/>
        <v>4.4965541216651084E-2</v>
      </c>
      <c r="K25" s="3"/>
      <c r="L25" s="8">
        <f t="shared" si="2"/>
        <v>913.05</v>
      </c>
      <c r="M25" s="3"/>
      <c r="N25" s="7">
        <f t="shared" si="3"/>
        <v>1.589876194953769</v>
      </c>
      <c r="O25" s="12"/>
      <c r="P25" s="8">
        <v>10671.14</v>
      </c>
      <c r="Q25" s="3"/>
      <c r="R25" s="7">
        <f t="shared" si="4"/>
        <v>1.3941127148139665E-2</v>
      </c>
      <c r="S25" s="3"/>
      <c r="T25" s="8">
        <v>6500.68</v>
      </c>
      <c r="U25" s="3"/>
      <c r="V25" s="7">
        <f t="shared" si="5"/>
        <v>0.10255111007063297</v>
      </c>
      <c r="W25" s="3"/>
      <c r="X25" s="8">
        <f t="shared" si="6"/>
        <v>4170.4599999999991</v>
      </c>
      <c r="Y25" s="3"/>
      <c r="Z25" s="7">
        <f t="shared" si="7"/>
        <v>0.64154211559406071</v>
      </c>
    </row>
    <row r="26" spans="1:26" s="69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4330.21</v>
      </c>
      <c r="E26" s="3"/>
      <c r="F26" s="7">
        <f t="shared" si="0"/>
        <v>2.476294773441454E-2</v>
      </c>
      <c r="G26" s="3"/>
      <c r="H26" s="8">
        <v>6634.06</v>
      </c>
      <c r="I26" s="3"/>
      <c r="J26" s="7">
        <f t="shared" si="1"/>
        <v>0.51943112079913689</v>
      </c>
      <c r="K26" s="3"/>
      <c r="L26" s="8">
        <f t="shared" si="2"/>
        <v>-2303.8500000000004</v>
      </c>
      <c r="M26" s="3"/>
      <c r="N26" s="7">
        <f t="shared" si="3"/>
        <v>-0.34727602704829325</v>
      </c>
      <c r="O26" s="12"/>
      <c r="P26" s="8">
        <v>60092.91</v>
      </c>
      <c r="Q26" s="3"/>
      <c r="R26" s="7">
        <f t="shared" si="4"/>
        <v>7.8507347763379892E-2</v>
      </c>
      <c r="S26" s="3"/>
      <c r="T26" s="8">
        <v>67467.63</v>
      </c>
      <c r="U26" s="3"/>
      <c r="V26" s="7">
        <f t="shared" si="5"/>
        <v>1.0643317853416472</v>
      </c>
      <c r="W26" s="3"/>
      <c r="X26" s="8">
        <f t="shared" si="6"/>
        <v>-7374.7200000000012</v>
      </c>
      <c r="Y26" s="3"/>
      <c r="Z26" s="7">
        <f t="shared" si="7"/>
        <v>-0.10930753014445595</v>
      </c>
    </row>
    <row r="27" spans="1:26" s="69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107.42</v>
      </c>
      <c r="E27" s="3"/>
      <c r="F27" s="7">
        <f t="shared" si="0"/>
        <v>6.1429719242965346E-4</v>
      </c>
      <c r="G27" s="3"/>
      <c r="H27" s="8">
        <v>49.74</v>
      </c>
      <c r="I27" s="3"/>
      <c r="J27" s="7">
        <f t="shared" si="1"/>
        <v>3.8945237077369016E-3</v>
      </c>
      <c r="K27" s="3"/>
      <c r="L27" s="8">
        <f t="shared" si="2"/>
        <v>57.68</v>
      </c>
      <c r="M27" s="3"/>
      <c r="N27" s="7">
        <f t="shared" si="3"/>
        <v>1.1596300763972658</v>
      </c>
      <c r="O27" s="12"/>
      <c r="P27" s="8">
        <v>770.7</v>
      </c>
      <c r="Q27" s="3"/>
      <c r="R27" s="7">
        <f t="shared" si="4"/>
        <v>1.0068677473138992E-3</v>
      </c>
      <c r="S27" s="3"/>
      <c r="T27" s="8">
        <v>572</v>
      </c>
      <c r="U27" s="3"/>
      <c r="V27" s="7">
        <f t="shared" si="5"/>
        <v>9.0235536836764853E-3</v>
      </c>
      <c r="W27" s="3"/>
      <c r="X27" s="8">
        <f t="shared" si="6"/>
        <v>198.70000000000005</v>
      </c>
      <c r="Y27" s="3"/>
      <c r="Z27" s="7">
        <f t="shared" si="7"/>
        <v>0.34737762237762243</v>
      </c>
    </row>
    <row r="28" spans="1:26" s="69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418.42</v>
      </c>
      <c r="E28" s="3"/>
      <c r="F28" s="7">
        <f t="shared" si="0"/>
        <v>2.3927967906946157E-3</v>
      </c>
      <c r="G28" s="3"/>
      <c r="H28" s="8">
        <v>1499.84</v>
      </c>
      <c r="I28" s="3"/>
      <c r="J28" s="7">
        <f t="shared" si="1"/>
        <v>0.11743390506256764</v>
      </c>
      <c r="K28" s="3"/>
      <c r="L28" s="8">
        <f t="shared" si="2"/>
        <v>-1081.4199999999998</v>
      </c>
      <c r="M28" s="3"/>
      <c r="N28" s="7">
        <f t="shared" si="3"/>
        <v>-0.7210235758480904</v>
      </c>
      <c r="O28" s="12"/>
      <c r="P28" s="8">
        <v>7330.11</v>
      </c>
      <c r="Q28" s="3"/>
      <c r="R28" s="7">
        <f t="shared" si="4"/>
        <v>9.576296020842201E-3</v>
      </c>
      <c r="S28" s="3"/>
      <c r="T28" s="8">
        <v>15928.12</v>
      </c>
      <c r="U28" s="3"/>
      <c r="V28" s="7">
        <f t="shared" si="5"/>
        <v>0.25127315716790405</v>
      </c>
      <c r="W28" s="3"/>
      <c r="X28" s="8">
        <f t="shared" si="6"/>
        <v>-8598.010000000002</v>
      </c>
      <c r="Y28" s="3"/>
      <c r="Z28" s="7">
        <f t="shared" si="7"/>
        <v>-0.53980067955289146</v>
      </c>
    </row>
    <row r="29" spans="1:26" s="69" customFormat="1" ht="15" hidden="1" customHeight="1" outlineLevel="2" x14ac:dyDescent="0.3">
      <c r="A29" s="26"/>
      <c r="B29" s="12" t="str">
        <f>CONCATENATE("          ","6117"," - ","RETIREMENT STAFF HOURLY")</f>
        <v xml:space="preserve">          6117 - RETIREMENT STAFF HOURLY</v>
      </c>
      <c r="C29" s="12"/>
      <c r="D29" s="8">
        <v>56.4</v>
      </c>
      <c r="E29" s="3"/>
      <c r="F29" s="7">
        <f t="shared" si="0"/>
        <v>3.2253175994258475E-4</v>
      </c>
      <c r="G29" s="3"/>
      <c r="H29" s="8"/>
      <c r="I29" s="3"/>
      <c r="J29" s="7">
        <f t="shared" si="1"/>
        <v>0</v>
      </c>
      <c r="K29" s="3"/>
      <c r="L29" s="8">
        <f t="shared" si="2"/>
        <v>56.4</v>
      </c>
      <c r="M29" s="3"/>
      <c r="N29" s="7">
        <f t="shared" si="3"/>
        <v>0</v>
      </c>
      <c r="O29" s="12"/>
      <c r="P29" s="8">
        <v>192.92</v>
      </c>
      <c r="Q29" s="3"/>
      <c r="R29" s="7">
        <f t="shared" si="4"/>
        <v>2.5203701286077255E-4</v>
      </c>
      <c r="S29" s="3"/>
      <c r="T29" s="8"/>
      <c r="U29" s="3"/>
      <c r="V29" s="7">
        <f t="shared" si="5"/>
        <v>0</v>
      </c>
      <c r="W29" s="3"/>
      <c r="X29" s="8">
        <f t="shared" si="6"/>
        <v>192.92</v>
      </c>
      <c r="Y29" s="3"/>
      <c r="Z29" s="7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8">
        <v>947.34</v>
      </c>
      <c r="E30" s="3"/>
      <c r="F30" s="7">
        <f t="shared" si="0"/>
        <v>5.4175042103547563E-3</v>
      </c>
      <c r="G30" s="3"/>
      <c r="H30" s="8">
        <v>2160.6</v>
      </c>
      <c r="I30" s="3"/>
      <c r="J30" s="7">
        <f t="shared" si="1"/>
        <v>0.16916984163523019</v>
      </c>
      <c r="K30" s="3"/>
      <c r="L30" s="8">
        <f t="shared" si="2"/>
        <v>-1213.2599999999998</v>
      </c>
      <c r="M30" s="3"/>
      <c r="N30" s="7">
        <f t="shared" si="3"/>
        <v>-0.56153846153846143</v>
      </c>
      <c r="O30" s="12"/>
      <c r="P30" s="8">
        <v>11891.38</v>
      </c>
      <c r="Q30" s="3"/>
      <c r="R30" s="7">
        <f t="shared" si="4"/>
        <v>1.5535288689572534E-2</v>
      </c>
      <c r="S30" s="3"/>
      <c r="T30" s="8">
        <v>15258.88</v>
      </c>
      <c r="U30" s="3"/>
      <c r="V30" s="7">
        <f t="shared" si="5"/>
        <v>0.24071559935800252</v>
      </c>
      <c r="W30" s="3"/>
      <c r="X30" s="8">
        <f t="shared" si="6"/>
        <v>-3367.5</v>
      </c>
      <c r="Y30" s="3"/>
      <c r="Z30" s="7">
        <f t="shared" si="7"/>
        <v>-0.22069116475127926</v>
      </c>
    </row>
    <row r="31" spans="1:26" s="69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8">
        <v>843.29</v>
      </c>
      <c r="E31" s="3"/>
      <c r="F31" s="7">
        <f t="shared" si="0"/>
        <v>4.8224788624464943E-3</v>
      </c>
      <c r="G31" s="3"/>
      <c r="H31" s="8">
        <v>1308.42</v>
      </c>
      <c r="I31" s="3"/>
      <c r="J31" s="7">
        <f t="shared" si="1"/>
        <v>0.10244617429990183</v>
      </c>
      <c r="K31" s="3"/>
      <c r="L31" s="8">
        <f t="shared" si="2"/>
        <v>-465.13000000000011</v>
      </c>
      <c r="M31" s="3"/>
      <c r="N31" s="7">
        <f t="shared" si="3"/>
        <v>-0.35548982742544449</v>
      </c>
      <c r="O31" s="12"/>
      <c r="P31" s="8">
        <v>9786.2199999999993</v>
      </c>
      <c r="Q31" s="3"/>
      <c r="R31" s="7">
        <f t="shared" si="4"/>
        <v>1.2785038648135752E-2</v>
      </c>
      <c r="S31" s="3"/>
      <c r="T31" s="8">
        <v>9509.86</v>
      </c>
      <c r="U31" s="3"/>
      <c r="V31" s="7">
        <f t="shared" si="5"/>
        <v>0.15002225915078263</v>
      </c>
      <c r="W31" s="3"/>
      <c r="X31" s="8">
        <f t="shared" si="6"/>
        <v>276.35999999999876</v>
      </c>
      <c r="Y31" s="3"/>
      <c r="Z31" s="7">
        <f t="shared" si="7"/>
        <v>2.9060364716199685E-2</v>
      </c>
    </row>
    <row r="32" spans="1:26" s="69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8">
        <v>633.29</v>
      </c>
      <c r="E32" s="3"/>
      <c r="F32" s="7">
        <f t="shared" si="0"/>
        <v>3.6215627350007005E-3</v>
      </c>
      <c r="G32" s="3"/>
      <c r="H32" s="8">
        <v>659.11</v>
      </c>
      <c r="I32" s="3"/>
      <c r="J32" s="7">
        <f t="shared" si="1"/>
        <v>5.1606745496712292E-2</v>
      </c>
      <c r="K32" s="3"/>
      <c r="L32" s="8">
        <f t="shared" si="2"/>
        <v>-25.82000000000005</v>
      </c>
      <c r="M32" s="3"/>
      <c r="N32" s="7">
        <f t="shared" si="3"/>
        <v>-3.9174037717528254E-2</v>
      </c>
      <c r="O32" s="12"/>
      <c r="P32" s="8">
        <v>7331.2</v>
      </c>
      <c r="Q32" s="3"/>
      <c r="R32" s="7">
        <f t="shared" si="4"/>
        <v>9.5777200325777301E-3</v>
      </c>
      <c r="S32" s="3"/>
      <c r="T32" s="8">
        <v>4431.1000000000004</v>
      </c>
      <c r="U32" s="3"/>
      <c r="V32" s="7">
        <f t="shared" si="5"/>
        <v>6.9902567705837193E-2</v>
      </c>
      <c r="W32" s="3"/>
      <c r="X32" s="8">
        <f t="shared" si="6"/>
        <v>2900.0999999999995</v>
      </c>
      <c r="Y32" s="3"/>
      <c r="Z32" s="7">
        <f t="shared" si="7"/>
        <v>0.65448759901604547</v>
      </c>
    </row>
    <row r="33" spans="1:26" s="68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50875.67</v>
      </c>
      <c r="E33" s="2"/>
      <c r="F33" s="6">
        <f t="shared" si="0"/>
        <v>0.29094005998861988</v>
      </c>
      <c r="G33" s="2"/>
      <c r="H33" s="2">
        <f>SUM(OSRRefH22_1x_0)</f>
        <v>18096.319999999996</v>
      </c>
      <c r="I33" s="2"/>
      <c r="J33" s="6">
        <f t="shared" si="1"/>
        <v>1.416898819115268</v>
      </c>
      <c r="K33" s="2"/>
      <c r="L33" s="2">
        <f t="shared" si="2"/>
        <v>32779.350000000006</v>
      </c>
      <c r="M33" s="2"/>
      <c r="N33" s="6">
        <f t="shared" si="3"/>
        <v>1.8113820931548521</v>
      </c>
      <c r="O33" s="14"/>
      <c r="P33" s="2">
        <f>SUM(OSRRefP22_1x_0)</f>
        <v>300106.77</v>
      </c>
      <c r="Q33" s="2"/>
      <c r="R33" s="6">
        <f t="shared" si="4"/>
        <v>0.3920693232951219</v>
      </c>
      <c r="S33" s="2"/>
      <c r="T33" s="2">
        <f>SUM(OSRRefT22_1x_0)</f>
        <v>173626.61</v>
      </c>
      <c r="U33" s="2"/>
      <c r="V33" s="6">
        <f t="shared" si="5"/>
        <v>2.7390367766604204</v>
      </c>
      <c r="W33" s="2"/>
      <c r="X33" s="2">
        <f t="shared" si="6"/>
        <v>126480.16000000003</v>
      </c>
      <c r="Y33" s="2"/>
      <c r="Z33" s="6">
        <f t="shared" si="7"/>
        <v>0.72846068929180874</v>
      </c>
    </row>
    <row r="34" spans="1:26" s="69" customFormat="1" ht="15" hidden="1" customHeight="1" outlineLevel="2" x14ac:dyDescent="0.3">
      <c r="A34" s="26"/>
      <c r="B34" s="12" t="str">
        <f>CONCATENATE("          ","6002"," - ","STAFF SALARIES")</f>
        <v xml:space="preserve">          6002 - STAFF SALARIES</v>
      </c>
      <c r="C34" s="12"/>
      <c r="D34" s="8">
        <v>4725.1000000000004</v>
      </c>
      <c r="E34" s="3"/>
      <c r="F34" s="7">
        <f t="shared" si="0"/>
        <v>2.702118473235297E-2</v>
      </c>
      <c r="G34" s="3"/>
      <c r="H34" s="8">
        <v>14540.3</v>
      </c>
      <c r="I34" s="3"/>
      <c r="J34" s="7">
        <f t="shared" si="1"/>
        <v>1.1384709100845771</v>
      </c>
      <c r="K34" s="3"/>
      <c r="L34" s="8">
        <f t="shared" si="2"/>
        <v>-9815.1999999999989</v>
      </c>
      <c r="M34" s="3"/>
      <c r="N34" s="7">
        <f t="shared" si="3"/>
        <v>-0.67503421525002916</v>
      </c>
      <c r="O34" s="12"/>
      <c r="P34" s="8">
        <v>78929.69</v>
      </c>
      <c r="Q34" s="3"/>
      <c r="R34" s="7">
        <f t="shared" si="4"/>
        <v>0.10311633471712001</v>
      </c>
      <c r="S34" s="3"/>
      <c r="T34" s="8">
        <v>141983.51</v>
      </c>
      <c r="U34" s="3"/>
      <c r="V34" s="7">
        <f t="shared" si="5"/>
        <v>2.2398528403528273</v>
      </c>
      <c r="W34" s="3"/>
      <c r="X34" s="8">
        <f t="shared" si="6"/>
        <v>-63053.820000000007</v>
      </c>
      <c r="Y34" s="3"/>
      <c r="Z34" s="7">
        <f t="shared" si="7"/>
        <v>-0.44409255694552136</v>
      </c>
    </row>
    <row r="35" spans="1:26" s="69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15133.77</v>
      </c>
      <c r="E35" s="3"/>
      <c r="F35" s="7">
        <f t="shared" si="0"/>
        <v>8.6544706962168289E-2</v>
      </c>
      <c r="G35" s="3"/>
      <c r="H35" s="8">
        <v>3950.03</v>
      </c>
      <c r="I35" s="3"/>
      <c r="J35" s="7">
        <f t="shared" si="1"/>
        <v>0.30927795499139515</v>
      </c>
      <c r="K35" s="3"/>
      <c r="L35" s="8">
        <f t="shared" si="2"/>
        <v>11183.74</v>
      </c>
      <c r="M35" s="3"/>
      <c r="N35" s="7">
        <f t="shared" si="3"/>
        <v>2.8313050786956047</v>
      </c>
      <c r="O35" s="12"/>
      <c r="P35" s="8">
        <v>70775.44</v>
      </c>
      <c r="Q35" s="3"/>
      <c r="R35" s="7">
        <f t="shared" si="4"/>
        <v>9.2463355180939441E-2</v>
      </c>
      <c r="S35" s="3"/>
      <c r="T35" s="8">
        <v>28509.360000000001</v>
      </c>
      <c r="U35" s="3"/>
      <c r="V35" s="7">
        <f t="shared" si="5"/>
        <v>0.44974779798471864</v>
      </c>
      <c r="W35" s="3"/>
      <c r="X35" s="8">
        <f t="shared" si="6"/>
        <v>42266.080000000002</v>
      </c>
      <c r="Y35" s="3"/>
      <c r="Z35" s="7">
        <f t="shared" si="7"/>
        <v>1.4825334556791174</v>
      </c>
    </row>
    <row r="36" spans="1:26" s="69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20499.03</v>
      </c>
      <c r="E36" s="3"/>
      <c r="F36" s="7">
        <f t="shared" si="0"/>
        <v>0.11722674154283409</v>
      </c>
      <c r="G36" s="3"/>
      <c r="H36" s="8">
        <v>382.01</v>
      </c>
      <c r="I36" s="3"/>
      <c r="J36" s="7">
        <f t="shared" si="1"/>
        <v>2.9910474499247563E-2</v>
      </c>
      <c r="K36" s="3"/>
      <c r="L36" s="8">
        <f t="shared" si="2"/>
        <v>20117.02</v>
      </c>
      <c r="M36" s="3"/>
      <c r="N36" s="7">
        <f t="shared" si="3"/>
        <v>52.660977461323007</v>
      </c>
      <c r="O36" s="12"/>
      <c r="P36" s="8">
        <v>83645.03</v>
      </c>
      <c r="Q36" s="3"/>
      <c r="R36" s="7">
        <f t="shared" si="4"/>
        <v>0.10927660948501818</v>
      </c>
      <c r="S36" s="3"/>
      <c r="T36" s="8">
        <v>2986.05</v>
      </c>
      <c r="U36" s="3"/>
      <c r="V36" s="7">
        <f t="shared" si="5"/>
        <v>4.710626307192687E-2</v>
      </c>
      <c r="W36" s="3"/>
      <c r="X36" s="8">
        <f t="shared" si="6"/>
        <v>80658.98</v>
      </c>
      <c r="Y36" s="3"/>
      <c r="Z36" s="7">
        <f t="shared" si="7"/>
        <v>27.011932151169603</v>
      </c>
    </row>
    <row r="37" spans="1:26" s="69" customFormat="1" ht="15" hidden="1" customHeight="1" outlineLevel="2" x14ac:dyDescent="0.3">
      <c r="A37" s="26"/>
      <c r="B37" s="12" t="str">
        <f>CONCATENATE("          ","6007"," - ","STUDENT HOURLY")</f>
        <v xml:space="preserve">          6007 - STUDENT HOURLY</v>
      </c>
      <c r="C37" s="12"/>
      <c r="D37" s="8">
        <v>6695.96</v>
      </c>
      <c r="E37" s="3"/>
      <c r="F37" s="7">
        <f t="shared" si="0"/>
        <v>3.8291839774914009E-2</v>
      </c>
      <c r="G37" s="3"/>
      <c r="H37" s="8">
        <v>-776.02</v>
      </c>
      <c r="I37" s="3"/>
      <c r="J37" s="7">
        <f t="shared" si="1"/>
        <v>-6.0760520459951554E-2</v>
      </c>
      <c r="K37" s="3"/>
      <c r="L37" s="8">
        <f t="shared" si="2"/>
        <v>7471.98</v>
      </c>
      <c r="M37" s="3"/>
      <c r="N37" s="7">
        <f t="shared" si="3"/>
        <v>-9.6285920465967365</v>
      </c>
      <c r="O37" s="12"/>
      <c r="P37" s="8">
        <v>59699.68</v>
      </c>
      <c r="Q37" s="3"/>
      <c r="R37" s="7">
        <f t="shared" si="4"/>
        <v>7.7993619199378014E-2</v>
      </c>
      <c r="S37" s="3"/>
      <c r="T37" s="8">
        <v>147.69</v>
      </c>
      <c r="U37" s="3"/>
      <c r="V37" s="7">
        <f t="shared" si="5"/>
        <v>2.3298752509478674E-3</v>
      </c>
      <c r="W37" s="3"/>
      <c r="X37" s="8">
        <f t="shared" si="6"/>
        <v>59551.99</v>
      </c>
      <c r="Y37" s="3"/>
      <c r="Z37" s="7">
        <f t="shared" si="7"/>
        <v>403.22289931613511</v>
      </c>
    </row>
    <row r="38" spans="1:26" s="69" customFormat="1" ht="15" hidden="1" customHeight="1" outlineLevel="2" x14ac:dyDescent="0.3">
      <c r="A38" s="26"/>
      <c r="B38" s="12" t="str">
        <f>CONCATENATE("          ","6008"," - ","STUDENT HOURLY-FICA EXEMPT")</f>
        <v xml:space="preserve">          6008 - STUDENT HOURLY-FICA EXEMPT</v>
      </c>
      <c r="C38" s="12"/>
      <c r="D38" s="8">
        <v>3821.81</v>
      </c>
      <c r="E38" s="3"/>
      <c r="F38" s="7">
        <f t="shared" si="0"/>
        <v>2.1855586976350531E-2</v>
      </c>
      <c r="G38" s="3"/>
      <c r="H38" s="8"/>
      <c r="I38" s="3"/>
      <c r="J38" s="7">
        <f t="shared" si="1"/>
        <v>0</v>
      </c>
      <c r="K38" s="3"/>
      <c r="L38" s="8">
        <f t="shared" si="2"/>
        <v>3821.81</v>
      </c>
      <c r="M38" s="3"/>
      <c r="N38" s="7">
        <f t="shared" si="3"/>
        <v>0</v>
      </c>
      <c r="O38" s="12"/>
      <c r="P38" s="8">
        <v>7056.93</v>
      </c>
      <c r="Q38" s="3"/>
      <c r="R38" s="7">
        <f t="shared" si="4"/>
        <v>9.2194047126662442E-3</v>
      </c>
      <c r="S38" s="3"/>
      <c r="T38" s="8"/>
      <c r="U38" s="3"/>
      <c r="V38" s="7">
        <f t="shared" si="5"/>
        <v>0</v>
      </c>
      <c r="W38" s="3"/>
      <c r="X38" s="8">
        <f t="shared" si="6"/>
        <v>7056.93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","Advertising/Promo                                 ")</f>
        <v xml:space="preserve">     Advertising/Promo                                 </v>
      </c>
      <c r="C39" s="14"/>
      <c r="D39" s="2">
        <f>SUM(OSRRefD22_2x_0)</f>
        <v>552.12</v>
      </c>
      <c r="E39" s="2"/>
      <c r="F39" s="6">
        <f t="shared" si="0"/>
        <v>3.1573800585017716E-3</v>
      </c>
      <c r="G39" s="2"/>
      <c r="H39" s="2">
        <f>SUM(OSRRefH22_2x_0)</f>
        <v>4.58</v>
      </c>
      <c r="I39" s="2"/>
      <c r="J39" s="6">
        <f t="shared" si="1"/>
        <v>3.5860310778920403E-4</v>
      </c>
      <c r="K39" s="2"/>
      <c r="L39" s="2">
        <f t="shared" si="2"/>
        <v>547.54</v>
      </c>
      <c r="M39" s="2"/>
      <c r="N39" s="6">
        <f t="shared" si="3"/>
        <v>119.55021834061134</v>
      </c>
      <c r="O39" s="14"/>
      <c r="P39" s="2">
        <f>SUM(OSRRefP22_2x_0)</f>
        <v>1571.81</v>
      </c>
      <c r="Q39" s="2"/>
      <c r="R39" s="6">
        <f t="shared" si="4"/>
        <v>2.0534641156162705E-3</v>
      </c>
      <c r="S39" s="2"/>
      <c r="T39" s="2">
        <f>SUM(OSRRefT22_2x_0)</f>
        <v>293.77</v>
      </c>
      <c r="U39" s="2"/>
      <c r="V39" s="6">
        <f t="shared" si="5"/>
        <v>4.6343520378560156E-3</v>
      </c>
      <c r="W39" s="2"/>
      <c r="X39" s="2">
        <f t="shared" si="6"/>
        <v>1278.04</v>
      </c>
      <c r="Y39" s="2"/>
      <c r="Z39" s="6">
        <f t="shared" si="7"/>
        <v>4.3504782653095964</v>
      </c>
    </row>
    <row r="40" spans="1:26" s="69" customFormat="1" ht="15" hidden="1" customHeight="1" outlineLevel="2" x14ac:dyDescent="0.3">
      <c r="A40" s="26"/>
      <c r="B40" s="12" t="str">
        <f>CONCATENATE("          ","6362"," - ","ADVERTISING EXPENSE")</f>
        <v xml:space="preserve">          6362 - ADVERTISING EXPENSE</v>
      </c>
      <c r="C40" s="12"/>
      <c r="D40" s="8">
        <v>552.12</v>
      </c>
      <c r="E40" s="3"/>
      <c r="F40" s="7">
        <f t="shared" si="0"/>
        <v>3.1573800585017716E-3</v>
      </c>
      <c r="G40" s="3"/>
      <c r="H40" s="8">
        <v>4.58</v>
      </c>
      <c r="I40" s="3"/>
      <c r="J40" s="7">
        <f t="shared" si="1"/>
        <v>3.5860310778920403E-4</v>
      </c>
      <c r="K40" s="3"/>
      <c r="L40" s="8">
        <f t="shared" si="2"/>
        <v>547.54</v>
      </c>
      <c r="M40" s="3"/>
      <c r="N40" s="7">
        <f t="shared" si="3"/>
        <v>119.55021834061134</v>
      </c>
      <c r="O40" s="12"/>
      <c r="P40" s="8">
        <v>1571.81</v>
      </c>
      <c r="Q40" s="3"/>
      <c r="R40" s="7">
        <f t="shared" si="4"/>
        <v>2.0534641156162705E-3</v>
      </c>
      <c r="S40" s="3"/>
      <c r="T40" s="8">
        <v>293.77</v>
      </c>
      <c r="U40" s="3"/>
      <c r="V40" s="7">
        <f t="shared" si="5"/>
        <v>4.6343520378560156E-3</v>
      </c>
      <c r="W40" s="3"/>
      <c r="X40" s="8">
        <f t="shared" si="6"/>
        <v>1278.04</v>
      </c>
      <c r="Y40" s="3"/>
      <c r="Z40" s="7">
        <f t="shared" si="7"/>
        <v>4.3504782653095964</v>
      </c>
    </row>
    <row r="41" spans="1:26" s="68" customFormat="1" ht="15" customHeight="1" outlineLevel="1" collapsed="1" x14ac:dyDescent="0.3">
      <c r="A41" s="25"/>
      <c r="B41" s="14" t="str">
        <f>CONCATENATE("     ","Bad Debts/Over/Short                              ")</f>
        <v xml:space="preserve">     Bad Debts/Over/Short                              </v>
      </c>
      <c r="C41" s="14"/>
      <c r="D41" s="2">
        <f>SUM(OSRRefD22_3x_0)</f>
        <v>10.18</v>
      </c>
      <c r="E41" s="2"/>
      <c r="F41" s="6">
        <f t="shared" si="0"/>
        <v>5.8215838939991361E-5</v>
      </c>
      <c r="G41" s="2"/>
      <c r="H41" s="2">
        <f>SUM(OSRRefH22_3x_0)</f>
        <v>0.57999999999999996</v>
      </c>
      <c r="I41" s="2"/>
      <c r="J41" s="6">
        <f t="shared" si="1"/>
        <v>4.5412620637060772E-5</v>
      </c>
      <c r="K41" s="2"/>
      <c r="L41" s="2">
        <f t="shared" si="2"/>
        <v>9.6</v>
      </c>
      <c r="M41" s="2"/>
      <c r="N41" s="6">
        <f t="shared" si="3"/>
        <v>16.551724137931036</v>
      </c>
      <c r="O41" s="14"/>
      <c r="P41" s="2">
        <f>SUM(OSRRefP22_3x_0)</f>
        <v>-3.55</v>
      </c>
      <c r="Q41" s="2"/>
      <c r="R41" s="6">
        <f t="shared" si="4"/>
        <v>-4.6378363863557042E-6</v>
      </c>
      <c r="S41" s="2"/>
      <c r="T41" s="2">
        <f>SUM(OSRRefT22_3x_0)</f>
        <v>8.98</v>
      </c>
      <c r="U41" s="2"/>
      <c r="V41" s="6">
        <f t="shared" si="5"/>
        <v>1.4166348265631966E-4</v>
      </c>
      <c r="W41" s="2"/>
      <c r="X41" s="2">
        <f t="shared" si="6"/>
        <v>-12.530000000000001</v>
      </c>
      <c r="Y41" s="2"/>
      <c r="Z41" s="6">
        <f t="shared" si="7"/>
        <v>-1.3953229398663698</v>
      </c>
    </row>
    <row r="42" spans="1:26" s="69" customFormat="1" ht="15" hidden="1" customHeight="1" outlineLevel="2" x14ac:dyDescent="0.3">
      <c r="A42" s="26"/>
      <c r="B42" s="12" t="str">
        <f>CONCATENATE("          ","6272"," - ","CASH (OVER/SHORT)")</f>
        <v xml:space="preserve">          6272 - CASH (OVER/SHORT)</v>
      </c>
      <c r="C42" s="12"/>
      <c r="D42" s="8">
        <v>10.18</v>
      </c>
      <c r="E42" s="3"/>
      <c r="F42" s="7">
        <f t="shared" si="0"/>
        <v>5.8215838939991361E-5</v>
      </c>
      <c r="G42" s="3"/>
      <c r="H42" s="8">
        <v>0.57999999999999996</v>
      </c>
      <c r="I42" s="3"/>
      <c r="J42" s="7">
        <f t="shared" si="1"/>
        <v>4.5412620637060772E-5</v>
      </c>
      <c r="K42" s="3"/>
      <c r="L42" s="8">
        <f t="shared" si="2"/>
        <v>9.6</v>
      </c>
      <c r="M42" s="3"/>
      <c r="N42" s="7">
        <f t="shared" si="3"/>
        <v>16.551724137931036</v>
      </c>
      <c r="O42" s="12"/>
      <c r="P42" s="8">
        <v>-3.55</v>
      </c>
      <c r="Q42" s="3"/>
      <c r="R42" s="7">
        <f t="shared" si="4"/>
        <v>-4.6378363863557042E-6</v>
      </c>
      <c r="S42" s="3"/>
      <c r="T42" s="8">
        <v>8.98</v>
      </c>
      <c r="U42" s="3"/>
      <c r="V42" s="7">
        <f t="shared" si="5"/>
        <v>1.4166348265631966E-4</v>
      </c>
      <c r="W42" s="3"/>
      <c r="X42" s="8">
        <f t="shared" si="6"/>
        <v>-12.530000000000001</v>
      </c>
      <c r="Y42" s="3"/>
      <c r="Z42" s="7">
        <f t="shared" si="7"/>
        <v>-1.3953229398663698</v>
      </c>
    </row>
    <row r="43" spans="1:26" s="68" customFormat="1" ht="15" customHeight="1" outlineLevel="1" collapsed="1" x14ac:dyDescent="0.3">
      <c r="A43" s="25"/>
      <c r="B43" s="14" t="str">
        <f>CONCATENATE("     ","Bank/card Fees                                    ")</f>
        <v xml:space="preserve">     Bank/card Fees                                    </v>
      </c>
      <c r="C43" s="14"/>
      <c r="D43" s="2">
        <f>SUM(OSRRefD22_4x_0)</f>
        <v>2972.14</v>
      </c>
      <c r="E43" s="2"/>
      <c r="F43" s="6">
        <f t="shared" si="0"/>
        <v>1.6996623138222585E-2</v>
      </c>
      <c r="G43" s="2"/>
      <c r="H43" s="2">
        <f>SUM(OSRRefH22_4x_0)</f>
        <v>472.29</v>
      </c>
      <c r="I43" s="2"/>
      <c r="J43" s="6">
        <f t="shared" si="1"/>
        <v>3.6979183794271439E-2</v>
      </c>
      <c r="K43" s="2"/>
      <c r="L43" s="2">
        <f t="shared" si="2"/>
        <v>2499.85</v>
      </c>
      <c r="M43" s="2"/>
      <c r="N43" s="6">
        <f t="shared" si="3"/>
        <v>5.2930402930402929</v>
      </c>
      <c r="O43" s="14"/>
      <c r="P43" s="2">
        <f>SUM(OSRRefP22_4x_0)</f>
        <v>22448.31</v>
      </c>
      <c r="Q43" s="2"/>
      <c r="R43" s="6">
        <f t="shared" si="4"/>
        <v>2.932720814935004E-2</v>
      </c>
      <c r="S43" s="2"/>
      <c r="T43" s="2">
        <f>SUM(OSRRefT22_4x_0)</f>
        <v>1949.74</v>
      </c>
      <c r="U43" s="2"/>
      <c r="V43" s="6">
        <f t="shared" si="5"/>
        <v>3.0758013215404528E-2</v>
      </c>
      <c r="W43" s="2"/>
      <c r="X43" s="2">
        <f t="shared" si="6"/>
        <v>20498.57</v>
      </c>
      <c r="Y43" s="2"/>
      <c r="Z43" s="6">
        <f t="shared" si="7"/>
        <v>10.513488978017582</v>
      </c>
    </row>
    <row r="44" spans="1:26" s="69" customFormat="1" ht="15" hidden="1" customHeight="1" outlineLevel="2" x14ac:dyDescent="0.3">
      <c r="A44" s="26"/>
      <c r="B44" s="12" t="str">
        <f>CONCATENATE("          ","6381"," - ","BANK/CREDIT CARD FEES")</f>
        <v xml:space="preserve">          6381 - BANK/CREDIT CARD FEES</v>
      </c>
      <c r="C44" s="12"/>
      <c r="D44" s="8">
        <v>2972.14</v>
      </c>
      <c r="E44" s="3"/>
      <c r="F44" s="7">
        <f t="shared" si="0"/>
        <v>1.6996623138222585E-2</v>
      </c>
      <c r="G44" s="3"/>
      <c r="H44" s="8">
        <v>472.29</v>
      </c>
      <c r="I44" s="3"/>
      <c r="J44" s="7">
        <f t="shared" si="1"/>
        <v>3.6979183794271439E-2</v>
      </c>
      <c r="K44" s="3"/>
      <c r="L44" s="8">
        <f t="shared" si="2"/>
        <v>2499.85</v>
      </c>
      <c r="M44" s="3"/>
      <c r="N44" s="7">
        <f t="shared" si="3"/>
        <v>5.2930402930402929</v>
      </c>
      <c r="O44" s="12"/>
      <c r="P44" s="8">
        <v>22448.31</v>
      </c>
      <c r="Q44" s="3"/>
      <c r="R44" s="7">
        <f t="shared" si="4"/>
        <v>2.932720814935004E-2</v>
      </c>
      <c r="S44" s="3"/>
      <c r="T44" s="8">
        <v>1949.74</v>
      </c>
      <c r="U44" s="3"/>
      <c r="V44" s="7">
        <f t="shared" si="5"/>
        <v>3.0758013215404528E-2</v>
      </c>
      <c r="W44" s="3"/>
      <c r="X44" s="8">
        <f t="shared" si="6"/>
        <v>20498.57</v>
      </c>
      <c r="Y44" s="3"/>
      <c r="Z44" s="7">
        <f t="shared" si="7"/>
        <v>10.513488978017582</v>
      </c>
    </row>
    <row r="45" spans="1:26" s="68" customFormat="1" ht="15" customHeight="1" outlineLevel="1" collapsed="1" x14ac:dyDescent="0.3">
      <c r="A45" s="25"/>
      <c r="B45" s="14" t="str">
        <f>CONCATENATE("     ","Depreciation                                      ")</f>
        <v xml:space="preserve">     Depreciation                                      </v>
      </c>
      <c r="C45" s="14"/>
      <c r="D45" s="2">
        <f>SUM(OSRRefD22_5x_0)</f>
        <v>14236.8</v>
      </c>
      <c r="E45" s="2"/>
      <c r="F45" s="6">
        <f t="shared" si="0"/>
        <v>8.1415251062953733E-2</v>
      </c>
      <c r="G45" s="2"/>
      <c r="H45" s="2">
        <f>SUM(OSRRefH22_5x_0)</f>
        <v>13902.32</v>
      </c>
      <c r="I45" s="2"/>
      <c r="J45" s="6">
        <f t="shared" si="1"/>
        <v>1.088518593336246</v>
      </c>
      <c r="K45" s="2"/>
      <c r="L45" s="2">
        <f t="shared" si="2"/>
        <v>334.47999999999956</v>
      </c>
      <c r="M45" s="2"/>
      <c r="N45" s="6">
        <f t="shared" si="3"/>
        <v>2.4059293700619721E-2</v>
      </c>
      <c r="O45" s="14"/>
      <c r="P45" s="2">
        <f>SUM(OSRRefP22_5x_0)</f>
        <v>140302.86000000002</v>
      </c>
      <c r="Q45" s="2"/>
      <c r="R45" s="6">
        <f t="shared" si="4"/>
        <v>0.1832962561176818</v>
      </c>
      <c r="S45" s="2"/>
      <c r="T45" s="2">
        <f>SUM(OSRRefT22_5x_0)</f>
        <v>138988.48000000001</v>
      </c>
      <c r="U45" s="2"/>
      <c r="V45" s="6">
        <f t="shared" si="5"/>
        <v>2.192604913798244</v>
      </c>
      <c r="W45" s="2"/>
      <c r="X45" s="2">
        <f t="shared" si="6"/>
        <v>1314.3800000000047</v>
      </c>
      <c r="Y45" s="2"/>
      <c r="Z45" s="6">
        <f t="shared" si="7"/>
        <v>9.4567549771031705E-3</v>
      </c>
    </row>
    <row r="46" spans="1:26" s="69" customFormat="1" ht="15" hidden="1" customHeight="1" outlineLevel="2" x14ac:dyDescent="0.3">
      <c r="A46" s="26"/>
      <c r="B46" s="12" t="str">
        <f>CONCATENATE("          ","6321"," - ","BUILDING DEPRECIATION")</f>
        <v xml:space="preserve">          6321 - BUILDING DEPRECIATION</v>
      </c>
      <c r="C46" s="12"/>
      <c r="D46" s="8">
        <v>10597.26</v>
      </c>
      <c r="E46" s="3"/>
      <c r="F46" s="7">
        <f t="shared" si="0"/>
        <v>6.0602002098743897E-2</v>
      </c>
      <c r="G46" s="3"/>
      <c r="H46" s="8">
        <v>10597.26</v>
      </c>
      <c r="I46" s="3"/>
      <c r="J46" s="7">
        <f t="shared" si="1"/>
        <v>0.82974025546948049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105972.6</v>
      </c>
      <c r="Q46" s="3"/>
      <c r="R46" s="7">
        <f t="shared" si="4"/>
        <v>0.13844607893992072</v>
      </c>
      <c r="S46" s="3"/>
      <c r="T46" s="8">
        <v>105972.6</v>
      </c>
      <c r="U46" s="3"/>
      <c r="V46" s="7">
        <f t="shared" si="5"/>
        <v>1.6717647641586972</v>
      </c>
      <c r="W46" s="3"/>
      <c r="X46" s="8">
        <f t="shared" si="6"/>
        <v>0</v>
      </c>
      <c r="Y46" s="3"/>
      <c r="Z46" s="7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3639.54</v>
      </c>
      <c r="E47" s="3"/>
      <c r="F47" s="7">
        <f t="shared" si="0"/>
        <v>2.081324896420984E-2</v>
      </c>
      <c r="G47" s="3"/>
      <c r="H47" s="8">
        <v>3305.06</v>
      </c>
      <c r="I47" s="3"/>
      <c r="J47" s="7">
        <f t="shared" si="1"/>
        <v>0.25877833786676563</v>
      </c>
      <c r="K47" s="3"/>
      <c r="L47" s="8">
        <f t="shared" si="2"/>
        <v>334.48</v>
      </c>
      <c r="M47" s="3"/>
      <c r="N47" s="7">
        <f t="shared" si="3"/>
        <v>0.10120239874616498</v>
      </c>
      <c r="O47" s="12"/>
      <c r="P47" s="8">
        <v>34330.26</v>
      </c>
      <c r="Q47" s="3"/>
      <c r="R47" s="7">
        <f t="shared" si="4"/>
        <v>4.4850177177761075E-2</v>
      </c>
      <c r="S47" s="3"/>
      <c r="T47" s="8">
        <v>33015.879999999997</v>
      </c>
      <c r="U47" s="3"/>
      <c r="V47" s="7">
        <f t="shared" si="5"/>
        <v>0.52084014963954683</v>
      </c>
      <c r="W47" s="3"/>
      <c r="X47" s="8">
        <f t="shared" si="6"/>
        <v>1314.3800000000047</v>
      </c>
      <c r="Y47" s="3"/>
      <c r="Z47" s="7">
        <f t="shared" si="7"/>
        <v>3.9810539655462912E-2</v>
      </c>
    </row>
    <row r="48" spans="1:26" s="68" customFormat="1" ht="15" customHeight="1" outlineLevel="1" collapsed="1" x14ac:dyDescent="0.3">
      <c r="A48" s="25"/>
      <c r="B48" s="14" t="str">
        <f>CONCATENATE("     ","Employees' Appreciation                           ")</f>
        <v xml:space="preserve">     Employees' Appreciation                           </v>
      </c>
      <c r="C48" s="14"/>
      <c r="D48" s="2">
        <f>SUM(OSRRefD22_6x_0)</f>
        <v>61.45</v>
      </c>
      <c r="E48" s="2"/>
      <c r="F48" s="6">
        <f t="shared" si="0"/>
        <v>3.514109334835432E-4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61.45</v>
      </c>
      <c r="M48" s="2"/>
      <c r="N48" s="6">
        <f t="shared" si="3"/>
        <v>0</v>
      </c>
      <c r="O48" s="14"/>
      <c r="P48" s="2">
        <f>SUM(OSRRefP22_6x_0)</f>
        <v>61.45</v>
      </c>
      <c r="Q48" s="2"/>
      <c r="R48" s="6">
        <f t="shared" si="4"/>
        <v>8.0280294631424805E-5</v>
      </c>
      <c r="S48" s="2"/>
      <c r="T48" s="2">
        <f>SUM(OSRRefT22_6x_0)</f>
        <v>10</v>
      </c>
      <c r="U48" s="2"/>
      <c r="V48" s="6">
        <f t="shared" si="5"/>
        <v>1.577544350293092E-4</v>
      </c>
      <c r="W48" s="2"/>
      <c r="X48" s="2">
        <f t="shared" si="6"/>
        <v>51.45</v>
      </c>
      <c r="Y48" s="2"/>
      <c r="Z48" s="6">
        <f t="shared" si="7"/>
        <v>5.1450000000000005</v>
      </c>
    </row>
    <row r="49" spans="1:26" s="69" customFormat="1" ht="15" hidden="1" customHeight="1" outlineLevel="2" x14ac:dyDescent="0.3">
      <c r="A49" s="26"/>
      <c r="B49" s="12" t="str">
        <f>CONCATENATE("          ","6277"," - ","EMPLOYEE APPRECIATION")</f>
        <v xml:space="preserve">          6277 - EMPLOYEE APPRECIATION</v>
      </c>
      <c r="C49" s="12"/>
      <c r="D49" s="8">
        <v>61.45</v>
      </c>
      <c r="E49" s="3"/>
      <c r="F49" s="7">
        <f t="shared" si="0"/>
        <v>3.514109334835432E-4</v>
      </c>
      <c r="G49" s="3"/>
      <c r="H49" s="8"/>
      <c r="I49" s="3"/>
      <c r="J49" s="7">
        <f t="shared" si="1"/>
        <v>0</v>
      </c>
      <c r="K49" s="3"/>
      <c r="L49" s="8">
        <f t="shared" si="2"/>
        <v>61.45</v>
      </c>
      <c r="M49" s="3"/>
      <c r="N49" s="7">
        <f t="shared" si="3"/>
        <v>0</v>
      </c>
      <c r="O49" s="12"/>
      <c r="P49" s="8">
        <v>61.45</v>
      </c>
      <c r="Q49" s="3"/>
      <c r="R49" s="7">
        <f t="shared" si="4"/>
        <v>8.0280294631424805E-5</v>
      </c>
      <c r="S49" s="3"/>
      <c r="T49" s="8">
        <v>10</v>
      </c>
      <c r="U49" s="3"/>
      <c r="V49" s="7">
        <f t="shared" si="5"/>
        <v>1.577544350293092E-4</v>
      </c>
      <c r="W49" s="3"/>
      <c r="X49" s="8">
        <f t="shared" si="6"/>
        <v>51.45</v>
      </c>
      <c r="Y49" s="3"/>
      <c r="Z49" s="7">
        <f t="shared" si="7"/>
        <v>5.1450000000000005</v>
      </c>
    </row>
    <row r="50" spans="1:26" s="68" customFormat="1" ht="15" customHeight="1" outlineLevel="1" collapsed="1" x14ac:dyDescent="0.3">
      <c r="A50" s="25"/>
      <c r="B50" s="14" t="str">
        <f>CONCATENATE("     ","Equipment Rental                                  ")</f>
        <v xml:space="preserve">     Equipment Rental                                  </v>
      </c>
      <c r="C50" s="14"/>
      <c r="D50" s="2">
        <f>SUM(OSRRefD22_7x_0)</f>
        <v>611.70000000000005</v>
      </c>
      <c r="E50" s="2"/>
      <c r="F50" s="6">
        <f t="shared" si="0"/>
        <v>3.4980971198028212E-3</v>
      </c>
      <c r="G50" s="2"/>
      <c r="H50" s="2">
        <f>SUM(OSRRefH22_7x_0)</f>
        <v>476.33</v>
      </c>
      <c r="I50" s="2"/>
      <c r="J50" s="6">
        <f t="shared" si="1"/>
        <v>3.7295506186295097E-2</v>
      </c>
      <c r="K50" s="2"/>
      <c r="L50" s="2">
        <f t="shared" si="2"/>
        <v>135.37000000000006</v>
      </c>
      <c r="M50" s="2"/>
      <c r="N50" s="6">
        <f t="shared" si="3"/>
        <v>0.28419373123674779</v>
      </c>
      <c r="O50" s="14"/>
      <c r="P50" s="2">
        <f>SUM(OSRRefP22_7x_0)</f>
        <v>3328.79</v>
      </c>
      <c r="Q50" s="2"/>
      <c r="R50" s="6">
        <f t="shared" si="4"/>
        <v>4.3488403900104246E-3</v>
      </c>
      <c r="S50" s="2"/>
      <c r="T50" s="2">
        <f>SUM(OSRRefT22_7x_0)</f>
        <v>1804.49</v>
      </c>
      <c r="U50" s="2"/>
      <c r="V50" s="6">
        <f t="shared" si="5"/>
        <v>2.8466630046603814E-2</v>
      </c>
      <c r="W50" s="2"/>
      <c r="X50" s="2">
        <f t="shared" si="6"/>
        <v>1524.3</v>
      </c>
      <c r="Y50" s="2"/>
      <c r="Z50" s="6">
        <f t="shared" si="7"/>
        <v>0.84472621072990151</v>
      </c>
    </row>
    <row r="51" spans="1:26" s="69" customFormat="1" ht="15" hidden="1" customHeight="1" outlineLevel="2" x14ac:dyDescent="0.3">
      <c r="A51" s="26"/>
      <c r="B51" s="12" t="str">
        <f>CONCATENATE("          ","6351"," - ","EQUIPMENT RENTAL")</f>
        <v xml:space="preserve">          6351 - EQUIPMENT RENTAL</v>
      </c>
      <c r="C51" s="12"/>
      <c r="D51" s="8">
        <v>611.70000000000005</v>
      </c>
      <c r="E51" s="3"/>
      <c r="F51" s="7">
        <f t="shared" si="0"/>
        <v>3.4980971198028212E-3</v>
      </c>
      <c r="G51" s="3"/>
      <c r="H51" s="8">
        <v>476.33</v>
      </c>
      <c r="I51" s="3"/>
      <c r="J51" s="7">
        <f t="shared" si="1"/>
        <v>3.7295506186295097E-2</v>
      </c>
      <c r="K51" s="3"/>
      <c r="L51" s="8">
        <f t="shared" si="2"/>
        <v>135.37000000000006</v>
      </c>
      <c r="M51" s="3"/>
      <c r="N51" s="7">
        <f t="shared" si="3"/>
        <v>0.28419373123674779</v>
      </c>
      <c r="O51" s="12"/>
      <c r="P51" s="8">
        <v>3328.79</v>
      </c>
      <c r="Q51" s="3"/>
      <c r="R51" s="7">
        <f t="shared" si="4"/>
        <v>4.3488403900104246E-3</v>
      </c>
      <c r="S51" s="3"/>
      <c r="T51" s="8">
        <v>1804.49</v>
      </c>
      <c r="U51" s="3"/>
      <c r="V51" s="7">
        <f t="shared" si="5"/>
        <v>2.8466630046603814E-2</v>
      </c>
      <c r="W51" s="3"/>
      <c r="X51" s="8">
        <f t="shared" si="6"/>
        <v>1524.3</v>
      </c>
      <c r="Y51" s="3"/>
      <c r="Z51" s="7">
        <f t="shared" si="7"/>
        <v>0.84472621072990151</v>
      </c>
    </row>
    <row r="52" spans="1:26" s="68" customFormat="1" ht="15" customHeight="1" outlineLevel="1" collapsed="1" x14ac:dyDescent="0.3">
      <c r="A52" s="25"/>
      <c r="B52" s="14" t="str">
        <f>CONCATENATE("     ","General                                           ")</f>
        <v xml:space="preserve">     General         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1575.57</v>
      </c>
      <c r="Q52" s="2"/>
      <c r="R52" s="6">
        <f t="shared" si="4"/>
        <v>2.0583763028874527E-3</v>
      </c>
      <c r="S52" s="2"/>
      <c r="T52" s="2">
        <f>SUM(OSRRefT22_8x_0)</f>
        <v>2498.69</v>
      </c>
      <c r="U52" s="2"/>
      <c r="V52" s="6">
        <f t="shared" si="5"/>
        <v>3.9417942926338462E-2</v>
      </c>
      <c r="W52" s="2"/>
      <c r="X52" s="2">
        <f t="shared" si="6"/>
        <v>-923.12000000000012</v>
      </c>
      <c r="Y52" s="2"/>
      <c r="Z52" s="6">
        <f t="shared" si="7"/>
        <v>-0.36944158739179334</v>
      </c>
    </row>
    <row r="53" spans="1:26" s="69" customFormat="1" ht="15" hidden="1" customHeight="1" outlineLevel="2" x14ac:dyDescent="0.3">
      <c r="A53" s="26"/>
      <c r="B53" s="12" t="str">
        <f>CONCATENATE("          ","6279"," - ","GENERAL EXPENSE")</f>
        <v xml:space="preserve">          6279 - GENERAL EXPENSE</v>
      </c>
      <c r="C53" s="12"/>
      <c r="D53" s="8">
        <v>0</v>
      </c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>
        <v>1575.57</v>
      </c>
      <c r="Q53" s="3"/>
      <c r="R53" s="7">
        <f t="shared" si="4"/>
        <v>2.0583763028874527E-3</v>
      </c>
      <c r="S53" s="3"/>
      <c r="T53" s="8">
        <v>2498.69</v>
      </c>
      <c r="U53" s="3"/>
      <c r="V53" s="7">
        <f t="shared" si="5"/>
        <v>3.9417942926338462E-2</v>
      </c>
      <c r="W53" s="3"/>
      <c r="X53" s="8">
        <f t="shared" si="6"/>
        <v>-923.12000000000012</v>
      </c>
      <c r="Y53" s="3"/>
      <c r="Z53" s="7">
        <f t="shared" si="7"/>
        <v>-0.36944158739179334</v>
      </c>
    </row>
    <row r="54" spans="1:26" s="68" customFormat="1" ht="15" customHeight="1" outlineLevel="1" collapsed="1" x14ac:dyDescent="0.3">
      <c r="A54" s="25"/>
      <c r="B54" s="14" t="str">
        <f>CONCATENATE("     ","Insurance                                         ")</f>
        <v xml:space="preserve">     Insurance                                         </v>
      </c>
      <c r="C54" s="14"/>
      <c r="D54" s="2">
        <f>SUM(OSRRefD22_9x_0)</f>
        <v>871.61</v>
      </c>
      <c r="E54" s="2"/>
      <c r="F54" s="6">
        <f t="shared" ref="F54:F80" si="8">IF(D$12=0,0,D54/D$12)</f>
        <v>4.9844309802048996E-3</v>
      </c>
      <c r="G54" s="2"/>
      <c r="H54" s="2">
        <f>SUM(OSRRefH22_9x_0)</f>
        <v>641.28</v>
      </c>
      <c r="I54" s="2"/>
      <c r="J54" s="6">
        <f t="shared" ref="J54:J80" si="9">IF(H$12=0,0,H54/H$12)</f>
        <v>5.021069890023161E-2</v>
      </c>
      <c r="K54" s="2"/>
      <c r="L54" s="2">
        <f t="shared" ref="L54:L80" si="10">+D54-H54</f>
        <v>230.33000000000004</v>
      </c>
      <c r="M54" s="2"/>
      <c r="N54" s="6">
        <f t="shared" ref="N54:N80" si="11">IF(H54=0,0,L54/H54)</f>
        <v>0.35917228043912186</v>
      </c>
      <c r="O54" s="14"/>
      <c r="P54" s="2">
        <f>SUM(OSRRefP22_9x_0)</f>
        <v>8716.1</v>
      </c>
      <c r="Q54" s="2"/>
      <c r="R54" s="6">
        <f t="shared" ref="R54:R80" si="12">IF(P$12=0,0,P54/P$12)</f>
        <v>1.1386998796370411E-2</v>
      </c>
      <c r="S54" s="2"/>
      <c r="T54" s="2">
        <f>SUM(OSRRefT22_9x_0)</f>
        <v>6412.8</v>
      </c>
      <c r="U54" s="2"/>
      <c r="V54" s="6">
        <f t="shared" ref="V54:V80" si="13">IF(T$12=0,0,T54/T$12)</f>
        <v>0.1011647640955954</v>
      </c>
      <c r="W54" s="2"/>
      <c r="X54" s="2">
        <f t="shared" ref="X54:X80" si="14">+P54-T54</f>
        <v>2303.3000000000002</v>
      </c>
      <c r="Y54" s="2"/>
      <c r="Z54" s="6">
        <f t="shared" ref="Z54:Z80" si="15">IF(T54=0,0,X54/T54)</f>
        <v>0.35917228043912175</v>
      </c>
    </row>
    <row r="55" spans="1:26" s="69" customFormat="1" ht="15" hidden="1" customHeight="1" outlineLevel="2" x14ac:dyDescent="0.3">
      <c r="A55" s="26"/>
      <c r="B55" s="12" t="str">
        <f>CONCATENATE("          ","6314"," - ","LIABILITY INSURANCE")</f>
        <v xml:space="preserve">          6314 - LIABILITY INSURANCE</v>
      </c>
      <c r="C55" s="12"/>
      <c r="D55" s="8">
        <v>871.61</v>
      </c>
      <c r="E55" s="3"/>
      <c r="F55" s="7">
        <f t="shared" si="8"/>
        <v>4.9844309802048996E-3</v>
      </c>
      <c r="G55" s="3"/>
      <c r="H55" s="8">
        <v>641.28</v>
      </c>
      <c r="I55" s="3"/>
      <c r="J55" s="7">
        <f t="shared" si="9"/>
        <v>5.021069890023161E-2</v>
      </c>
      <c r="K55" s="3"/>
      <c r="L55" s="8">
        <f t="shared" si="10"/>
        <v>230.33000000000004</v>
      </c>
      <c r="M55" s="3"/>
      <c r="N55" s="7">
        <f t="shared" si="11"/>
        <v>0.35917228043912186</v>
      </c>
      <c r="O55" s="12"/>
      <c r="P55" s="8">
        <v>8716.1</v>
      </c>
      <c r="Q55" s="3"/>
      <c r="R55" s="7">
        <f t="shared" si="12"/>
        <v>1.1386998796370411E-2</v>
      </c>
      <c r="S55" s="3"/>
      <c r="T55" s="8">
        <v>6412.8</v>
      </c>
      <c r="U55" s="3"/>
      <c r="V55" s="7">
        <f t="shared" si="13"/>
        <v>0.1011647640955954</v>
      </c>
      <c r="W55" s="3"/>
      <c r="X55" s="8">
        <f t="shared" si="14"/>
        <v>2303.3000000000002</v>
      </c>
      <c r="Y55" s="3"/>
      <c r="Z55" s="7">
        <f t="shared" si="15"/>
        <v>0.35917228043912175</v>
      </c>
    </row>
    <row r="56" spans="1:26" s="68" customFormat="1" ht="15" customHeight="1" outlineLevel="1" collapsed="1" x14ac:dyDescent="0.3">
      <c r="A56" s="25"/>
      <c r="B56" s="14" t="str">
        <f>CONCATENATE("     ","Interest                                          ")</f>
        <v xml:space="preserve">     Interest                                          </v>
      </c>
      <c r="C56" s="14"/>
      <c r="D56" s="2">
        <f>SUM(OSRRefD22_10x_0)</f>
        <v>5629</v>
      </c>
      <c r="E56" s="2"/>
      <c r="F56" s="6">
        <f t="shared" si="8"/>
        <v>3.219027086377322E-2</v>
      </c>
      <c r="G56" s="2"/>
      <c r="H56" s="2">
        <f>SUM(OSRRefH22_10x_0)</f>
        <v>5967</v>
      </c>
      <c r="I56" s="2"/>
      <c r="J56" s="6">
        <f t="shared" si="9"/>
        <v>0.46720190920920973</v>
      </c>
      <c r="K56" s="2"/>
      <c r="L56" s="2">
        <f t="shared" si="10"/>
        <v>-338</v>
      </c>
      <c r="M56" s="2"/>
      <c r="N56" s="6">
        <f t="shared" si="11"/>
        <v>-5.6644880174291937E-2</v>
      </c>
      <c r="O56" s="14"/>
      <c r="P56" s="2">
        <f>SUM(OSRRefP22_10x_0)</f>
        <v>70392</v>
      </c>
      <c r="Q56" s="2"/>
      <c r="R56" s="6">
        <f t="shared" si="12"/>
        <v>9.1962416593901627E-2</v>
      </c>
      <c r="S56" s="2"/>
      <c r="T56" s="2">
        <f>SUM(OSRRefT22_10x_0)</f>
        <v>73070.149999999994</v>
      </c>
      <c r="U56" s="2"/>
      <c r="V56" s="6">
        <f t="shared" si="13"/>
        <v>1.1527140230756876</v>
      </c>
      <c r="W56" s="2"/>
      <c r="X56" s="2">
        <f t="shared" si="14"/>
        <v>-2678.1499999999942</v>
      </c>
      <c r="Y56" s="2"/>
      <c r="Z56" s="6">
        <f t="shared" si="15"/>
        <v>-3.66517654609987E-2</v>
      </c>
    </row>
    <row r="57" spans="1:26" s="69" customFormat="1" ht="15" hidden="1" customHeight="1" outlineLevel="2" x14ac:dyDescent="0.3">
      <c r="A57" s="26"/>
      <c r="B57" s="12" t="str">
        <f>CONCATENATE("          ","6401"," - ","INTEREST EXPENSE")</f>
        <v xml:space="preserve">          6401 - INTEREST EXPENSE</v>
      </c>
      <c r="C57" s="12"/>
      <c r="D57" s="8">
        <v>5629</v>
      </c>
      <c r="E57" s="3"/>
      <c r="F57" s="7">
        <f t="shared" si="8"/>
        <v>3.219027086377322E-2</v>
      </c>
      <c r="G57" s="3"/>
      <c r="H57" s="8">
        <v>5967</v>
      </c>
      <c r="I57" s="3"/>
      <c r="J57" s="7">
        <f t="shared" si="9"/>
        <v>0.46720190920920973</v>
      </c>
      <c r="K57" s="3"/>
      <c r="L57" s="8">
        <f t="shared" si="10"/>
        <v>-338</v>
      </c>
      <c r="M57" s="3"/>
      <c r="N57" s="7">
        <f t="shared" si="11"/>
        <v>-5.6644880174291937E-2</v>
      </c>
      <c r="O57" s="12"/>
      <c r="P57" s="8">
        <v>70392</v>
      </c>
      <c r="Q57" s="3"/>
      <c r="R57" s="7">
        <f t="shared" si="12"/>
        <v>9.1962416593901627E-2</v>
      </c>
      <c r="S57" s="3"/>
      <c r="T57" s="8">
        <v>73070.149999999994</v>
      </c>
      <c r="U57" s="3"/>
      <c r="V57" s="7">
        <f t="shared" si="13"/>
        <v>1.1527140230756876</v>
      </c>
      <c r="W57" s="3"/>
      <c r="X57" s="8">
        <f t="shared" si="14"/>
        <v>-2678.1499999999942</v>
      </c>
      <c r="Y57" s="3"/>
      <c r="Z57" s="7">
        <f t="shared" si="15"/>
        <v>-3.66517654609987E-2</v>
      </c>
    </row>
    <row r="58" spans="1:26" s="68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SUM(OSRRefD22_11x_0)</f>
        <v>5230.8900000000003</v>
      </c>
      <c r="E58" s="2"/>
      <c r="F58" s="6">
        <f t="shared" si="8"/>
        <v>2.9913619818547295E-2</v>
      </c>
      <c r="G58" s="2"/>
      <c r="H58" s="2">
        <f>SUM(OSRRefH22_11x_0)</f>
        <v>1980.63</v>
      </c>
      <c r="I58" s="2"/>
      <c r="J58" s="6">
        <f t="shared" si="9"/>
        <v>0.1550786186420374</v>
      </c>
      <c r="K58" s="2"/>
      <c r="L58" s="2">
        <f t="shared" si="10"/>
        <v>3250.26</v>
      </c>
      <c r="M58" s="2"/>
      <c r="N58" s="6">
        <f t="shared" si="11"/>
        <v>1.6410233107647567</v>
      </c>
      <c r="O58" s="14"/>
      <c r="P58" s="2">
        <f>SUM(OSRRefP22_11x_0)</f>
        <v>30347.120000000003</v>
      </c>
      <c r="Q58" s="2"/>
      <c r="R58" s="6">
        <f t="shared" si="12"/>
        <v>3.9646472494958576E-2</v>
      </c>
      <c r="S58" s="2"/>
      <c r="T58" s="2">
        <f>SUM(OSRRefT22_11x_0)</f>
        <v>24624.91</v>
      </c>
      <c r="U58" s="2"/>
      <c r="V58" s="6">
        <f t="shared" si="13"/>
        <v>0.38846887646975858</v>
      </c>
      <c r="W58" s="2"/>
      <c r="X58" s="2">
        <f t="shared" si="14"/>
        <v>5722.2100000000028</v>
      </c>
      <c r="Y58" s="2"/>
      <c r="Z58" s="6">
        <f t="shared" si="15"/>
        <v>0.23237485944111075</v>
      </c>
    </row>
    <row r="59" spans="1:26" s="69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8">
        <v>-5.08</v>
      </c>
      <c r="E59" s="3"/>
      <c r="F59" s="7">
        <f t="shared" si="8"/>
        <v>-2.9050732987736359E-5</v>
      </c>
      <c r="G59" s="3"/>
      <c r="H59" s="8"/>
      <c r="I59" s="3"/>
      <c r="J59" s="7">
        <f t="shared" si="9"/>
        <v>0</v>
      </c>
      <c r="K59" s="3"/>
      <c r="L59" s="8">
        <f t="shared" si="10"/>
        <v>-5.08</v>
      </c>
      <c r="M59" s="3"/>
      <c r="N59" s="7">
        <f t="shared" si="11"/>
        <v>0</v>
      </c>
      <c r="O59" s="12"/>
      <c r="P59" s="8">
        <v>4148.51</v>
      </c>
      <c r="Q59" s="3"/>
      <c r="R59" s="7">
        <f t="shared" si="12"/>
        <v>5.4197494724395794E-3</v>
      </c>
      <c r="S59" s="3"/>
      <c r="T59" s="8">
        <v>7467.86</v>
      </c>
      <c r="U59" s="3"/>
      <c r="V59" s="7">
        <f t="shared" si="13"/>
        <v>0.11780880351779768</v>
      </c>
      <c r="W59" s="3"/>
      <c r="X59" s="8">
        <f t="shared" si="14"/>
        <v>-3319.3499999999995</v>
      </c>
      <c r="Y59" s="3"/>
      <c r="Z59" s="7">
        <f t="shared" si="15"/>
        <v>-0.44448476538124704</v>
      </c>
    </row>
    <row r="60" spans="1:26" s="69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8">
        <v>5235.97</v>
      </c>
      <c r="E60" s="3"/>
      <c r="F60" s="7">
        <f t="shared" si="8"/>
        <v>2.9942670551535031E-2</v>
      </c>
      <c r="G60" s="3"/>
      <c r="H60" s="8">
        <v>1980.63</v>
      </c>
      <c r="I60" s="3"/>
      <c r="J60" s="7">
        <f t="shared" si="9"/>
        <v>0.1550786186420374</v>
      </c>
      <c r="K60" s="3"/>
      <c r="L60" s="8">
        <f t="shared" si="10"/>
        <v>3255.34</v>
      </c>
      <c r="M60" s="3"/>
      <c r="N60" s="7">
        <f t="shared" si="11"/>
        <v>1.6435881512448058</v>
      </c>
      <c r="O60" s="12"/>
      <c r="P60" s="8">
        <v>26198.61</v>
      </c>
      <c r="Q60" s="3"/>
      <c r="R60" s="7">
        <f t="shared" si="12"/>
        <v>3.4226723022518994E-2</v>
      </c>
      <c r="S60" s="3"/>
      <c r="T60" s="8">
        <v>17157.05</v>
      </c>
      <c r="U60" s="3"/>
      <c r="V60" s="7">
        <f t="shared" si="13"/>
        <v>0.27066007295196093</v>
      </c>
      <c r="W60" s="3"/>
      <c r="X60" s="8">
        <f t="shared" si="14"/>
        <v>9041.5600000000013</v>
      </c>
      <c r="Y60" s="3"/>
      <c r="Z60" s="7">
        <f t="shared" si="15"/>
        <v>0.5269880311592029</v>
      </c>
    </row>
    <row r="61" spans="1:26" s="68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SUM(OSRRefD22_12x_0)</f>
        <v>5529.98</v>
      </c>
      <c r="E61" s="2"/>
      <c r="F61" s="6">
        <f t="shared" si="8"/>
        <v>3.1624010316441395E-2</v>
      </c>
      <c r="G61" s="2"/>
      <c r="H61" s="2">
        <f>SUM(OSRRefH22_12x_0)</f>
        <v>5425.42</v>
      </c>
      <c r="I61" s="2"/>
      <c r="J61" s="6">
        <f t="shared" si="9"/>
        <v>0.42479748320124527</v>
      </c>
      <c r="K61" s="2"/>
      <c r="L61" s="2">
        <f t="shared" si="10"/>
        <v>104.55999999999949</v>
      </c>
      <c r="M61" s="2"/>
      <c r="N61" s="6">
        <f t="shared" si="11"/>
        <v>1.9272240674454603E-2</v>
      </c>
      <c r="O61" s="14"/>
      <c r="P61" s="2">
        <f>SUM(OSRRefP22_12x_0)</f>
        <v>51070.51</v>
      </c>
      <c r="Q61" s="2"/>
      <c r="R61" s="6">
        <f t="shared" si="12"/>
        <v>6.6720188604997996E-2</v>
      </c>
      <c r="S61" s="2"/>
      <c r="T61" s="2">
        <f>SUM(OSRRefT22_12x_0)</f>
        <v>26644.850000000002</v>
      </c>
      <c r="U61" s="2"/>
      <c r="V61" s="6">
        <f t="shared" si="13"/>
        <v>0.42033432581906893</v>
      </c>
      <c r="W61" s="2"/>
      <c r="X61" s="2">
        <f t="shared" si="14"/>
        <v>24425.66</v>
      </c>
      <c r="Y61" s="2"/>
      <c r="Z61" s="6">
        <f t="shared" si="15"/>
        <v>0.91671223519742084</v>
      </c>
    </row>
    <row r="62" spans="1:26" s="69" customFormat="1" ht="15" hidden="1" customHeight="1" outlineLevel="2" x14ac:dyDescent="0.3">
      <c r="A62" s="26"/>
      <c r="B62" s="12" t="str">
        <f>CONCATENATE("          ","6282"," - ","JANITORIAL/EXTERMINATOR EXPENS")</f>
        <v xml:space="preserve">          6282 - JANITORIAL/EXTERMINATOR EXPENS</v>
      </c>
      <c r="C62" s="12"/>
      <c r="D62" s="8">
        <v>773.5</v>
      </c>
      <c r="E62" s="3"/>
      <c r="F62" s="7">
        <f t="shared" si="8"/>
        <v>4.4233744027586761E-3</v>
      </c>
      <c r="G62" s="3"/>
      <c r="H62" s="8">
        <v>1039.9000000000001</v>
      </c>
      <c r="I62" s="3"/>
      <c r="J62" s="7">
        <f t="shared" si="9"/>
        <v>8.1421696897378451E-2</v>
      </c>
      <c r="K62" s="3"/>
      <c r="L62" s="8">
        <f t="shared" si="10"/>
        <v>-266.40000000000009</v>
      </c>
      <c r="M62" s="3"/>
      <c r="N62" s="7">
        <f t="shared" si="11"/>
        <v>-0.25617847869987503</v>
      </c>
      <c r="O62" s="12"/>
      <c r="P62" s="8">
        <v>3585.9</v>
      </c>
      <c r="Q62" s="3"/>
      <c r="R62" s="7">
        <f t="shared" si="12"/>
        <v>4.6847373233332174E-3</v>
      </c>
      <c r="S62" s="3"/>
      <c r="T62" s="8">
        <v>4148.63</v>
      </c>
      <c r="U62" s="3"/>
      <c r="V62" s="7">
        <f t="shared" si="13"/>
        <v>6.5446478179564296E-2</v>
      </c>
      <c r="W62" s="3"/>
      <c r="X62" s="8">
        <f t="shared" si="14"/>
        <v>-562.73</v>
      </c>
      <c r="Y62" s="3"/>
      <c r="Z62" s="7">
        <f t="shared" si="15"/>
        <v>-0.13564236868556609</v>
      </c>
    </row>
    <row r="63" spans="1:26" s="69" customFormat="1" ht="15" hidden="1" customHeight="1" outlineLevel="2" x14ac:dyDescent="0.3">
      <c r="A63" s="26"/>
      <c r="B63" s="12" t="str">
        <f>CONCATENATE("          ","6284"," - ","TRASH REMOVAL EXPENSE")</f>
        <v xml:space="preserve">          6284 - TRASH REMOVAL EXPENSE</v>
      </c>
      <c r="C63" s="12"/>
      <c r="D63" s="8"/>
      <c r="E63" s="3"/>
      <c r="F63" s="7">
        <f t="shared" si="8"/>
        <v>0</v>
      </c>
      <c r="G63" s="3"/>
      <c r="H63" s="8">
        <v>1000</v>
      </c>
      <c r="I63" s="3"/>
      <c r="J63" s="7">
        <f t="shared" si="9"/>
        <v>7.8297621788035815E-2</v>
      </c>
      <c r="K63" s="3"/>
      <c r="L63" s="8">
        <f t="shared" si="10"/>
        <v>-1000</v>
      </c>
      <c r="M63" s="3"/>
      <c r="N63" s="7">
        <f t="shared" si="11"/>
        <v>-1</v>
      </c>
      <c r="O63" s="12"/>
      <c r="P63" s="8"/>
      <c r="Q63" s="3"/>
      <c r="R63" s="7">
        <f t="shared" si="12"/>
        <v>0</v>
      </c>
      <c r="S63" s="3"/>
      <c r="T63" s="8">
        <v>4063</v>
      </c>
      <c r="U63" s="3"/>
      <c r="V63" s="7">
        <f t="shared" si="13"/>
        <v>6.4095626952408322E-2</v>
      </c>
      <c r="W63" s="3"/>
      <c r="X63" s="8">
        <f t="shared" si="14"/>
        <v>-4063</v>
      </c>
      <c r="Y63" s="3"/>
      <c r="Z63" s="7">
        <f t="shared" si="15"/>
        <v>-1</v>
      </c>
    </row>
    <row r="64" spans="1:26" s="69" customFormat="1" ht="15" hidden="1" customHeight="1" outlineLevel="2" x14ac:dyDescent="0.3">
      <c r="A64" s="26"/>
      <c r="B64" s="12" t="str">
        <f>CONCATENATE("          ","6285"," - ","JANITORIAL SERVICES")</f>
        <v xml:space="preserve">          6285 - JANITORIAL SERVICES</v>
      </c>
      <c r="C64" s="12"/>
      <c r="D64" s="8">
        <v>4101.2</v>
      </c>
      <c r="E64" s="3"/>
      <c r="F64" s="7">
        <f t="shared" si="8"/>
        <v>2.3453320104193768E-2</v>
      </c>
      <c r="G64" s="3"/>
      <c r="H64" s="8">
        <v>3385.52</v>
      </c>
      <c r="I64" s="3"/>
      <c r="J64" s="7">
        <f t="shared" si="9"/>
        <v>0.26507816451583099</v>
      </c>
      <c r="K64" s="3"/>
      <c r="L64" s="8">
        <f t="shared" si="10"/>
        <v>715.67999999999984</v>
      </c>
      <c r="M64" s="3"/>
      <c r="N64" s="7">
        <f t="shared" si="11"/>
        <v>0.2113944091306505</v>
      </c>
      <c r="O64" s="12"/>
      <c r="P64" s="8">
        <v>44315.06</v>
      </c>
      <c r="Q64" s="3"/>
      <c r="R64" s="7">
        <f t="shared" si="12"/>
        <v>5.7894647248320066E-2</v>
      </c>
      <c r="S64" s="3"/>
      <c r="T64" s="8">
        <v>17849.09</v>
      </c>
      <c r="U64" s="3"/>
      <c r="V64" s="7">
        <f t="shared" si="13"/>
        <v>0.28157731087372923</v>
      </c>
      <c r="W64" s="3"/>
      <c r="X64" s="8">
        <f t="shared" si="14"/>
        <v>26465.969999999998</v>
      </c>
      <c r="Y64" s="3"/>
      <c r="Z64" s="7">
        <f t="shared" si="15"/>
        <v>1.4827629867965255</v>
      </c>
    </row>
    <row r="65" spans="1:26" s="69" customFormat="1" ht="15" hidden="1" customHeight="1" outlineLevel="2" x14ac:dyDescent="0.3">
      <c r="A65" s="26"/>
      <c r="B65" s="12" t="str">
        <f>CONCATENATE("          ","6286"," - ","LAUNDRY EXPENSE")</f>
        <v xml:space="preserve">          6286 - LAUNDRY EXPENSE</v>
      </c>
      <c r="C65" s="12"/>
      <c r="D65" s="8">
        <v>655.28</v>
      </c>
      <c r="E65" s="3"/>
      <c r="F65" s="7">
        <f t="shared" si="8"/>
        <v>3.7473158094889531E-3</v>
      </c>
      <c r="G65" s="3"/>
      <c r="H65" s="8"/>
      <c r="I65" s="3"/>
      <c r="J65" s="7">
        <f t="shared" si="9"/>
        <v>0</v>
      </c>
      <c r="K65" s="3"/>
      <c r="L65" s="8">
        <f t="shared" si="10"/>
        <v>655.28</v>
      </c>
      <c r="M65" s="3"/>
      <c r="N65" s="7">
        <f t="shared" si="11"/>
        <v>0</v>
      </c>
      <c r="O65" s="12"/>
      <c r="P65" s="8">
        <v>3169.55</v>
      </c>
      <c r="Q65" s="3"/>
      <c r="R65" s="7">
        <f t="shared" si="12"/>
        <v>4.1408040333447112E-3</v>
      </c>
      <c r="S65" s="3"/>
      <c r="T65" s="8">
        <v>584.13</v>
      </c>
      <c r="U65" s="3"/>
      <c r="V65" s="7">
        <f t="shared" si="13"/>
        <v>9.2149098133670372E-3</v>
      </c>
      <c r="W65" s="3"/>
      <c r="X65" s="8">
        <f t="shared" si="14"/>
        <v>2585.42</v>
      </c>
      <c r="Y65" s="3"/>
      <c r="Z65" s="7">
        <f t="shared" si="15"/>
        <v>4.4261037782685362</v>
      </c>
    </row>
    <row r="66" spans="1:26" s="68" customFormat="1" ht="15" customHeight="1" outlineLevel="1" collapsed="1" x14ac:dyDescent="0.3">
      <c r="A66" s="25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SUM(OSRRefD22_13x_0)</f>
        <v>327.64</v>
      </c>
      <c r="E66" s="2"/>
      <c r="F66" s="6">
        <f t="shared" si="8"/>
        <v>1.8736579047444765E-3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327.64</v>
      </c>
      <c r="M66" s="2"/>
      <c r="N66" s="6">
        <f t="shared" si="11"/>
        <v>0</v>
      </c>
      <c r="O66" s="14"/>
      <c r="P66" s="2">
        <f>SUM(OSRRefP22_13x_0)</f>
        <v>3894.64</v>
      </c>
      <c r="Q66" s="2"/>
      <c r="R66" s="6">
        <f t="shared" si="12"/>
        <v>5.088085381339826E-3</v>
      </c>
      <c r="S66" s="2"/>
      <c r="T66" s="2">
        <f>SUM(OSRRefT22_13x_0)</f>
        <v>797.01</v>
      </c>
      <c r="U66" s="2"/>
      <c r="V66" s="6">
        <f t="shared" si="13"/>
        <v>1.2573186226270971E-2</v>
      </c>
      <c r="W66" s="2"/>
      <c r="X66" s="2">
        <f t="shared" si="14"/>
        <v>3097.63</v>
      </c>
      <c r="Y66" s="2"/>
      <c r="Z66" s="6">
        <f t="shared" si="15"/>
        <v>3.8865635311978521</v>
      </c>
    </row>
    <row r="67" spans="1:26" s="69" customFormat="1" ht="15" hidden="1" customHeight="1" outlineLevel="2" x14ac:dyDescent="0.3">
      <c r="A67" s="26"/>
      <c r="B67" s="12" t="str">
        <f>CONCATENATE("          ","6275"," - ","SUBSCRIPTIONS")</f>
        <v xml:space="preserve">          6275 - SUBSCRIPTIONS</v>
      </c>
      <c r="C67" s="12"/>
      <c r="D67" s="8">
        <v>327.64</v>
      </c>
      <c r="E67" s="3"/>
      <c r="F67" s="7">
        <f t="shared" si="8"/>
        <v>1.8736579047444765E-3</v>
      </c>
      <c r="G67" s="3"/>
      <c r="H67" s="8"/>
      <c r="I67" s="3"/>
      <c r="J67" s="7">
        <f t="shared" si="9"/>
        <v>0</v>
      </c>
      <c r="K67" s="3"/>
      <c r="L67" s="8">
        <f t="shared" si="10"/>
        <v>327.64</v>
      </c>
      <c r="M67" s="3"/>
      <c r="N67" s="7">
        <f t="shared" si="11"/>
        <v>0</v>
      </c>
      <c r="O67" s="12"/>
      <c r="P67" s="8">
        <v>3894.64</v>
      </c>
      <c r="Q67" s="3"/>
      <c r="R67" s="7">
        <f t="shared" si="12"/>
        <v>5.088085381339826E-3</v>
      </c>
      <c r="S67" s="3"/>
      <c r="T67" s="8">
        <v>797.01</v>
      </c>
      <c r="U67" s="3"/>
      <c r="V67" s="7">
        <f t="shared" si="13"/>
        <v>1.2573186226270971E-2</v>
      </c>
      <c r="W67" s="3"/>
      <c r="X67" s="8">
        <f t="shared" si="14"/>
        <v>3097.63</v>
      </c>
      <c r="Y67" s="3"/>
      <c r="Z67" s="7">
        <f t="shared" si="15"/>
        <v>3.8865635311978521</v>
      </c>
    </row>
    <row r="68" spans="1:26" s="68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SUM(OSRRefD22_14x_0)</f>
        <v>3105.34</v>
      </c>
      <c r="E68" s="2"/>
      <c r="F68" s="6">
        <f t="shared" si="8"/>
        <v>1.7758347081916776E-2</v>
      </c>
      <c r="G68" s="2"/>
      <c r="H68" s="2">
        <f>SUM(OSRRefH22_14x_0)</f>
        <v>621.09</v>
      </c>
      <c r="I68" s="2"/>
      <c r="J68" s="6">
        <f t="shared" si="9"/>
        <v>4.862986991633117E-2</v>
      </c>
      <c r="K68" s="2"/>
      <c r="L68" s="2">
        <f t="shared" si="10"/>
        <v>2484.25</v>
      </c>
      <c r="M68" s="2"/>
      <c r="N68" s="6">
        <f t="shared" si="11"/>
        <v>3.9998228920124297</v>
      </c>
      <c r="O68" s="14"/>
      <c r="P68" s="2">
        <f>SUM(OSRRefP22_14x_0)</f>
        <v>16543.210000000003</v>
      </c>
      <c r="Q68" s="2"/>
      <c r="R68" s="6">
        <f t="shared" si="12"/>
        <v>2.1612591911302416E-2</v>
      </c>
      <c r="S68" s="2"/>
      <c r="T68" s="2">
        <f>SUM(OSRRefT22_14x_0)</f>
        <v>8373.02</v>
      </c>
      <c r="U68" s="2"/>
      <c r="V68" s="6">
        <f t="shared" si="13"/>
        <v>0.13208810395891066</v>
      </c>
      <c r="W68" s="2"/>
      <c r="X68" s="2">
        <f t="shared" si="14"/>
        <v>8170.1900000000023</v>
      </c>
      <c r="Y68" s="2"/>
      <c r="Z68" s="6">
        <f t="shared" si="15"/>
        <v>0.9757757654944097</v>
      </c>
    </row>
    <row r="69" spans="1:26" s="69" customFormat="1" ht="15" hidden="1" customHeight="1" outlineLevel="2" x14ac:dyDescent="0.3">
      <c r="A69" s="26"/>
      <c r="B69" s="12" t="str">
        <f>CONCATENATE("          ","6234"," - ","EXPENDABLE SUPPLIES &amp; EQUIPMEN")</f>
        <v xml:space="preserve">          6234 - EXPENDABLE SUPPLIES &amp; EQUIPMEN</v>
      </c>
      <c r="C69" s="12"/>
      <c r="D69" s="8"/>
      <c r="E69" s="3"/>
      <c r="F69" s="7">
        <f t="shared" si="8"/>
        <v>0</v>
      </c>
      <c r="G69" s="3"/>
      <c r="H69" s="8">
        <v>26.25</v>
      </c>
      <c r="I69" s="3"/>
      <c r="J69" s="7">
        <f t="shared" si="9"/>
        <v>2.0553125719359401E-3</v>
      </c>
      <c r="K69" s="3"/>
      <c r="L69" s="8">
        <f t="shared" si="10"/>
        <v>-26.25</v>
      </c>
      <c r="M69" s="3"/>
      <c r="N69" s="7">
        <f t="shared" si="11"/>
        <v>-1</v>
      </c>
      <c r="O69" s="12"/>
      <c r="P69" s="8">
        <v>57.77</v>
      </c>
      <c r="Q69" s="3"/>
      <c r="R69" s="7">
        <f t="shared" si="12"/>
        <v>7.5472621983033544E-5</v>
      </c>
      <c r="S69" s="3"/>
      <c r="T69" s="8">
        <v>337.16</v>
      </c>
      <c r="U69" s="3"/>
      <c r="V69" s="7">
        <f t="shared" si="13"/>
        <v>5.3188485314481886E-3</v>
      </c>
      <c r="W69" s="3"/>
      <c r="X69" s="8">
        <f t="shared" si="14"/>
        <v>-279.39000000000004</v>
      </c>
      <c r="Y69" s="3"/>
      <c r="Z69" s="7">
        <f t="shared" si="15"/>
        <v>-0.82865701743979125</v>
      </c>
    </row>
    <row r="70" spans="1:26" s="69" customFormat="1" ht="15" hidden="1" customHeight="1" outlineLevel="2" x14ac:dyDescent="0.3">
      <c r="A70" s="26"/>
      <c r="B70" s="12" t="str">
        <f>CONCATENATE("          ","6235"," - ","COVID-19 EXPENSES")</f>
        <v xml:space="preserve">          6235 - COVID-19 EXPENSES</v>
      </c>
      <c r="C70" s="12"/>
      <c r="D70" s="8"/>
      <c r="E70" s="3"/>
      <c r="F70" s="7">
        <f t="shared" si="8"/>
        <v>0</v>
      </c>
      <c r="G70" s="3"/>
      <c r="H70" s="8">
        <v>65.45</v>
      </c>
      <c r="I70" s="3"/>
      <c r="J70" s="7">
        <f t="shared" si="9"/>
        <v>5.1245793460269447E-3</v>
      </c>
      <c r="K70" s="3"/>
      <c r="L70" s="8">
        <f t="shared" si="10"/>
        <v>-65.45</v>
      </c>
      <c r="M70" s="3"/>
      <c r="N70" s="7">
        <f t="shared" si="11"/>
        <v>-1</v>
      </c>
      <c r="O70" s="12"/>
      <c r="P70" s="8">
        <v>35.72</v>
      </c>
      <c r="Q70" s="3"/>
      <c r="R70" s="7">
        <f t="shared" si="12"/>
        <v>4.6665779076232612E-5</v>
      </c>
      <c r="S70" s="3"/>
      <c r="T70" s="8">
        <v>6819.42</v>
      </c>
      <c r="U70" s="3"/>
      <c r="V70" s="7">
        <f t="shared" si="13"/>
        <v>0.10757937493275717</v>
      </c>
      <c r="W70" s="3"/>
      <c r="X70" s="8">
        <f t="shared" si="14"/>
        <v>-6783.7</v>
      </c>
      <c r="Y70" s="3"/>
      <c r="Z70" s="7">
        <f t="shared" si="15"/>
        <v>-0.99476201788421881</v>
      </c>
    </row>
    <row r="71" spans="1:26" s="69" customFormat="1" ht="15" hidden="1" customHeight="1" outlineLevel="2" x14ac:dyDescent="0.3">
      <c r="A71" s="26"/>
      <c r="B71" s="12" t="str">
        <f>CONCATENATE("          ","6237"," - ","JANITORIAL SUPPLIES")</f>
        <v xml:space="preserve">          6237 - JANITORIAL SUPPLIES</v>
      </c>
      <c r="C71" s="12"/>
      <c r="D71" s="8">
        <v>953.14</v>
      </c>
      <c r="E71" s="3"/>
      <c r="F71" s="7">
        <f t="shared" si="8"/>
        <v>5.4506723700651636E-3</v>
      </c>
      <c r="G71" s="3"/>
      <c r="H71" s="8"/>
      <c r="I71" s="3"/>
      <c r="J71" s="7">
        <f t="shared" si="9"/>
        <v>0</v>
      </c>
      <c r="K71" s="3"/>
      <c r="L71" s="8">
        <f t="shared" si="10"/>
        <v>953.14</v>
      </c>
      <c r="M71" s="3"/>
      <c r="N71" s="7">
        <f t="shared" si="11"/>
        <v>0</v>
      </c>
      <c r="O71" s="12"/>
      <c r="P71" s="8">
        <v>6982.88</v>
      </c>
      <c r="Q71" s="3"/>
      <c r="R71" s="7">
        <f t="shared" si="12"/>
        <v>9.1226633649452177E-3</v>
      </c>
      <c r="S71" s="3"/>
      <c r="T71" s="8">
        <v>286.91000000000003</v>
      </c>
      <c r="U71" s="3"/>
      <c r="V71" s="7">
        <f t="shared" si="13"/>
        <v>4.5261324954259099E-3</v>
      </c>
      <c r="W71" s="3"/>
      <c r="X71" s="8">
        <f t="shared" si="14"/>
        <v>6695.97</v>
      </c>
      <c r="Y71" s="3"/>
      <c r="Z71" s="7">
        <f t="shared" si="15"/>
        <v>23.338224530340522</v>
      </c>
    </row>
    <row r="72" spans="1:26" s="69" customFormat="1" ht="15" hidden="1" customHeight="1" outlineLevel="2" x14ac:dyDescent="0.3">
      <c r="A72" s="26"/>
      <c r="B72" s="12" t="str">
        <f>CONCATENATE("          ","6239"," - ","KITCHEN SUPPLIES")</f>
        <v xml:space="preserve">          6239 - KITCHEN SUPPLIES</v>
      </c>
      <c r="C72" s="12"/>
      <c r="D72" s="8">
        <v>693.87</v>
      </c>
      <c r="E72" s="3"/>
      <c r="F72" s="7">
        <f t="shared" si="8"/>
        <v>3.9679984445276824E-3</v>
      </c>
      <c r="G72" s="3"/>
      <c r="H72" s="8"/>
      <c r="I72" s="3"/>
      <c r="J72" s="7">
        <f t="shared" si="9"/>
        <v>0</v>
      </c>
      <c r="K72" s="3"/>
      <c r="L72" s="8">
        <f t="shared" si="10"/>
        <v>693.87</v>
      </c>
      <c r="M72" s="3"/>
      <c r="N72" s="7">
        <f t="shared" si="11"/>
        <v>0</v>
      </c>
      <c r="O72" s="12"/>
      <c r="P72" s="8">
        <v>3180.65</v>
      </c>
      <c r="Q72" s="3"/>
      <c r="R72" s="7">
        <f t="shared" si="12"/>
        <v>4.1553054372569787E-3</v>
      </c>
      <c r="S72" s="3"/>
      <c r="T72" s="8">
        <v>19.829999999999998</v>
      </c>
      <c r="U72" s="3"/>
      <c r="V72" s="7">
        <f t="shared" si="13"/>
        <v>3.128270446631201E-4</v>
      </c>
      <c r="W72" s="3"/>
      <c r="X72" s="8">
        <f t="shared" si="14"/>
        <v>3160.82</v>
      </c>
      <c r="Y72" s="3"/>
      <c r="Z72" s="7">
        <f t="shared" si="15"/>
        <v>159.39586485123553</v>
      </c>
    </row>
    <row r="73" spans="1:26" s="69" customFormat="1" ht="15" hidden="1" customHeight="1" outlineLevel="2" x14ac:dyDescent="0.3">
      <c r="A73" s="26"/>
      <c r="B73" s="12" t="str">
        <f>CONCATENATE("          ","6241"," - ","OFFICE EXPENSE")</f>
        <v xml:space="preserve">          6241 - OFFICE EXPENSE</v>
      </c>
      <c r="C73" s="12"/>
      <c r="D73" s="8">
        <v>8.81</v>
      </c>
      <c r="E73" s="3"/>
      <c r="F73" s="7">
        <f t="shared" si="8"/>
        <v>5.0381290870464045E-5</v>
      </c>
      <c r="G73" s="3"/>
      <c r="H73" s="8">
        <v>434.47</v>
      </c>
      <c r="I73" s="3"/>
      <c r="J73" s="7">
        <f t="shared" si="9"/>
        <v>3.4017967738247924E-2</v>
      </c>
      <c r="K73" s="3"/>
      <c r="L73" s="8">
        <f t="shared" si="10"/>
        <v>-425.66</v>
      </c>
      <c r="M73" s="3"/>
      <c r="N73" s="7">
        <f t="shared" si="11"/>
        <v>-0.97972242042028213</v>
      </c>
      <c r="O73" s="12"/>
      <c r="P73" s="8">
        <v>3780.79</v>
      </c>
      <c r="Q73" s="3"/>
      <c r="R73" s="7">
        <f t="shared" si="12"/>
        <v>4.939348008780221E-3</v>
      </c>
      <c r="S73" s="3"/>
      <c r="T73" s="8">
        <v>654.37</v>
      </c>
      <c r="U73" s="3"/>
      <c r="V73" s="7">
        <f t="shared" si="13"/>
        <v>1.0322976965012906E-2</v>
      </c>
      <c r="W73" s="3"/>
      <c r="X73" s="8">
        <f t="shared" si="14"/>
        <v>3126.42</v>
      </c>
      <c r="Y73" s="3"/>
      <c r="Z73" s="7">
        <f t="shared" si="15"/>
        <v>4.7777557039595333</v>
      </c>
    </row>
    <row r="74" spans="1:26" s="69" customFormat="1" ht="15" hidden="1" customHeight="1" outlineLevel="2" x14ac:dyDescent="0.3">
      <c r="A74" s="26"/>
      <c r="B74" s="12" t="str">
        <f>CONCATENATE("          ","6243"," - ","PAPER SUPPLIES")</f>
        <v xml:space="preserve">          6243 - PAPER SUPPLIES</v>
      </c>
      <c r="C74" s="12"/>
      <c r="D74" s="8">
        <v>1449.52</v>
      </c>
      <c r="E74" s="3"/>
      <c r="F74" s="7">
        <f t="shared" si="8"/>
        <v>8.2892949764534658E-3</v>
      </c>
      <c r="G74" s="3"/>
      <c r="H74" s="8">
        <v>94.92</v>
      </c>
      <c r="I74" s="3"/>
      <c r="J74" s="7">
        <f t="shared" si="9"/>
        <v>7.4320102601203603E-3</v>
      </c>
      <c r="K74" s="3"/>
      <c r="L74" s="8">
        <f t="shared" si="10"/>
        <v>1354.6</v>
      </c>
      <c r="M74" s="3"/>
      <c r="N74" s="7">
        <f t="shared" si="11"/>
        <v>14.270965023177411</v>
      </c>
      <c r="O74" s="12"/>
      <c r="P74" s="8">
        <v>2505.4</v>
      </c>
      <c r="Q74" s="3"/>
      <c r="R74" s="7">
        <f t="shared" si="12"/>
        <v>3.2731366992607277E-3</v>
      </c>
      <c r="S74" s="3"/>
      <c r="T74" s="8">
        <v>255.33</v>
      </c>
      <c r="U74" s="3"/>
      <c r="V74" s="7">
        <f t="shared" si="13"/>
        <v>4.0279439896033515E-3</v>
      </c>
      <c r="W74" s="3"/>
      <c r="X74" s="8">
        <f t="shared" si="14"/>
        <v>2250.0700000000002</v>
      </c>
      <c r="Y74" s="3"/>
      <c r="Z74" s="7">
        <f t="shared" si="15"/>
        <v>8.8123996396819813</v>
      </c>
    </row>
    <row r="75" spans="1:26" s="68" customFormat="1" ht="15" customHeight="1" outlineLevel="1" collapsed="1" x14ac:dyDescent="0.3">
      <c r="A75" s="25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SUM(OSRRefD22_15x_0)</f>
        <v>255.3</v>
      </c>
      <c r="E75" s="2"/>
      <c r="F75" s="6">
        <f t="shared" si="8"/>
        <v>1.45997089208053E-3</v>
      </c>
      <c r="G75" s="2"/>
      <c r="H75" s="2">
        <f>SUM(OSRRefH22_15x_0)</f>
        <v>232</v>
      </c>
      <c r="I75" s="2"/>
      <c r="J75" s="6">
        <f t="shared" si="9"/>
        <v>1.8165048254824311E-2</v>
      </c>
      <c r="K75" s="2"/>
      <c r="L75" s="2">
        <f t="shared" si="10"/>
        <v>23.300000000000011</v>
      </c>
      <c r="M75" s="2"/>
      <c r="N75" s="6">
        <f t="shared" si="11"/>
        <v>0.10043103448275867</v>
      </c>
      <c r="O75" s="14"/>
      <c r="P75" s="2">
        <f>SUM(OSRRefP22_15x_0)</f>
        <v>2356.0300000000002</v>
      </c>
      <c r="Q75" s="2"/>
      <c r="R75" s="6">
        <f t="shared" si="12"/>
        <v>3.0779948341818682E-3</v>
      </c>
      <c r="S75" s="2"/>
      <c r="T75" s="2">
        <f>SUM(OSRRefT22_15x_0)</f>
        <v>1923</v>
      </c>
      <c r="U75" s="2"/>
      <c r="V75" s="6">
        <f t="shared" si="13"/>
        <v>3.0336177856136157E-2</v>
      </c>
      <c r="W75" s="2"/>
      <c r="X75" s="2">
        <f t="shared" si="14"/>
        <v>433.0300000000002</v>
      </c>
      <c r="Y75" s="2"/>
      <c r="Z75" s="6">
        <f t="shared" si="15"/>
        <v>0.22518460738429547</v>
      </c>
    </row>
    <row r="76" spans="1:26" s="69" customFormat="1" ht="15" hidden="1" customHeight="1" outlineLevel="2" x14ac:dyDescent="0.3">
      <c r="A76" s="26"/>
      <c r="B76" s="12" t="str">
        <f>CONCATENATE("          ","6309"," - ","TELEPHONE")</f>
        <v xml:space="preserve">          6309 - TELEPHONE</v>
      </c>
      <c r="C76" s="12"/>
      <c r="D76" s="8">
        <v>255.3</v>
      </c>
      <c r="E76" s="3"/>
      <c r="F76" s="7">
        <f t="shared" si="8"/>
        <v>1.45997089208053E-3</v>
      </c>
      <c r="G76" s="3"/>
      <c r="H76" s="8">
        <v>232</v>
      </c>
      <c r="I76" s="3"/>
      <c r="J76" s="7">
        <f t="shared" si="9"/>
        <v>1.8165048254824311E-2</v>
      </c>
      <c r="K76" s="3"/>
      <c r="L76" s="8">
        <f t="shared" si="10"/>
        <v>23.300000000000011</v>
      </c>
      <c r="M76" s="3"/>
      <c r="N76" s="7">
        <f t="shared" si="11"/>
        <v>0.10043103448275867</v>
      </c>
      <c r="O76" s="12"/>
      <c r="P76" s="8">
        <v>2356.0300000000002</v>
      </c>
      <c r="Q76" s="3"/>
      <c r="R76" s="7">
        <f t="shared" si="12"/>
        <v>3.0779948341818682E-3</v>
      </c>
      <c r="S76" s="3"/>
      <c r="T76" s="8">
        <v>1923</v>
      </c>
      <c r="U76" s="3"/>
      <c r="V76" s="7">
        <f t="shared" si="13"/>
        <v>3.0336177856136157E-2</v>
      </c>
      <c r="W76" s="3"/>
      <c r="X76" s="8">
        <f t="shared" si="14"/>
        <v>433.0300000000002</v>
      </c>
      <c r="Y76" s="3"/>
      <c r="Z76" s="7">
        <f t="shared" si="15"/>
        <v>0.22518460738429547</v>
      </c>
    </row>
    <row r="77" spans="1:26" s="68" customFormat="1" ht="15" customHeight="1" outlineLevel="1" collapsed="1" x14ac:dyDescent="0.3">
      <c r="A77" s="25"/>
      <c r="B77" s="14" t="str">
        <f>CONCATENATE("     ","Training                                          ")</f>
        <v xml:space="preserve">     Training                                          </v>
      </c>
      <c r="C77" s="14"/>
      <c r="D77" s="2">
        <f>SUM(OSRRefD22_16x_0)</f>
        <v>15.95</v>
      </c>
      <c r="E77" s="2"/>
      <c r="F77" s="6">
        <f t="shared" si="8"/>
        <v>9.1212439203621043E-5</v>
      </c>
      <c r="G77" s="2"/>
      <c r="H77" s="2">
        <f>SUM(OSRRefH22_16x_0)</f>
        <v>0</v>
      </c>
      <c r="I77" s="2"/>
      <c r="J77" s="6">
        <f t="shared" si="9"/>
        <v>0</v>
      </c>
      <c r="K77" s="2"/>
      <c r="L77" s="2">
        <f t="shared" si="10"/>
        <v>15.95</v>
      </c>
      <c r="M77" s="2"/>
      <c r="N77" s="6">
        <f t="shared" si="11"/>
        <v>0</v>
      </c>
      <c r="O77" s="14"/>
      <c r="P77" s="2">
        <f>SUM(OSRRefP22_16x_0)</f>
        <v>175.95</v>
      </c>
      <c r="Q77" s="2"/>
      <c r="R77" s="6">
        <f t="shared" si="12"/>
        <v>2.2986684850120738E-4</v>
      </c>
      <c r="S77" s="2"/>
      <c r="T77" s="2">
        <f>SUM(OSRRefT22_16x_0)</f>
        <v>400</v>
      </c>
      <c r="U77" s="2"/>
      <c r="V77" s="6">
        <f t="shared" si="13"/>
        <v>6.3101774011723672E-3</v>
      </c>
      <c r="W77" s="2"/>
      <c r="X77" s="2">
        <f t="shared" si="14"/>
        <v>-224.05</v>
      </c>
      <c r="Y77" s="2"/>
      <c r="Z77" s="6">
        <f t="shared" si="15"/>
        <v>-0.56012499999999998</v>
      </c>
    </row>
    <row r="78" spans="1:26" s="69" customFormat="1" ht="15" hidden="1" customHeight="1" outlineLevel="2" x14ac:dyDescent="0.3">
      <c r="A78" s="26"/>
      <c r="B78" s="12" t="str">
        <f>CONCATENATE("          ","6376"," - ","TRAINING")</f>
        <v xml:space="preserve">          6376 - TRAINING</v>
      </c>
      <c r="C78" s="12"/>
      <c r="D78" s="8">
        <v>15.95</v>
      </c>
      <c r="E78" s="3"/>
      <c r="F78" s="7">
        <f t="shared" si="8"/>
        <v>9.1212439203621043E-5</v>
      </c>
      <c r="G78" s="3"/>
      <c r="H78" s="8"/>
      <c r="I78" s="3"/>
      <c r="J78" s="7">
        <f t="shared" si="9"/>
        <v>0</v>
      </c>
      <c r="K78" s="3"/>
      <c r="L78" s="8">
        <f t="shared" si="10"/>
        <v>15.95</v>
      </c>
      <c r="M78" s="3"/>
      <c r="N78" s="7">
        <f t="shared" si="11"/>
        <v>0</v>
      </c>
      <c r="O78" s="12"/>
      <c r="P78" s="8">
        <v>175.95</v>
      </c>
      <c r="Q78" s="3"/>
      <c r="R78" s="7">
        <f t="shared" si="12"/>
        <v>2.2986684850120738E-4</v>
      </c>
      <c r="S78" s="3"/>
      <c r="T78" s="8">
        <v>400</v>
      </c>
      <c r="U78" s="3"/>
      <c r="V78" s="7">
        <f t="shared" si="13"/>
        <v>6.3101774011723672E-3</v>
      </c>
      <c r="W78" s="3"/>
      <c r="X78" s="8">
        <f t="shared" si="14"/>
        <v>-224.05</v>
      </c>
      <c r="Y78" s="3"/>
      <c r="Z78" s="7">
        <f t="shared" si="15"/>
        <v>-0.56012499999999998</v>
      </c>
    </row>
    <row r="79" spans="1:26" s="68" customFormat="1" ht="15" customHeight="1" outlineLevel="1" collapsed="1" x14ac:dyDescent="0.3">
      <c r="A79" s="25"/>
      <c r="B79" s="14" t="str">
        <f>CONCATENATE("     ","Utilities                                         ")</f>
        <v xml:space="preserve">     Utilities                                         </v>
      </c>
      <c r="C79" s="14"/>
      <c r="D79" s="2">
        <f>SUM(OSRRefD22_17x_0)</f>
        <v>2400</v>
      </c>
      <c r="E79" s="2"/>
      <c r="F79" s="6">
        <f t="shared" si="8"/>
        <v>1.372475574223765E-2</v>
      </c>
      <c r="G79" s="2"/>
      <c r="H79" s="2">
        <f>SUM(OSRRefH22_17x_0)</f>
        <v>2300</v>
      </c>
      <c r="I79" s="2"/>
      <c r="J79" s="6">
        <f t="shared" si="9"/>
        <v>0.18008453011248238</v>
      </c>
      <c r="K79" s="2"/>
      <c r="L79" s="2">
        <f t="shared" si="10"/>
        <v>100</v>
      </c>
      <c r="M79" s="2"/>
      <c r="N79" s="6">
        <f t="shared" si="11"/>
        <v>4.3478260869565216E-2</v>
      </c>
      <c r="O79" s="14"/>
      <c r="P79" s="2">
        <f>SUM(OSRRefP22_17x_0)</f>
        <v>21600</v>
      </c>
      <c r="Q79" s="2"/>
      <c r="R79" s="6">
        <f t="shared" si="12"/>
        <v>2.8218948153600907E-2</v>
      </c>
      <c r="S79" s="2"/>
      <c r="T79" s="2">
        <f>SUM(OSRRefT22_17x_0)</f>
        <v>10625</v>
      </c>
      <c r="U79" s="2"/>
      <c r="V79" s="6">
        <f t="shared" si="13"/>
        <v>0.16761408721864102</v>
      </c>
      <c r="W79" s="2"/>
      <c r="X79" s="2">
        <f t="shared" si="14"/>
        <v>10975</v>
      </c>
      <c r="Y79" s="2"/>
      <c r="Z79" s="6">
        <f t="shared" si="15"/>
        <v>1.0329411764705883</v>
      </c>
    </row>
    <row r="80" spans="1:26" s="69" customFormat="1" ht="15" hidden="1" customHeight="1" outlineLevel="2" x14ac:dyDescent="0.3">
      <c r="A80" s="26"/>
      <c r="B80" s="12" t="str">
        <f>CONCATENATE("          ","6274"," - ","UTILITIES")</f>
        <v xml:space="preserve">          6274 - UTILITIES</v>
      </c>
      <c r="C80" s="12"/>
      <c r="D80" s="8">
        <v>2400</v>
      </c>
      <c r="E80" s="3"/>
      <c r="F80" s="7">
        <f t="shared" si="8"/>
        <v>1.372475574223765E-2</v>
      </c>
      <c r="G80" s="3"/>
      <c r="H80" s="8">
        <v>2300</v>
      </c>
      <c r="I80" s="3"/>
      <c r="J80" s="7">
        <f t="shared" si="9"/>
        <v>0.18008453011248238</v>
      </c>
      <c r="K80" s="3"/>
      <c r="L80" s="8">
        <f t="shared" si="10"/>
        <v>100</v>
      </c>
      <c r="M80" s="3"/>
      <c r="N80" s="7">
        <f t="shared" si="11"/>
        <v>4.3478260869565216E-2</v>
      </c>
      <c r="O80" s="12"/>
      <c r="P80" s="8">
        <v>21600</v>
      </c>
      <c r="Q80" s="3"/>
      <c r="R80" s="7">
        <f t="shared" si="12"/>
        <v>2.8218948153600907E-2</v>
      </c>
      <c r="S80" s="3"/>
      <c r="T80" s="8">
        <v>10625</v>
      </c>
      <c r="U80" s="3"/>
      <c r="V80" s="7">
        <f t="shared" si="13"/>
        <v>0.16761408721864102</v>
      </c>
      <c r="W80" s="3"/>
      <c r="X80" s="8">
        <f t="shared" si="14"/>
        <v>10975</v>
      </c>
      <c r="Y80" s="3"/>
      <c r="Z80" s="7">
        <f t="shared" si="15"/>
        <v>1.0329411764705883</v>
      </c>
    </row>
    <row r="81" spans="1:26" s="64" customFormat="1" ht="15" customHeight="1" x14ac:dyDescent="0.3">
      <c r="A81" s="36"/>
      <c r="B81" s="36"/>
      <c r="C81" s="36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3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62" customFormat="1" ht="15" customHeight="1" collapsed="1" x14ac:dyDescent="0.3">
      <c r="A82" s="11"/>
      <c r="B82" s="27" t="s">
        <v>290</v>
      </c>
      <c r="C82" s="11"/>
      <c r="D82" s="5">
        <f>SUM(OSRRefD25x_0)</f>
        <v>0</v>
      </c>
      <c r="E82" s="5"/>
      <c r="F82" s="13">
        <f>IF(D$12=0,0,D82/D$12)</f>
        <v>0</v>
      </c>
      <c r="G82" s="5"/>
      <c r="H82" s="5">
        <f>SUM(OSRRefH25x_0)</f>
        <v>0</v>
      </c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>
        <f>SUM(OSRRefP25x_0)</f>
        <v>6.03</v>
      </c>
      <c r="Q82" s="5"/>
      <c r="R82" s="13">
        <f>IF(P$12=0,0,P82/P$12)</f>
        <v>7.8777896928802532E-6</v>
      </c>
      <c r="S82" s="5"/>
      <c r="T82" s="5">
        <f>SUM(OSRRefT25x_0)</f>
        <v>0</v>
      </c>
      <c r="U82" s="5"/>
      <c r="V82" s="13">
        <f>IF(T$12=0,0,T82/T$12)</f>
        <v>0</v>
      </c>
      <c r="W82" s="5"/>
      <c r="X82" s="5">
        <f>+P82-T82</f>
        <v>6.03</v>
      </c>
      <c r="Y82" s="5"/>
      <c r="Z82" s="13">
        <f>IF(T82=0,0,X82/T82)</f>
        <v>0</v>
      </c>
    </row>
    <row r="83" spans="1:26" s="69" customFormat="1" ht="15" hidden="1" customHeight="1" outlineLevel="1" x14ac:dyDescent="0.3">
      <c r="A83" s="42"/>
      <c r="B83" s="12" t="str">
        <f>CONCATENATE("          ","9150"," - ","MISC. INCOME")</f>
        <v xml:space="preserve">          9150 - MISC. INCOME</v>
      </c>
      <c r="C83" s="12"/>
      <c r="D83" s="3">
        <f>0</f>
        <v>0</v>
      </c>
      <c r="E83" s="3"/>
      <c r="F83" s="20">
        <f>IF(D$12=0,0,D83/D$12)</f>
        <v>0</v>
      </c>
      <c r="G83" s="3"/>
      <c r="H83" s="3">
        <f>0</f>
        <v>0</v>
      </c>
      <c r="I83" s="3"/>
      <c r="J83" s="20">
        <f>IF(H$12=0,0,H83/H$12)</f>
        <v>0</v>
      </c>
      <c r="K83" s="3"/>
      <c r="L83" s="3">
        <f>+D83-H83</f>
        <v>0</v>
      </c>
      <c r="M83" s="3"/>
      <c r="N83" s="20">
        <f>IF(H83=0,0,L83/H83)</f>
        <v>0</v>
      </c>
      <c r="O83" s="12"/>
      <c r="P83" s="3">
        <f>--6.03</f>
        <v>6.03</v>
      </c>
      <c r="Q83" s="3"/>
      <c r="R83" s="20">
        <f>IF(P$12=0,0,P83/P$12)</f>
        <v>7.8777896928802532E-6</v>
      </c>
      <c r="S83" s="3"/>
      <c r="T83" s="3">
        <f>0</f>
        <v>0</v>
      </c>
      <c r="U83" s="3"/>
      <c r="V83" s="20">
        <f>IF(T$12=0,0,T83/T$12)</f>
        <v>0</v>
      </c>
      <c r="W83" s="3"/>
      <c r="X83" s="3">
        <f>+P83-T83</f>
        <v>6.03</v>
      </c>
      <c r="Y83" s="3"/>
      <c r="Z83" s="20">
        <f>IF(T83=0,0,X83/T83)</f>
        <v>0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11"/>
      <c r="B85" s="28" t="s">
        <v>291</v>
      </c>
      <c r="C85" s="28"/>
      <c r="D85" s="21">
        <f>+D20-D22+D82</f>
        <v>27030.810000000012</v>
      </c>
      <c r="E85" s="15"/>
      <c r="F85" s="23">
        <f>IF(D$12=0,0,D85/D$12)</f>
        <v>0.1545796936520146</v>
      </c>
      <c r="G85" s="15"/>
      <c r="H85" s="21">
        <f>+H20-H22+H82</f>
        <v>-56344.04</v>
      </c>
      <c r="I85" s="15"/>
      <c r="J85" s="23">
        <f>IF(H$12=0,0,H85/H$12)</f>
        <v>-4.4116043339299615</v>
      </c>
      <c r="K85" s="16"/>
      <c r="L85" s="21">
        <f>+D85-H85</f>
        <v>83374.850000000006</v>
      </c>
      <c r="M85" s="16"/>
      <c r="N85" s="23">
        <f>IF(H85=0,0,L85/H85)</f>
        <v>-1.4797456838380778</v>
      </c>
      <c r="O85" s="27"/>
      <c r="P85" s="21">
        <f>+P20-P22+P82</f>
        <v>-280665.9200000001</v>
      </c>
      <c r="Q85" s="15"/>
      <c r="R85" s="23">
        <f>IF(P$12=0,0,P85/P$12)</f>
        <v>-0.36667115948901402</v>
      </c>
      <c r="S85" s="15"/>
      <c r="T85" s="21">
        <f>+T20-T22+T82</f>
        <v>-569285.25</v>
      </c>
      <c r="U85" s="15"/>
      <c r="V85" s="23">
        <f>IF(T$12=0,0,T85/T$12)</f>
        <v>-8.9807272984269044</v>
      </c>
      <c r="W85" s="16"/>
      <c r="X85" s="21">
        <f>+P85-T85</f>
        <v>288619.3299999999</v>
      </c>
      <c r="Y85" s="16"/>
      <c r="Z85" s="23">
        <f>IF(T85=0,0,X85/T85)</f>
        <v>-0.50698543480618885</v>
      </c>
    </row>
    <row r="86" spans="1:26" ht="15" customHeight="1" x14ac:dyDescent="0.3">
      <c r="A86" s="10"/>
      <c r="B86" s="11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48"/>
      <c r="B87" s="11" t="s">
        <v>292</v>
      </c>
      <c r="C87" s="11"/>
      <c r="D87" s="5">
        <v>16228.5</v>
      </c>
      <c r="E87" s="5"/>
      <c r="F87" s="13">
        <f>IF(D$12=0,0,D87/D$12)</f>
        <v>9.2805082734543215E-2</v>
      </c>
      <c r="G87" s="5"/>
      <c r="H87" s="5">
        <v>2829.45</v>
      </c>
      <c r="I87" s="5"/>
      <c r="J87" s="13">
        <f>IF(H$12=0,0,H87/H$12)</f>
        <v>0.22153920596815793</v>
      </c>
      <c r="K87" s="5"/>
      <c r="L87" s="5">
        <f>+D87-H87</f>
        <v>13399.05</v>
      </c>
      <c r="M87" s="5"/>
      <c r="N87" s="13">
        <f>IF(H87=0,0,L87/H87)</f>
        <v>4.7355669829825588</v>
      </c>
      <c r="O87" s="11"/>
      <c r="P87" s="5">
        <v>86712.37</v>
      </c>
      <c r="Q87" s="5"/>
      <c r="R87" s="13">
        <f>IF(P$12=0,0,P87/P$12)</f>
        <v>0.11328388302341938</v>
      </c>
      <c r="S87" s="5"/>
      <c r="T87" s="5">
        <v>13261.37</v>
      </c>
      <c r="U87" s="5"/>
      <c r="V87" s="13">
        <f>IF(T$12=0,0,T87/T$12)</f>
        <v>0.20920399320646302</v>
      </c>
      <c r="W87" s="5"/>
      <c r="X87" s="5">
        <f>+P87-T87</f>
        <v>73451</v>
      </c>
      <c r="Y87" s="5"/>
      <c r="Z87" s="13">
        <f>IF(T87=0,0,X87/T87)</f>
        <v>5.5387188503148614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8" t="s">
        <v>293</v>
      </c>
      <c r="C89" s="28"/>
      <c r="D89" s="34">
        <f>+D85-D87</f>
        <v>10802.310000000012</v>
      </c>
      <c r="E89" s="15"/>
      <c r="F89" s="30">
        <f>IF(D$12=0,0,D89/D$12)</f>
        <v>6.1774610917471398E-2</v>
      </c>
      <c r="G89" s="15"/>
      <c r="H89" s="34">
        <f>+H85-H87</f>
        <v>-59173.49</v>
      </c>
      <c r="I89" s="15"/>
      <c r="J89" s="30">
        <f>IF(H$12=0,0,H89/H$12)</f>
        <v>-4.6331435398981196</v>
      </c>
      <c r="K89" s="16"/>
      <c r="L89" s="34">
        <f>D89-H89</f>
        <v>69975.800000000017</v>
      </c>
      <c r="M89" s="16"/>
      <c r="N89" s="30">
        <f>IF(H89=0,0,L89/H89)</f>
        <v>-1.1825532007660866</v>
      </c>
      <c r="O89" s="27"/>
      <c r="P89" s="34">
        <f>+P85-P87</f>
        <v>-367378.2900000001</v>
      </c>
      <c r="Q89" s="15"/>
      <c r="R89" s="30">
        <f>IF(P$12=0,0,P89/P$12)</f>
        <v>-0.47995504251243343</v>
      </c>
      <c r="S89" s="15"/>
      <c r="T89" s="34">
        <f>+T85-T87</f>
        <v>-582546.62</v>
      </c>
      <c r="U89" s="15"/>
      <c r="V89" s="30">
        <f>IF(T$12=0,0,T89/T$12)</f>
        <v>-9.189931291633366</v>
      </c>
      <c r="W89" s="16"/>
      <c r="X89" s="34">
        <f>P89-T89</f>
        <v>215168.3299999999</v>
      </c>
      <c r="Y89" s="16"/>
      <c r="Z89" s="30">
        <f>IF(T89=0,0,X89/T89)</f>
        <v>-0.3693581296549277</v>
      </c>
    </row>
    <row r="90" spans="1:26" ht="15" customHeight="1" x14ac:dyDescent="0.3">
      <c r="A90" s="10"/>
      <c r="B90" s="10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2" customFormat="1" ht="15" customHeight="1" x14ac:dyDescent="0.3">
      <c r="A92" s="11"/>
      <c r="B92" s="28" t="s">
        <v>296</v>
      </c>
      <c r="C92" s="28"/>
      <c r="D92" s="29">
        <f>SUM(D89:D91)</f>
        <v>10802.310000000012</v>
      </c>
      <c r="E92" s="15"/>
      <c r="F92" s="35">
        <f>IF(D$12=0,0,D92/D$12)</f>
        <v>6.1774610917471398E-2</v>
      </c>
      <c r="G92" s="15"/>
      <c r="H92" s="29">
        <f>SUM(H89:H91)</f>
        <v>-59173.49</v>
      </c>
      <c r="I92" s="15"/>
      <c r="J92" s="35">
        <f>IF(H$12=0,0,H92/H$12)</f>
        <v>-4.6331435398981196</v>
      </c>
      <c r="K92" s="16"/>
      <c r="L92" s="29">
        <f>+D92-H92</f>
        <v>69975.800000000017</v>
      </c>
      <c r="M92" s="16"/>
      <c r="N92" s="35">
        <f>IF(H92=0,0,L92/H92)</f>
        <v>-1.1825532007660866</v>
      </c>
      <c r="O92" s="27"/>
      <c r="P92" s="29">
        <f>SUM(P89:P91)</f>
        <v>-367378.2900000001</v>
      </c>
      <c r="Q92" s="15"/>
      <c r="R92" s="35">
        <f>IF(P$12=0,0,P92/P$12)</f>
        <v>-0.47995504251243343</v>
      </c>
      <c r="S92" s="15"/>
      <c r="T92" s="29">
        <f>SUM(T89:T91)</f>
        <v>-582546.62</v>
      </c>
      <c r="U92" s="15"/>
      <c r="V92" s="35">
        <f>IF(T$12=0,0,T92/T$12)</f>
        <v>-9.189931291633366</v>
      </c>
      <c r="W92" s="16"/>
      <c r="X92" s="29">
        <f>+P92-T92</f>
        <v>215168.3299999999</v>
      </c>
      <c r="Y92" s="16"/>
      <c r="Z92" s="35">
        <f>IF(T92=0,0,X92/T92)</f>
        <v>-0.3693581296549277</v>
      </c>
    </row>
    <row r="93" spans="1:26" ht="15" customHeight="1" x14ac:dyDescent="0.3">
      <c r="A93" s="10"/>
      <c r="C93" s="10"/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3">
      <c r="A94" s="10"/>
      <c r="B94" s="56">
        <v>44694.890829479169</v>
      </c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  <row r="95" spans="1:26" ht="15" customHeight="1" x14ac:dyDescent="0.3">
      <c r="A95" s="10"/>
      <c r="B95" s="52" t="s">
        <v>297</v>
      </c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3">
      <c r="A96" s="10"/>
      <c r="B96" s="58"/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  <row r="97" spans="4:24" ht="15" customHeight="1" x14ac:dyDescent="0.3"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330A6-AAA8-252D-F443-CF1E98418BF9}">
  <sheetPr>
    <tabColor rgb="FF92D050"/>
    <outlinePr summaryBelow="0" summaryRight="0"/>
  </sheetPr>
  <dimension ref="A2:Z8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","418"," - ","Nugget")</f>
        <v>Department 418 - Nugget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collapsed="1" x14ac:dyDescent="0.3">
      <c r="A14" s="11"/>
      <c r="B14" s="27" t="s">
        <v>287</v>
      </c>
      <c r="C14" s="11"/>
      <c r="D14" s="5">
        <f>SUM(OSRRefD16x_0)</f>
        <v>-181.4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-181.4</v>
      </c>
      <c r="M14" s="5"/>
      <c r="N14" s="13">
        <f>IF(H14=0,0,L14/H14)</f>
        <v>0</v>
      </c>
      <c r="O14" s="11"/>
      <c r="P14" s="5">
        <f>SUM(OSRRefP16x_0)</f>
        <v>1168.02</v>
      </c>
      <c r="Q14" s="5"/>
      <c r="R14" s="13">
        <f>IF(P$12=0,0,P14/P$12)</f>
        <v>0</v>
      </c>
      <c r="S14" s="5"/>
      <c r="T14" s="5">
        <f>SUM(OSRRefT16x_0)</f>
        <v>-301.68</v>
      </c>
      <c r="U14" s="5"/>
      <c r="V14" s="13">
        <f>IF(T$12=0,0,T14/T$12)</f>
        <v>0</v>
      </c>
      <c r="W14" s="5"/>
      <c r="X14" s="5">
        <f>+P14-T14</f>
        <v>1469.7</v>
      </c>
      <c r="Y14" s="5"/>
      <c r="Z14" s="13">
        <f>IF(T14=0,0,X14/T14)</f>
        <v>-4.8717183770883059</v>
      </c>
    </row>
    <row r="15" spans="1:26" s="69" customFormat="1" ht="15" hidden="1" customHeight="1" outlineLevel="1" x14ac:dyDescent="0.3">
      <c r="A15" s="42"/>
      <c r="B15" s="12" t="str">
        <f>CONCATENATE("          ","5053"," - ","PURCHASES @ COST-FOOD")</f>
        <v xml:space="preserve">          5053 - PURCHASES @ COST-FOOD</v>
      </c>
      <c r="C15" s="12"/>
      <c r="D15" s="3">
        <v>-181.4</v>
      </c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-181.4</v>
      </c>
      <c r="M15" s="3"/>
      <c r="N15" s="20">
        <f>IF(H15=0,0,L15/H15)</f>
        <v>0</v>
      </c>
      <c r="O15" s="12"/>
      <c r="P15" s="3">
        <v>1168.02</v>
      </c>
      <c r="Q15" s="3"/>
      <c r="R15" s="20">
        <f>IF(P$12=0,0,P15/P$12)</f>
        <v>0</v>
      </c>
      <c r="S15" s="3"/>
      <c r="T15" s="3">
        <v>-301.68</v>
      </c>
      <c r="U15" s="3"/>
      <c r="V15" s="20">
        <f>IF(T$12=0,0,T15/T$12)</f>
        <v>0</v>
      </c>
      <c r="W15" s="3"/>
      <c r="X15" s="3">
        <f>+P15-T15</f>
        <v>1469.7</v>
      </c>
      <c r="Y15" s="3"/>
      <c r="Z15" s="20">
        <f>IF(T15=0,0,X15/T15)</f>
        <v>-4.8717183770883059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1">
        <f>D12-D14</f>
        <v>181.4</v>
      </c>
      <c r="E17" s="15"/>
      <c r="F17" s="23">
        <f>IF(D$12=0,0,D17/D$12)</f>
        <v>0</v>
      </c>
      <c r="G17" s="15"/>
      <c r="H17" s="21">
        <f>H12-H14</f>
        <v>0</v>
      </c>
      <c r="I17" s="15"/>
      <c r="J17" s="23">
        <f>IF(H$12=0,0,H17/H$12)</f>
        <v>0</v>
      </c>
      <c r="K17" s="16"/>
      <c r="L17" s="21">
        <f>+D17-H17</f>
        <v>181.4</v>
      </c>
      <c r="M17" s="16"/>
      <c r="N17" s="23">
        <f>IF(H17=0,0,L17/H17)</f>
        <v>0</v>
      </c>
      <c r="O17" s="27"/>
      <c r="P17" s="21">
        <f>P12-P14</f>
        <v>-1168.02</v>
      </c>
      <c r="Q17" s="15"/>
      <c r="R17" s="23">
        <f>IF(P$12=0,0,P17/P$12)</f>
        <v>0</v>
      </c>
      <c r="S17" s="15"/>
      <c r="T17" s="21">
        <f>T12-T14</f>
        <v>301.68</v>
      </c>
      <c r="U17" s="15"/>
      <c r="V17" s="23">
        <f>IF(T$12=0,0,T17/T$12)</f>
        <v>0</v>
      </c>
      <c r="W17" s="16"/>
      <c r="X17" s="21">
        <f>+P17-T17</f>
        <v>-1469.7</v>
      </c>
      <c r="Y17" s="16"/>
      <c r="Z17" s="23">
        <f>IF(T17=0,0,X17/T17)</f>
        <v>-4.8717183770883059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2" cm="1">
        <f t="array" ref="D19">SUM(OSRRefD22x_0)</f>
        <v>19380.29</v>
      </c>
      <c r="E19" s="22"/>
      <c r="F19" s="32">
        <f t="shared" ref="F19:F64" si="0">IF(D$12=0,0,D19/D$12)</f>
        <v>0</v>
      </c>
      <c r="G19" s="22"/>
      <c r="H19" s="22" cm="1">
        <f t="array" ref="H19">SUM(OSRRefH22x_0)</f>
        <v>6745.17</v>
      </c>
      <c r="I19" s="22"/>
      <c r="J19" s="32">
        <f t="shared" ref="J19:J64" si="1">IF(H$12=0,0,H19/H$12)</f>
        <v>0</v>
      </c>
      <c r="K19" s="5"/>
      <c r="L19" s="22">
        <f t="shared" ref="L19:L64" si="2">+D19-H19</f>
        <v>12635.12</v>
      </c>
      <c r="M19" s="5"/>
      <c r="N19" s="32">
        <f t="shared" ref="N19:N64" si="3">IF(H19=0,0,L19/H19)</f>
        <v>1.8732100154629165</v>
      </c>
      <c r="O19" s="11"/>
      <c r="P19" s="22" cm="1">
        <f t="array" ref="P19">SUM(OSRRefP22x_0)</f>
        <v>173232.66000000003</v>
      </c>
      <c r="Q19" s="22"/>
      <c r="R19" s="32">
        <f t="shared" ref="R19:R64" si="4">IF(P$12=0,0,P19/P$12)</f>
        <v>0</v>
      </c>
      <c r="S19" s="22"/>
      <c r="T19" s="22" cm="1">
        <f t="array" ref="T19">SUM(OSRRefT22x_0)</f>
        <v>81146.19</v>
      </c>
      <c r="U19" s="22"/>
      <c r="V19" s="32">
        <f t="shared" ref="V19:V64" si="5">IF(T$12=0,0,T19/T$12)</f>
        <v>0</v>
      </c>
      <c r="W19" s="5"/>
      <c r="X19" s="22">
        <f t="shared" ref="X19:X64" si="6">+P19-T19</f>
        <v>92086.47000000003</v>
      </c>
      <c r="Y19" s="5"/>
      <c r="Z19" s="32">
        <f t="shared" ref="Z19:Z64" si="7">IF(T19=0,0,X19/T19)</f>
        <v>1.134821856700851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2910.92</v>
      </c>
      <c r="E20" s="2"/>
      <c r="F20" s="6">
        <f t="shared" si="0"/>
        <v>0</v>
      </c>
      <c r="G20" s="2"/>
      <c r="H20" s="2">
        <f>SUM(OSRRefH22_0x_0)</f>
        <v>0</v>
      </c>
      <c r="I20" s="2"/>
      <c r="J20" s="6">
        <f t="shared" si="1"/>
        <v>0</v>
      </c>
      <c r="K20" s="2"/>
      <c r="L20" s="2">
        <f t="shared" si="2"/>
        <v>2910.92</v>
      </c>
      <c r="M20" s="2"/>
      <c r="N20" s="6">
        <f t="shared" si="3"/>
        <v>0</v>
      </c>
      <c r="O20" s="14"/>
      <c r="P20" s="2">
        <f>SUM(OSRRefP22_0x_0)</f>
        <v>27078.15</v>
      </c>
      <c r="Q20" s="2"/>
      <c r="R20" s="6">
        <f t="shared" si="4"/>
        <v>0</v>
      </c>
      <c r="S20" s="2"/>
      <c r="T20" s="2">
        <f>SUM(OSRRefT22_0x_0)</f>
        <v>6086.32</v>
      </c>
      <c r="U20" s="2"/>
      <c r="V20" s="6">
        <f t="shared" si="5"/>
        <v>0</v>
      </c>
      <c r="W20" s="2"/>
      <c r="X20" s="2">
        <f t="shared" si="6"/>
        <v>20991.83</v>
      </c>
      <c r="Y20" s="2"/>
      <c r="Z20" s="6">
        <f t="shared" si="7"/>
        <v>3.4490184545012426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647</v>
      </c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647</v>
      </c>
      <c r="M21" s="3"/>
      <c r="N21" s="7">
        <f t="shared" si="3"/>
        <v>0</v>
      </c>
      <c r="O21" s="12"/>
      <c r="P21" s="8">
        <v>4277.16</v>
      </c>
      <c r="Q21" s="3"/>
      <c r="R21" s="7">
        <f t="shared" si="4"/>
        <v>0</v>
      </c>
      <c r="S21" s="3"/>
      <c r="T21" s="8">
        <v>237.51</v>
      </c>
      <c r="U21" s="3"/>
      <c r="V21" s="7">
        <f t="shared" si="5"/>
        <v>0</v>
      </c>
      <c r="W21" s="3"/>
      <c r="X21" s="8">
        <f t="shared" si="6"/>
        <v>4039.6499999999996</v>
      </c>
      <c r="Y21" s="3"/>
      <c r="Z21" s="7">
        <f t="shared" si="7"/>
        <v>17.008336491095111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237.03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237.03</v>
      </c>
      <c r="M22" s="3"/>
      <c r="N22" s="7">
        <f t="shared" si="3"/>
        <v>0</v>
      </c>
      <c r="O22" s="12"/>
      <c r="P22" s="8">
        <v>1851.68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1851.68</v>
      </c>
      <c r="Y22" s="3"/>
      <c r="Z22" s="7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652.17999999999995</v>
      </c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652.17999999999995</v>
      </c>
      <c r="M23" s="3"/>
      <c r="N23" s="7">
        <f t="shared" si="3"/>
        <v>0</v>
      </c>
      <c r="O23" s="12"/>
      <c r="P23" s="8">
        <v>12705.98</v>
      </c>
      <c r="Q23" s="3"/>
      <c r="R23" s="7">
        <f t="shared" si="4"/>
        <v>0</v>
      </c>
      <c r="S23" s="3"/>
      <c r="T23" s="8">
        <v>4780.67</v>
      </c>
      <c r="U23" s="3"/>
      <c r="V23" s="7">
        <f t="shared" si="5"/>
        <v>0</v>
      </c>
      <c r="W23" s="3"/>
      <c r="X23" s="8">
        <f t="shared" si="6"/>
        <v>7925.3099999999995</v>
      </c>
      <c r="Y23" s="3"/>
      <c r="Z23" s="7">
        <f t="shared" si="7"/>
        <v>1.6577822773795303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17.12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17.12</v>
      </c>
      <c r="M24" s="3"/>
      <c r="N24" s="7">
        <f t="shared" si="3"/>
        <v>0</v>
      </c>
      <c r="O24" s="12"/>
      <c r="P24" s="8">
        <v>135.11000000000001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135.11000000000001</v>
      </c>
      <c r="Y24" s="3"/>
      <c r="Z24" s="7">
        <f t="shared" si="7"/>
        <v>0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609.54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609.54</v>
      </c>
      <c r="M25" s="3"/>
      <c r="N25" s="7">
        <f t="shared" si="3"/>
        <v>0</v>
      </c>
      <c r="O25" s="12"/>
      <c r="P25" s="8">
        <v>2333.06</v>
      </c>
      <c r="Q25" s="3"/>
      <c r="R25" s="7">
        <f t="shared" si="4"/>
        <v>0</v>
      </c>
      <c r="S25" s="3"/>
      <c r="T25" s="8">
        <v>678.15</v>
      </c>
      <c r="U25" s="3"/>
      <c r="V25" s="7">
        <f t="shared" si="5"/>
        <v>0</v>
      </c>
      <c r="W25" s="3"/>
      <c r="X25" s="8">
        <f t="shared" si="6"/>
        <v>1654.9099999999999</v>
      </c>
      <c r="Y25" s="3"/>
      <c r="Z25" s="7">
        <f t="shared" si="7"/>
        <v>2.4403303104033029</v>
      </c>
    </row>
    <row r="26" spans="1:26" s="69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319.86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319.86</v>
      </c>
      <c r="M26" s="3"/>
      <c r="N26" s="7">
        <f t="shared" si="3"/>
        <v>0</v>
      </c>
      <c r="O26" s="12"/>
      <c r="P26" s="8">
        <v>1990.76</v>
      </c>
      <c r="Q26" s="3"/>
      <c r="R26" s="7">
        <f t="shared" si="4"/>
        <v>0</v>
      </c>
      <c r="S26" s="3"/>
      <c r="T26" s="8">
        <v>248.21</v>
      </c>
      <c r="U26" s="3"/>
      <c r="V26" s="7">
        <f t="shared" si="5"/>
        <v>0</v>
      </c>
      <c r="W26" s="3"/>
      <c r="X26" s="8">
        <f t="shared" si="6"/>
        <v>1742.55</v>
      </c>
      <c r="Y26" s="3"/>
      <c r="Z26" s="7">
        <f t="shared" si="7"/>
        <v>7.0204665404294744</v>
      </c>
    </row>
    <row r="27" spans="1:26" s="69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383.19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383.19</v>
      </c>
      <c r="M27" s="3"/>
      <c r="N27" s="7">
        <f t="shared" si="3"/>
        <v>0</v>
      </c>
      <c r="O27" s="12"/>
      <c r="P27" s="8">
        <v>2206.2199999999998</v>
      </c>
      <c r="Q27" s="3"/>
      <c r="R27" s="7">
        <f t="shared" si="4"/>
        <v>0</v>
      </c>
      <c r="S27" s="3"/>
      <c r="T27" s="8">
        <v>141.78</v>
      </c>
      <c r="U27" s="3"/>
      <c r="V27" s="7">
        <f t="shared" si="5"/>
        <v>0</v>
      </c>
      <c r="W27" s="3"/>
      <c r="X27" s="8">
        <f t="shared" si="6"/>
        <v>2064.4399999999996</v>
      </c>
      <c r="Y27" s="3"/>
      <c r="Z27" s="7">
        <f t="shared" si="7"/>
        <v>14.560868951897303</v>
      </c>
    </row>
    <row r="28" spans="1:26" s="69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45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45</v>
      </c>
      <c r="M28" s="3"/>
      <c r="N28" s="7">
        <f t="shared" si="3"/>
        <v>0</v>
      </c>
      <c r="O28" s="12"/>
      <c r="P28" s="8">
        <v>1578.18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1578.18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7403.37</v>
      </c>
      <c r="E29" s="2"/>
      <c r="F29" s="6">
        <f t="shared" si="0"/>
        <v>0</v>
      </c>
      <c r="G29" s="2"/>
      <c r="H29" s="2">
        <f>SUM(OSRRefH22_1x_0)</f>
        <v>0</v>
      </c>
      <c r="I29" s="2"/>
      <c r="J29" s="6">
        <f t="shared" si="1"/>
        <v>0</v>
      </c>
      <c r="K29" s="2"/>
      <c r="L29" s="2">
        <f t="shared" si="2"/>
        <v>7403.37</v>
      </c>
      <c r="M29" s="2"/>
      <c r="N29" s="6">
        <f t="shared" si="3"/>
        <v>0</v>
      </c>
      <c r="O29" s="14"/>
      <c r="P29" s="2">
        <f>SUM(OSRRefP22_1x_0)</f>
        <v>54842.079999999994</v>
      </c>
      <c r="Q29" s="2"/>
      <c r="R29" s="6">
        <f t="shared" si="4"/>
        <v>0</v>
      </c>
      <c r="S29" s="2"/>
      <c r="T29" s="2">
        <f>SUM(OSRRefT22_1x_0)</f>
        <v>2151.69</v>
      </c>
      <c r="U29" s="2"/>
      <c r="V29" s="6">
        <f t="shared" si="5"/>
        <v>0</v>
      </c>
      <c r="W29" s="2"/>
      <c r="X29" s="2">
        <f t="shared" si="6"/>
        <v>52690.389999999992</v>
      </c>
      <c r="Y29" s="2"/>
      <c r="Z29" s="6">
        <f t="shared" si="7"/>
        <v>24.487909503692443</v>
      </c>
    </row>
    <row r="30" spans="1:26" s="69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>
        <v>6922.72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6922.72</v>
      </c>
      <c r="M30" s="3"/>
      <c r="N30" s="7">
        <f t="shared" si="3"/>
        <v>0</v>
      </c>
      <c r="O30" s="12"/>
      <c r="P30" s="8">
        <v>31015.48</v>
      </c>
      <c r="Q30" s="3"/>
      <c r="R30" s="7">
        <f t="shared" si="4"/>
        <v>0</v>
      </c>
      <c r="S30" s="3"/>
      <c r="T30" s="8">
        <v>2151.69</v>
      </c>
      <c r="U30" s="3"/>
      <c r="V30" s="7">
        <f t="shared" si="5"/>
        <v>0</v>
      </c>
      <c r="W30" s="3"/>
      <c r="X30" s="8">
        <f t="shared" si="6"/>
        <v>28863.79</v>
      </c>
      <c r="Y30" s="3"/>
      <c r="Z30" s="7">
        <f t="shared" si="7"/>
        <v>13.414474203997788</v>
      </c>
    </row>
    <row r="31" spans="1:26" s="69" customFormat="1" ht="15" hidden="1" customHeight="1" outlineLevel="2" x14ac:dyDescent="0.3">
      <c r="A31" s="26"/>
      <c r="B31" s="12" t="str">
        <f>CONCATENATE("          ","6004"," - ","STAFF HOURLY")</f>
        <v xml:space="preserve">          6004 - STAFF HOURLY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14370.65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14370.65</v>
      </c>
      <c r="Y31" s="3"/>
      <c r="Z31" s="7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","6005"," - ","TEMPORARY WAGES-HOURLY")</f>
        <v xml:space="preserve">          6005 - TEMPORARY WAGES-HOURLY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8246.0499999999993</v>
      </c>
      <c r="Q32" s="3"/>
      <c r="R32" s="7">
        <f t="shared" si="4"/>
        <v>0</v>
      </c>
      <c r="S32" s="3"/>
      <c r="T32" s="8"/>
      <c r="U32" s="3"/>
      <c r="V32" s="7">
        <f t="shared" si="5"/>
        <v>0</v>
      </c>
      <c r="W32" s="3"/>
      <c r="X32" s="8">
        <f t="shared" si="6"/>
        <v>8246.0499999999993</v>
      </c>
      <c r="Y32" s="3"/>
      <c r="Z32" s="7">
        <f t="shared" si="7"/>
        <v>0</v>
      </c>
    </row>
    <row r="33" spans="1:26" s="69" customFormat="1" ht="15" hidden="1" customHeight="1" outlineLevel="2" x14ac:dyDescent="0.3">
      <c r="A33" s="26"/>
      <c r="B33" s="12" t="str">
        <f>CONCATENATE("          ","6007"," - ","STUDENT HOURLY")</f>
        <v xml:space="preserve">          6007 - STUDENT HOURLY</v>
      </c>
      <c r="C33" s="12"/>
      <c r="D33" s="8">
        <v>480.65</v>
      </c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480.65</v>
      </c>
      <c r="M33" s="3"/>
      <c r="N33" s="7">
        <f t="shared" si="3"/>
        <v>0</v>
      </c>
      <c r="O33" s="12"/>
      <c r="P33" s="8">
        <v>1209.9000000000001</v>
      </c>
      <c r="Q33" s="3"/>
      <c r="R33" s="7">
        <f t="shared" si="4"/>
        <v>0</v>
      </c>
      <c r="S33" s="3"/>
      <c r="T33" s="8"/>
      <c r="U33" s="3"/>
      <c r="V33" s="7">
        <f t="shared" si="5"/>
        <v>0</v>
      </c>
      <c r="W33" s="3"/>
      <c r="X33" s="8">
        <f t="shared" si="6"/>
        <v>1209.9000000000001</v>
      </c>
      <c r="Y33" s="3"/>
      <c r="Z33" s="7">
        <f t="shared" si="7"/>
        <v>0</v>
      </c>
    </row>
    <row r="34" spans="1:26" s="68" customFormat="1" ht="15" customHeight="1" outlineLevel="1" collapsed="1" x14ac:dyDescent="0.3">
      <c r="A34" s="25"/>
      <c r="B34" s="14" t="str">
        <f>CONCATENATE("     ","Advertising/Promo                                 ")</f>
        <v xml:space="preserve">     Advertising/Promo                                 </v>
      </c>
      <c r="C34" s="14"/>
      <c r="D34" s="2">
        <f>SUM(OSRRefD22_2x_0)</f>
        <v>0</v>
      </c>
      <c r="E34" s="2"/>
      <c r="F34" s="6">
        <f t="shared" si="0"/>
        <v>0</v>
      </c>
      <c r="G34" s="2"/>
      <c r="H34" s="2">
        <f>SUM(OSRRefH22_2x_0)</f>
        <v>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SUM(OSRRefP22_2x_0)</f>
        <v>263.58</v>
      </c>
      <c r="Q34" s="2"/>
      <c r="R34" s="6">
        <f t="shared" si="4"/>
        <v>0</v>
      </c>
      <c r="S34" s="2"/>
      <c r="T34" s="2">
        <f>SUM(OSRRefT22_2x_0)</f>
        <v>0</v>
      </c>
      <c r="U34" s="2"/>
      <c r="V34" s="6">
        <f t="shared" si="5"/>
        <v>0</v>
      </c>
      <c r="W34" s="2"/>
      <c r="X34" s="2">
        <f t="shared" si="6"/>
        <v>263.58</v>
      </c>
      <c r="Y34" s="2"/>
      <c r="Z34" s="6">
        <f t="shared" si="7"/>
        <v>0</v>
      </c>
    </row>
    <row r="35" spans="1:26" s="69" customFormat="1" ht="15" hidden="1" customHeight="1" outlineLevel="2" x14ac:dyDescent="0.3">
      <c r="A35" s="26"/>
      <c r="B35" s="12" t="str">
        <f>CONCATENATE("          ","6362"," - ","ADVERTISING EXPENSE")</f>
        <v xml:space="preserve">          6362 - ADVERTISING EXPENSE</v>
      </c>
      <c r="C35" s="12"/>
      <c r="D35" s="8"/>
      <c r="E35" s="3"/>
      <c r="F35" s="7">
        <f t="shared" si="0"/>
        <v>0</v>
      </c>
      <c r="G35" s="3"/>
      <c r="H35" s="8"/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263.58</v>
      </c>
      <c r="Q35" s="3"/>
      <c r="R35" s="7">
        <f t="shared" si="4"/>
        <v>0</v>
      </c>
      <c r="S35" s="3"/>
      <c r="T35" s="8"/>
      <c r="U35" s="3"/>
      <c r="V35" s="7">
        <f t="shared" si="5"/>
        <v>0</v>
      </c>
      <c r="W35" s="3"/>
      <c r="X35" s="8">
        <f t="shared" si="6"/>
        <v>263.58</v>
      </c>
      <c r="Y35" s="3"/>
      <c r="Z35" s="7">
        <f t="shared" si="7"/>
        <v>0</v>
      </c>
    </row>
    <row r="36" spans="1:26" s="68" customFormat="1" ht="15" customHeight="1" outlineLevel="1" collapsed="1" x14ac:dyDescent="0.3">
      <c r="A36" s="25"/>
      <c r="B36" s="14" t="str">
        <f>CONCATENATE("     ","Bank/card Fees                                    ")</f>
        <v xml:space="preserve">     Bank/card Fees                                    </v>
      </c>
      <c r="C36" s="14"/>
      <c r="D36" s="2">
        <f>SUM(OSRRefD22_3x_0)</f>
        <v>0</v>
      </c>
      <c r="E36" s="2"/>
      <c r="F36" s="6">
        <f t="shared" si="0"/>
        <v>0</v>
      </c>
      <c r="G36" s="2"/>
      <c r="H36" s="2">
        <f>SUM(OSRRefH22_3x_0)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SUM(OSRRefP22_3x_0)</f>
        <v>0.64</v>
      </c>
      <c r="Q36" s="2"/>
      <c r="R36" s="6">
        <f t="shared" si="4"/>
        <v>0</v>
      </c>
      <c r="S36" s="2"/>
      <c r="T36" s="2">
        <f>SUM(OSRRefT22_3x_0)</f>
        <v>0</v>
      </c>
      <c r="U36" s="2"/>
      <c r="V36" s="6">
        <f t="shared" si="5"/>
        <v>0</v>
      </c>
      <c r="W36" s="2"/>
      <c r="X36" s="2">
        <f t="shared" si="6"/>
        <v>0.64</v>
      </c>
      <c r="Y36" s="2"/>
      <c r="Z36" s="6">
        <f t="shared" si="7"/>
        <v>0</v>
      </c>
    </row>
    <row r="37" spans="1:26" s="69" customFormat="1" ht="15" hidden="1" customHeight="1" outlineLevel="2" x14ac:dyDescent="0.3">
      <c r="A37" s="26"/>
      <c r="B37" s="12" t="str">
        <f>CONCATENATE("          ","6381"," - ","BANK/CREDIT CARD FEES")</f>
        <v xml:space="preserve">          6381 - BANK/CREDIT CARD FEES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0.64</v>
      </c>
      <c r="Q37" s="3"/>
      <c r="R37" s="7">
        <f t="shared" si="4"/>
        <v>0</v>
      </c>
      <c r="S37" s="3"/>
      <c r="T37" s="8"/>
      <c r="U37" s="3"/>
      <c r="V37" s="7">
        <f t="shared" si="5"/>
        <v>0</v>
      </c>
      <c r="W37" s="3"/>
      <c r="X37" s="8">
        <f t="shared" si="6"/>
        <v>0.64</v>
      </c>
      <c r="Y37" s="3"/>
      <c r="Z37" s="7">
        <f t="shared" si="7"/>
        <v>0</v>
      </c>
    </row>
    <row r="38" spans="1:26" s="68" customFormat="1" ht="15" customHeight="1" outlineLevel="1" collapsed="1" x14ac:dyDescent="0.3">
      <c r="A38" s="25"/>
      <c r="B38" s="14" t="str">
        <f>CONCATENATE("     ","Depreciation                                      ")</f>
        <v xml:space="preserve">     Depreciation                                      </v>
      </c>
      <c r="C38" s="14"/>
      <c r="D38" s="2">
        <f>SUM(OSRRefD22_4x_0)</f>
        <v>7300.18</v>
      </c>
      <c r="E38" s="2"/>
      <c r="F38" s="6">
        <f t="shared" si="0"/>
        <v>0</v>
      </c>
      <c r="G38" s="2"/>
      <c r="H38" s="2">
        <f>SUM(OSRRefH22_4x_0)</f>
        <v>6745.17</v>
      </c>
      <c r="I38" s="2"/>
      <c r="J38" s="6">
        <f t="shared" si="1"/>
        <v>0</v>
      </c>
      <c r="K38" s="2"/>
      <c r="L38" s="2">
        <f t="shared" si="2"/>
        <v>555.01000000000022</v>
      </c>
      <c r="M38" s="2"/>
      <c r="N38" s="6">
        <f t="shared" si="3"/>
        <v>8.2282581461994311E-2</v>
      </c>
      <c r="O38" s="14"/>
      <c r="P38" s="2">
        <f>SUM(OSRRefP22_4x_0)</f>
        <v>67698.039999999994</v>
      </c>
      <c r="Q38" s="2"/>
      <c r="R38" s="6">
        <f t="shared" si="4"/>
        <v>0</v>
      </c>
      <c r="S38" s="2"/>
      <c r="T38" s="2">
        <f>SUM(OSRRefT22_4x_0)</f>
        <v>68748.850000000006</v>
      </c>
      <c r="U38" s="2"/>
      <c r="V38" s="6">
        <f t="shared" si="5"/>
        <v>0</v>
      </c>
      <c r="W38" s="2"/>
      <c r="X38" s="2">
        <f t="shared" si="6"/>
        <v>-1050.8100000000122</v>
      </c>
      <c r="Y38" s="2"/>
      <c r="Z38" s="6">
        <f t="shared" si="7"/>
        <v>-1.5284764763338036E-2</v>
      </c>
    </row>
    <row r="39" spans="1:26" s="69" customFormat="1" ht="15" hidden="1" customHeight="1" outlineLevel="2" x14ac:dyDescent="0.3">
      <c r="A39" s="26"/>
      <c r="B39" s="12" t="str">
        <f>CONCATENATE("          ","6321"," - ","BUILDING DEPRECIATION")</f>
        <v xml:space="preserve">          6321 - BUILDING DEPRECIATION</v>
      </c>
      <c r="C39" s="12"/>
      <c r="D39" s="8">
        <v>6492.96</v>
      </c>
      <c r="E39" s="3"/>
      <c r="F39" s="7">
        <f t="shared" si="0"/>
        <v>0</v>
      </c>
      <c r="G39" s="3"/>
      <c r="H39" s="8">
        <v>6537.05</v>
      </c>
      <c r="I39" s="3"/>
      <c r="J39" s="7">
        <f t="shared" si="1"/>
        <v>0</v>
      </c>
      <c r="K39" s="3"/>
      <c r="L39" s="8">
        <f t="shared" si="2"/>
        <v>-44.090000000000146</v>
      </c>
      <c r="M39" s="3"/>
      <c r="N39" s="7">
        <f t="shared" si="3"/>
        <v>-6.7446325177259077E-3</v>
      </c>
      <c r="O39" s="12"/>
      <c r="P39" s="8">
        <v>65017.74</v>
      </c>
      <c r="Q39" s="3"/>
      <c r="R39" s="7">
        <f t="shared" si="4"/>
        <v>0</v>
      </c>
      <c r="S39" s="3"/>
      <c r="T39" s="8">
        <v>65370.5</v>
      </c>
      <c r="U39" s="3"/>
      <c r="V39" s="7">
        <f t="shared" si="5"/>
        <v>0</v>
      </c>
      <c r="W39" s="3"/>
      <c r="X39" s="8">
        <f t="shared" si="6"/>
        <v>-352.76000000000204</v>
      </c>
      <c r="Y39" s="3"/>
      <c r="Z39" s="7">
        <f t="shared" si="7"/>
        <v>-5.3963179109843438E-3</v>
      </c>
    </row>
    <row r="40" spans="1:26" s="69" customFormat="1" ht="15" hidden="1" customHeight="1" outlineLevel="2" x14ac:dyDescent="0.3">
      <c r="A40" s="26"/>
      <c r="B40" s="12" t="str">
        <f>CONCATENATE("          ","6322"," - ","EQUIPMENT DEPRECIATION EXPENSE")</f>
        <v xml:space="preserve">          6322 - EQUIPMENT DEPRECIATION EXPENSE</v>
      </c>
      <c r="C40" s="12"/>
      <c r="D40" s="8">
        <v>807.22</v>
      </c>
      <c r="E40" s="3"/>
      <c r="F40" s="7">
        <f t="shared" si="0"/>
        <v>0</v>
      </c>
      <c r="G40" s="3"/>
      <c r="H40" s="8">
        <v>208.12</v>
      </c>
      <c r="I40" s="3"/>
      <c r="J40" s="7">
        <f t="shared" si="1"/>
        <v>0</v>
      </c>
      <c r="K40" s="3"/>
      <c r="L40" s="8">
        <f t="shared" si="2"/>
        <v>599.1</v>
      </c>
      <c r="M40" s="3"/>
      <c r="N40" s="7">
        <f t="shared" si="3"/>
        <v>2.8786277147799346</v>
      </c>
      <c r="O40" s="12"/>
      <c r="P40" s="8">
        <v>2680.3</v>
      </c>
      <c r="Q40" s="3"/>
      <c r="R40" s="7">
        <f t="shared" si="4"/>
        <v>0</v>
      </c>
      <c r="S40" s="3"/>
      <c r="T40" s="8">
        <v>3378.35</v>
      </c>
      <c r="U40" s="3"/>
      <c r="V40" s="7">
        <f t="shared" si="5"/>
        <v>0</v>
      </c>
      <c r="W40" s="3"/>
      <c r="X40" s="8">
        <f t="shared" si="6"/>
        <v>-698.04999999999973</v>
      </c>
      <c r="Y40" s="3"/>
      <c r="Z40" s="7">
        <f t="shared" si="7"/>
        <v>-0.20662453564609934</v>
      </c>
    </row>
    <row r="41" spans="1:26" s="68" customFormat="1" ht="15" customHeight="1" outlineLevel="1" collapsed="1" x14ac:dyDescent="0.3">
      <c r="A41" s="25"/>
      <c r="B41" s="14" t="str">
        <f>CONCATENATE("     ","Employees' Appreciation                           ")</f>
        <v xml:space="preserve">     Employees' Appreciation                           </v>
      </c>
      <c r="C41" s="14"/>
      <c r="D41" s="2">
        <f>SUM(OSRRefD22_5x_0)</f>
        <v>0</v>
      </c>
      <c r="E41" s="2"/>
      <c r="F41" s="6">
        <f t="shared" si="0"/>
        <v>0</v>
      </c>
      <c r="G41" s="2"/>
      <c r="H41" s="2">
        <f>SUM(OSRRefH22_5x_0)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SUM(OSRRefP22_5x_0)</f>
        <v>49.95</v>
      </c>
      <c r="Q41" s="2"/>
      <c r="R41" s="6">
        <f t="shared" si="4"/>
        <v>0</v>
      </c>
      <c r="S41" s="2"/>
      <c r="T41" s="2">
        <f>SUM(OSRRefT22_5x_0)</f>
        <v>0</v>
      </c>
      <c r="U41" s="2"/>
      <c r="V41" s="6">
        <f t="shared" si="5"/>
        <v>0</v>
      </c>
      <c r="W41" s="2"/>
      <c r="X41" s="2">
        <f t="shared" si="6"/>
        <v>49.95</v>
      </c>
      <c r="Y41" s="2"/>
      <c r="Z41" s="6">
        <f t="shared" si="7"/>
        <v>0</v>
      </c>
    </row>
    <row r="42" spans="1:26" s="69" customFormat="1" ht="15" hidden="1" customHeight="1" outlineLevel="2" x14ac:dyDescent="0.3">
      <c r="A42" s="26"/>
      <c r="B42" s="12" t="str">
        <f>CONCATENATE("          ","6277"," - ","EMPLOYEE APPRECIATION")</f>
        <v xml:space="preserve">          6277 - EMPLOYEE APPRECIATION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49.95</v>
      </c>
      <c r="Q42" s="3"/>
      <c r="R42" s="7">
        <f t="shared" si="4"/>
        <v>0</v>
      </c>
      <c r="S42" s="3"/>
      <c r="T42" s="8"/>
      <c r="U42" s="3"/>
      <c r="V42" s="7">
        <f t="shared" si="5"/>
        <v>0</v>
      </c>
      <c r="W42" s="3"/>
      <c r="X42" s="8">
        <f t="shared" si="6"/>
        <v>49.95</v>
      </c>
      <c r="Y42" s="3"/>
      <c r="Z42" s="7">
        <f t="shared" si="7"/>
        <v>0</v>
      </c>
    </row>
    <row r="43" spans="1:26" s="68" customFormat="1" ht="15" customHeight="1" outlineLevel="1" collapsed="1" x14ac:dyDescent="0.3">
      <c r="A43" s="25"/>
      <c r="B43" s="14" t="str">
        <f>CONCATENATE("     ","Equipment Rental                                  ")</f>
        <v xml:space="preserve">     Equipment Rental                                  </v>
      </c>
      <c r="C43" s="14"/>
      <c r="D43" s="2">
        <f>SUM(OSRRefD22_6x_0)</f>
        <v>1294.4100000000001</v>
      </c>
      <c r="E43" s="2"/>
      <c r="F43" s="6">
        <f t="shared" si="0"/>
        <v>0</v>
      </c>
      <c r="G43" s="2"/>
      <c r="H43" s="2">
        <f>SUM(OSRRefH22_6x_0)</f>
        <v>0</v>
      </c>
      <c r="I43" s="2"/>
      <c r="J43" s="6">
        <f t="shared" si="1"/>
        <v>0</v>
      </c>
      <c r="K43" s="2"/>
      <c r="L43" s="2">
        <f t="shared" si="2"/>
        <v>1294.4100000000001</v>
      </c>
      <c r="M43" s="2"/>
      <c r="N43" s="6">
        <f t="shared" si="3"/>
        <v>0</v>
      </c>
      <c r="O43" s="14"/>
      <c r="P43" s="2">
        <f>SUM(OSRRefP22_6x_0)</f>
        <v>5751.67</v>
      </c>
      <c r="Q43" s="2"/>
      <c r="R43" s="6">
        <f t="shared" si="4"/>
        <v>0</v>
      </c>
      <c r="S43" s="2"/>
      <c r="T43" s="2">
        <f>SUM(OSRRefT22_6x_0)</f>
        <v>263.72000000000003</v>
      </c>
      <c r="U43" s="2"/>
      <c r="V43" s="6">
        <f t="shared" si="5"/>
        <v>0</v>
      </c>
      <c r="W43" s="2"/>
      <c r="X43" s="2">
        <f t="shared" si="6"/>
        <v>5487.95</v>
      </c>
      <c r="Y43" s="2"/>
      <c r="Z43" s="6">
        <f t="shared" si="7"/>
        <v>20.809760351888364</v>
      </c>
    </row>
    <row r="44" spans="1:26" s="69" customFormat="1" ht="15" hidden="1" customHeight="1" outlineLevel="2" x14ac:dyDescent="0.3">
      <c r="A44" s="26"/>
      <c r="B44" s="12" t="str">
        <f>CONCATENATE("          ","6351"," - ","EQUIPMENT RENTAL")</f>
        <v xml:space="preserve">          6351 - EQUIPMENT RENTAL</v>
      </c>
      <c r="C44" s="12"/>
      <c r="D44" s="8">
        <v>1294.4100000000001</v>
      </c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1294.4100000000001</v>
      </c>
      <c r="M44" s="3"/>
      <c r="N44" s="7">
        <f t="shared" si="3"/>
        <v>0</v>
      </c>
      <c r="O44" s="12"/>
      <c r="P44" s="8">
        <v>5751.67</v>
      </c>
      <c r="Q44" s="3"/>
      <c r="R44" s="7">
        <f t="shared" si="4"/>
        <v>0</v>
      </c>
      <c r="S44" s="3"/>
      <c r="T44" s="8">
        <v>263.72000000000003</v>
      </c>
      <c r="U44" s="3"/>
      <c r="V44" s="7">
        <f t="shared" si="5"/>
        <v>0</v>
      </c>
      <c r="W44" s="3"/>
      <c r="X44" s="8">
        <f t="shared" si="6"/>
        <v>5487.95</v>
      </c>
      <c r="Y44" s="3"/>
      <c r="Z44" s="7">
        <f t="shared" si="7"/>
        <v>20.809760351888364</v>
      </c>
    </row>
    <row r="45" spans="1:26" s="68" customFormat="1" ht="15" customHeight="1" outlineLevel="1" collapsed="1" x14ac:dyDescent="0.3">
      <c r="A45" s="25"/>
      <c r="B45" s="14" t="str">
        <f>CONCATENATE("     ","General                                           ")</f>
        <v xml:space="preserve">     General                                           </v>
      </c>
      <c r="C45" s="14"/>
      <c r="D45" s="2">
        <f>SUM(OSRRefD22_7x_0)</f>
        <v>0</v>
      </c>
      <c r="E45" s="2"/>
      <c r="F45" s="6">
        <f t="shared" si="0"/>
        <v>0</v>
      </c>
      <c r="G45" s="2"/>
      <c r="H45" s="2">
        <f>SUM(OSRRefH22_7x_0)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SUM(OSRRefP22_7x_0)</f>
        <v>3074.55</v>
      </c>
      <c r="Q45" s="2"/>
      <c r="R45" s="6">
        <f t="shared" si="4"/>
        <v>0</v>
      </c>
      <c r="S45" s="2"/>
      <c r="T45" s="2">
        <f>SUM(OSRRefT22_7x_0)</f>
        <v>2969.55</v>
      </c>
      <c r="U45" s="2"/>
      <c r="V45" s="6">
        <f t="shared" si="5"/>
        <v>0</v>
      </c>
      <c r="W45" s="2"/>
      <c r="X45" s="2">
        <f t="shared" si="6"/>
        <v>105</v>
      </c>
      <c r="Y45" s="2"/>
      <c r="Z45" s="6">
        <f t="shared" si="7"/>
        <v>3.5358892761529523E-2</v>
      </c>
    </row>
    <row r="46" spans="1:26" s="69" customFormat="1" ht="15" hidden="1" customHeight="1" outlineLevel="2" x14ac:dyDescent="0.3">
      <c r="A46" s="26"/>
      <c r="B46" s="12" t="str">
        <f>CONCATENATE("          ","6279"," - ","GENERAL EXPENSE")</f>
        <v xml:space="preserve">          6279 - GENERAL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3074.55</v>
      </c>
      <c r="Q46" s="3"/>
      <c r="R46" s="7">
        <f t="shared" si="4"/>
        <v>0</v>
      </c>
      <c r="S46" s="3"/>
      <c r="T46" s="8">
        <v>2969.55</v>
      </c>
      <c r="U46" s="3"/>
      <c r="V46" s="7">
        <f t="shared" si="5"/>
        <v>0</v>
      </c>
      <c r="W46" s="3"/>
      <c r="X46" s="8">
        <f t="shared" si="6"/>
        <v>105</v>
      </c>
      <c r="Y46" s="3"/>
      <c r="Z46" s="7">
        <f t="shared" si="7"/>
        <v>3.5358892761529523E-2</v>
      </c>
    </row>
    <row r="47" spans="1:26" s="68" customFormat="1" ht="15" customHeight="1" outlineLevel="1" collapsed="1" x14ac:dyDescent="0.3">
      <c r="A47" s="25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SUM(OSRRefD22_8x_0)</f>
        <v>0</v>
      </c>
      <c r="E47" s="2"/>
      <c r="F47" s="6">
        <f t="shared" si="0"/>
        <v>0</v>
      </c>
      <c r="G47" s="2"/>
      <c r="H47" s="2">
        <f>SUM(OSRRefH22_8x_0)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SUM(OSRRefP22_8x_0)</f>
        <v>8715.57</v>
      </c>
      <c r="Q47" s="2"/>
      <c r="R47" s="6">
        <f t="shared" si="4"/>
        <v>0</v>
      </c>
      <c r="S47" s="2"/>
      <c r="T47" s="2">
        <f>SUM(OSRRefT22_8x_0)</f>
        <v>675.19</v>
      </c>
      <c r="U47" s="2"/>
      <c r="V47" s="6">
        <f t="shared" si="5"/>
        <v>0</v>
      </c>
      <c r="W47" s="2"/>
      <c r="X47" s="2">
        <f t="shared" si="6"/>
        <v>8040.3799999999992</v>
      </c>
      <c r="Y47" s="2"/>
      <c r="Z47" s="6">
        <f t="shared" si="7"/>
        <v>11.908322101926863</v>
      </c>
    </row>
    <row r="48" spans="1:26" s="69" customFormat="1" ht="15" hidden="1" customHeight="1" outlineLevel="2" x14ac:dyDescent="0.3">
      <c r="A48" s="26"/>
      <c r="B48" s="12" t="str">
        <f>CONCATENATE("          ","6373"," - ","MAINTENANCE CONTRACTS")</f>
        <v xml:space="preserve">          6373 - MAINTENANCE CONTRACTS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3567.59</v>
      </c>
      <c r="Q48" s="3"/>
      <c r="R48" s="7">
        <f t="shared" si="4"/>
        <v>0</v>
      </c>
      <c r="S48" s="3"/>
      <c r="T48" s="8">
        <v>675.19</v>
      </c>
      <c r="U48" s="3"/>
      <c r="V48" s="7">
        <f t="shared" si="5"/>
        <v>0</v>
      </c>
      <c r="W48" s="3"/>
      <c r="X48" s="8">
        <f t="shared" si="6"/>
        <v>2892.4</v>
      </c>
      <c r="Y48" s="3"/>
      <c r="Z48" s="7">
        <f t="shared" si="7"/>
        <v>4.2838312178794116</v>
      </c>
    </row>
    <row r="49" spans="1:26" s="69" customFormat="1" ht="15" hidden="1" customHeight="1" outlineLevel="2" x14ac:dyDescent="0.3">
      <c r="A49" s="26"/>
      <c r="B49" s="12" t="str">
        <f>CONCATENATE("          ","6375"," - ","OUTSIDE REPAIRS &amp; MAINTENANCE")</f>
        <v xml:space="preserve">          6375 - OUTSIDE REPAIRS &amp; MAINTENANCE</v>
      </c>
      <c r="C49" s="12"/>
      <c r="D49" s="8">
        <v>0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5147.9799999999996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5147.9799999999996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5"/>
      <c r="B50" s="14" t="str">
        <f>CONCATENATE("     ","Services                                          ")</f>
        <v xml:space="preserve">     Services                                          </v>
      </c>
      <c r="C50" s="14"/>
      <c r="D50" s="2">
        <f>SUM(OSRRefD22_9x_0)</f>
        <v>0</v>
      </c>
      <c r="E50" s="2"/>
      <c r="F50" s="6">
        <f t="shared" si="0"/>
        <v>0</v>
      </c>
      <c r="G50" s="2"/>
      <c r="H50" s="2">
        <f>SUM(OSRRefH22_9x_0)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SUM(OSRRefP22_9x_0)</f>
        <v>260</v>
      </c>
      <c r="Q50" s="2"/>
      <c r="R50" s="6">
        <f t="shared" si="4"/>
        <v>0</v>
      </c>
      <c r="S50" s="2"/>
      <c r="T50" s="2">
        <f>SUM(OSRRefT22_9x_0)</f>
        <v>0</v>
      </c>
      <c r="U50" s="2"/>
      <c r="V50" s="6">
        <f t="shared" si="5"/>
        <v>0</v>
      </c>
      <c r="W50" s="2"/>
      <c r="X50" s="2">
        <f t="shared" si="6"/>
        <v>260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","6285"," - ","JANITORIAL SERVICES")</f>
        <v xml:space="preserve">          6285 - JANITORIAL SERVICES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260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260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SUM(OSRRefD22_10x_0)</f>
        <v>214.91</v>
      </c>
      <c r="E52" s="2"/>
      <c r="F52" s="6">
        <f t="shared" si="0"/>
        <v>0</v>
      </c>
      <c r="G52" s="2"/>
      <c r="H52" s="2">
        <f>SUM(OSRRefH22_10x_0)</f>
        <v>0</v>
      </c>
      <c r="I52" s="2"/>
      <c r="J52" s="6">
        <f t="shared" si="1"/>
        <v>0</v>
      </c>
      <c r="K52" s="2"/>
      <c r="L52" s="2">
        <f t="shared" si="2"/>
        <v>214.91</v>
      </c>
      <c r="M52" s="2"/>
      <c r="N52" s="6">
        <f t="shared" si="3"/>
        <v>0</v>
      </c>
      <c r="O52" s="14"/>
      <c r="P52" s="2">
        <f>SUM(OSRRefP22_10x_0)</f>
        <v>2085.87</v>
      </c>
      <c r="Q52" s="2"/>
      <c r="R52" s="6">
        <f t="shared" si="4"/>
        <v>0</v>
      </c>
      <c r="S52" s="2"/>
      <c r="T52" s="2">
        <f>SUM(OSRRefT22_10x_0)</f>
        <v>0</v>
      </c>
      <c r="U52" s="2"/>
      <c r="V52" s="6">
        <f t="shared" si="5"/>
        <v>0</v>
      </c>
      <c r="W52" s="2"/>
      <c r="X52" s="2">
        <f t="shared" si="6"/>
        <v>2085.87</v>
      </c>
      <c r="Y52" s="2"/>
      <c r="Z52" s="6">
        <f t="shared" si="7"/>
        <v>0</v>
      </c>
    </row>
    <row r="53" spans="1:26" s="69" customFormat="1" ht="15" hidden="1" customHeight="1" outlineLevel="2" x14ac:dyDescent="0.3">
      <c r="A53" s="26"/>
      <c r="B53" s="12" t="str">
        <f>CONCATENATE("          ","6275"," - ","SUBSCRIPTIONS")</f>
        <v xml:space="preserve">          6275 - SUBSCRIPTIONS</v>
      </c>
      <c r="C53" s="12"/>
      <c r="D53" s="8">
        <v>214.91</v>
      </c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214.91</v>
      </c>
      <c r="M53" s="3"/>
      <c r="N53" s="7">
        <f t="shared" si="3"/>
        <v>0</v>
      </c>
      <c r="O53" s="12"/>
      <c r="P53" s="8">
        <v>2085.87</v>
      </c>
      <c r="Q53" s="3"/>
      <c r="R53" s="7">
        <f t="shared" si="4"/>
        <v>0</v>
      </c>
      <c r="S53" s="3"/>
      <c r="T53" s="8"/>
      <c r="U53" s="3"/>
      <c r="V53" s="7">
        <f t="shared" si="5"/>
        <v>0</v>
      </c>
      <c r="W53" s="3"/>
      <c r="X53" s="8">
        <f t="shared" si="6"/>
        <v>2085.87</v>
      </c>
      <c r="Y53" s="3"/>
      <c r="Z53" s="7">
        <f t="shared" si="7"/>
        <v>0</v>
      </c>
    </row>
    <row r="54" spans="1:26" s="68" customFormat="1" ht="15" customHeight="1" outlineLevel="1" collapsed="1" x14ac:dyDescent="0.3">
      <c r="A54" s="25"/>
      <c r="B54" s="14" t="str">
        <f>CONCATENATE("     ","Supplies                                          ")</f>
        <v xml:space="preserve">     Supplies                                          </v>
      </c>
      <c r="C54" s="14"/>
      <c r="D54" s="2">
        <f>SUM(OSRRefD22_11x_0)</f>
        <v>0</v>
      </c>
      <c r="E54" s="2"/>
      <c r="F54" s="6">
        <f t="shared" si="0"/>
        <v>0</v>
      </c>
      <c r="G54" s="2"/>
      <c r="H54" s="2">
        <f>SUM(OSRRefH22_11x_0)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SUM(OSRRefP22_11x_0)</f>
        <v>2416.56</v>
      </c>
      <c r="Q54" s="2"/>
      <c r="R54" s="6">
        <f t="shared" si="4"/>
        <v>0</v>
      </c>
      <c r="S54" s="2"/>
      <c r="T54" s="2">
        <f>SUM(OSRRefT22_11x_0)</f>
        <v>0</v>
      </c>
      <c r="U54" s="2"/>
      <c r="V54" s="6">
        <f t="shared" si="5"/>
        <v>0</v>
      </c>
      <c r="W54" s="2"/>
      <c r="X54" s="2">
        <f t="shared" si="6"/>
        <v>2416.56</v>
      </c>
      <c r="Y54" s="2"/>
      <c r="Z54" s="6">
        <f t="shared" si="7"/>
        <v>0</v>
      </c>
    </row>
    <row r="55" spans="1:26" s="69" customFormat="1" ht="15" hidden="1" customHeight="1" outlineLevel="2" x14ac:dyDescent="0.3">
      <c r="A55" s="26"/>
      <c r="B55" s="12" t="str">
        <f>CONCATENATE("          ","6235"," - ","COVID-19 EXPENSES")</f>
        <v xml:space="preserve">          6235 - COVID-19 EXPENSES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35.72</v>
      </c>
      <c r="Q55" s="3"/>
      <c r="R55" s="7">
        <f t="shared" si="4"/>
        <v>0</v>
      </c>
      <c r="S55" s="3"/>
      <c r="T55" s="8"/>
      <c r="U55" s="3"/>
      <c r="V55" s="7">
        <f t="shared" si="5"/>
        <v>0</v>
      </c>
      <c r="W55" s="3"/>
      <c r="X55" s="8">
        <f t="shared" si="6"/>
        <v>35.72</v>
      </c>
      <c r="Y55" s="3"/>
      <c r="Z55" s="7">
        <f t="shared" si="7"/>
        <v>0</v>
      </c>
    </row>
    <row r="56" spans="1:26" s="69" customFormat="1" ht="15" hidden="1" customHeight="1" outlineLevel="2" x14ac:dyDescent="0.3">
      <c r="A56" s="26"/>
      <c r="B56" s="12" t="str">
        <f>CONCATENATE("          ","6237"," - ","JANITORIAL SUPPLIES")</f>
        <v xml:space="preserve">          6237 - JANITORIAL SUPPLIES</v>
      </c>
      <c r="C56" s="12"/>
      <c r="D56" s="8"/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0</v>
      </c>
      <c r="M56" s="3"/>
      <c r="N56" s="7">
        <f t="shared" si="3"/>
        <v>0</v>
      </c>
      <c r="O56" s="12"/>
      <c r="P56" s="8">
        <v>796.76</v>
      </c>
      <c r="Q56" s="3"/>
      <c r="R56" s="7">
        <f t="shared" si="4"/>
        <v>0</v>
      </c>
      <c r="S56" s="3"/>
      <c r="T56" s="8"/>
      <c r="U56" s="3"/>
      <c r="V56" s="7">
        <f t="shared" si="5"/>
        <v>0</v>
      </c>
      <c r="W56" s="3"/>
      <c r="X56" s="8">
        <f t="shared" si="6"/>
        <v>796.76</v>
      </c>
      <c r="Y56" s="3"/>
      <c r="Z56" s="7">
        <f t="shared" si="7"/>
        <v>0</v>
      </c>
    </row>
    <row r="57" spans="1:26" s="69" customFormat="1" ht="15" hidden="1" customHeight="1" outlineLevel="2" x14ac:dyDescent="0.3">
      <c r="A57" s="26"/>
      <c r="B57" s="12" t="str">
        <f>CONCATENATE("          ","6239"," - ","KITCHEN SUPPLIES")</f>
        <v xml:space="preserve">          6239 - KITCHEN SUPPLIES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>
        <v>214.67</v>
      </c>
      <c r="Q57" s="3"/>
      <c r="R57" s="7">
        <f t="shared" si="4"/>
        <v>0</v>
      </c>
      <c r="S57" s="3"/>
      <c r="T57" s="8"/>
      <c r="U57" s="3"/>
      <c r="V57" s="7">
        <f t="shared" si="5"/>
        <v>0</v>
      </c>
      <c r="W57" s="3"/>
      <c r="X57" s="8">
        <f t="shared" si="6"/>
        <v>214.67</v>
      </c>
      <c r="Y57" s="3"/>
      <c r="Z57" s="7">
        <f t="shared" si="7"/>
        <v>0</v>
      </c>
    </row>
    <row r="58" spans="1:26" s="69" customFormat="1" ht="15" hidden="1" customHeight="1" outlineLevel="2" x14ac:dyDescent="0.3">
      <c r="A58" s="26"/>
      <c r="B58" s="12" t="str">
        <f>CONCATENATE("          ","6241"," - ","OFFICE EXPENSE")</f>
        <v xml:space="preserve">          6241 - OFFICE EXPENSE</v>
      </c>
      <c r="C58" s="12"/>
      <c r="D58" s="8"/>
      <c r="E58" s="3"/>
      <c r="F58" s="7">
        <f t="shared" si="0"/>
        <v>0</v>
      </c>
      <c r="G58" s="3"/>
      <c r="H58" s="8"/>
      <c r="I58" s="3"/>
      <c r="J58" s="7">
        <f t="shared" si="1"/>
        <v>0</v>
      </c>
      <c r="K58" s="3"/>
      <c r="L58" s="8">
        <f t="shared" si="2"/>
        <v>0</v>
      </c>
      <c r="M58" s="3"/>
      <c r="N58" s="7">
        <f t="shared" si="3"/>
        <v>0</v>
      </c>
      <c r="O58" s="12"/>
      <c r="P58" s="8">
        <v>893.22</v>
      </c>
      <c r="Q58" s="3"/>
      <c r="R58" s="7">
        <f t="shared" si="4"/>
        <v>0</v>
      </c>
      <c r="S58" s="3"/>
      <c r="T58" s="8"/>
      <c r="U58" s="3"/>
      <c r="V58" s="7">
        <f t="shared" si="5"/>
        <v>0</v>
      </c>
      <c r="W58" s="3"/>
      <c r="X58" s="8">
        <f t="shared" si="6"/>
        <v>893.22</v>
      </c>
      <c r="Y58" s="3"/>
      <c r="Z58" s="7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","6243"," - ","PAPER SUPPLIES")</f>
        <v xml:space="preserve">          6243 - PAPER SUPPLIES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138.19</v>
      </c>
      <c r="Q59" s="3"/>
      <c r="R59" s="7">
        <f t="shared" si="4"/>
        <v>0</v>
      </c>
      <c r="S59" s="3"/>
      <c r="T59" s="8"/>
      <c r="U59" s="3"/>
      <c r="V59" s="7">
        <f t="shared" si="5"/>
        <v>0</v>
      </c>
      <c r="W59" s="3"/>
      <c r="X59" s="8">
        <f t="shared" si="6"/>
        <v>138.19</v>
      </c>
      <c r="Y59" s="3"/>
      <c r="Z59" s="7">
        <f t="shared" si="7"/>
        <v>0</v>
      </c>
    </row>
    <row r="60" spans="1:26" s="69" customFormat="1" ht="15" hidden="1" customHeight="1" outlineLevel="2" x14ac:dyDescent="0.3">
      <c r="A60" s="26"/>
      <c r="B60" s="12" t="str">
        <f>CONCATENATE("          ","6245"," - ","PRINTING")</f>
        <v xml:space="preserve">          6245 - PRINTING</v>
      </c>
      <c r="C60" s="12"/>
      <c r="D60" s="8"/>
      <c r="E60" s="3"/>
      <c r="F60" s="7">
        <f t="shared" si="0"/>
        <v>0</v>
      </c>
      <c r="G60" s="3"/>
      <c r="H60" s="8"/>
      <c r="I60" s="3"/>
      <c r="J60" s="7">
        <f t="shared" si="1"/>
        <v>0</v>
      </c>
      <c r="K60" s="3"/>
      <c r="L60" s="8">
        <f t="shared" si="2"/>
        <v>0</v>
      </c>
      <c r="M60" s="3"/>
      <c r="N60" s="7">
        <f t="shared" si="3"/>
        <v>0</v>
      </c>
      <c r="O60" s="12"/>
      <c r="P60" s="8">
        <v>338</v>
      </c>
      <c r="Q60" s="3"/>
      <c r="R60" s="7">
        <f t="shared" si="4"/>
        <v>0</v>
      </c>
      <c r="S60" s="3"/>
      <c r="T60" s="8"/>
      <c r="U60" s="3"/>
      <c r="V60" s="7">
        <f t="shared" si="5"/>
        <v>0</v>
      </c>
      <c r="W60" s="3"/>
      <c r="X60" s="8">
        <f t="shared" si="6"/>
        <v>338</v>
      </c>
      <c r="Y60" s="3"/>
      <c r="Z60" s="7">
        <f t="shared" si="7"/>
        <v>0</v>
      </c>
    </row>
    <row r="61" spans="1:26" s="68" customFormat="1" ht="15" customHeight="1" outlineLevel="1" collapsed="1" x14ac:dyDescent="0.3">
      <c r="A61" s="25"/>
      <c r="B61" s="14" t="str">
        <f>CONCATENATE("     ","Telephone/Data Lines                              ")</f>
        <v xml:space="preserve">     Telephone/Data Lines                              </v>
      </c>
      <c r="C61" s="14"/>
      <c r="D61" s="2">
        <f>SUM(OSRRefD22_12x_0)</f>
        <v>256.5</v>
      </c>
      <c r="E61" s="2"/>
      <c r="F61" s="6">
        <f t="shared" si="0"/>
        <v>0</v>
      </c>
      <c r="G61" s="2"/>
      <c r="H61" s="2">
        <f>SUM(OSRRefH22_12x_0)</f>
        <v>0</v>
      </c>
      <c r="I61" s="2"/>
      <c r="J61" s="6">
        <f t="shared" si="1"/>
        <v>0</v>
      </c>
      <c r="K61" s="2"/>
      <c r="L61" s="2">
        <f t="shared" si="2"/>
        <v>256.5</v>
      </c>
      <c r="M61" s="2"/>
      <c r="N61" s="6">
        <f t="shared" si="3"/>
        <v>0</v>
      </c>
      <c r="O61" s="14"/>
      <c r="P61" s="2">
        <f>SUM(OSRRefP22_12x_0)</f>
        <v>876</v>
      </c>
      <c r="Q61" s="2"/>
      <c r="R61" s="6">
        <f t="shared" si="4"/>
        <v>0</v>
      </c>
      <c r="S61" s="2"/>
      <c r="T61" s="2">
        <f>SUM(OSRRefT22_12x_0)</f>
        <v>250.87</v>
      </c>
      <c r="U61" s="2"/>
      <c r="V61" s="6">
        <f t="shared" si="5"/>
        <v>0</v>
      </c>
      <c r="W61" s="2"/>
      <c r="X61" s="2">
        <f t="shared" si="6"/>
        <v>625.13</v>
      </c>
      <c r="Y61" s="2"/>
      <c r="Z61" s="6">
        <f t="shared" si="7"/>
        <v>2.4918483676804719</v>
      </c>
    </row>
    <row r="62" spans="1:26" s="69" customFormat="1" ht="15" hidden="1" customHeight="1" outlineLevel="2" x14ac:dyDescent="0.3">
      <c r="A62" s="26"/>
      <c r="B62" s="12" t="str">
        <f>CONCATENATE("          ","6309"," - ","TELEPHONE")</f>
        <v xml:space="preserve">          6309 - TELEPHONE</v>
      </c>
      <c r="C62" s="12"/>
      <c r="D62" s="8">
        <v>256.5</v>
      </c>
      <c r="E62" s="3"/>
      <c r="F62" s="7">
        <f t="shared" si="0"/>
        <v>0</v>
      </c>
      <c r="G62" s="3"/>
      <c r="H62" s="8"/>
      <c r="I62" s="3"/>
      <c r="J62" s="7">
        <f t="shared" si="1"/>
        <v>0</v>
      </c>
      <c r="K62" s="3"/>
      <c r="L62" s="8">
        <f t="shared" si="2"/>
        <v>256.5</v>
      </c>
      <c r="M62" s="3"/>
      <c r="N62" s="7">
        <f t="shared" si="3"/>
        <v>0</v>
      </c>
      <c r="O62" s="12"/>
      <c r="P62" s="8">
        <v>876</v>
      </c>
      <c r="Q62" s="3"/>
      <c r="R62" s="7">
        <f t="shared" si="4"/>
        <v>0</v>
      </c>
      <c r="S62" s="3"/>
      <c r="T62" s="8">
        <v>250.87</v>
      </c>
      <c r="U62" s="3"/>
      <c r="V62" s="7">
        <f t="shared" si="5"/>
        <v>0</v>
      </c>
      <c r="W62" s="3"/>
      <c r="X62" s="8">
        <f t="shared" si="6"/>
        <v>625.13</v>
      </c>
      <c r="Y62" s="3"/>
      <c r="Z62" s="7">
        <f t="shared" si="7"/>
        <v>2.4918483676804719</v>
      </c>
    </row>
    <row r="63" spans="1:26" s="68" customFormat="1" ht="15" customHeight="1" outlineLevel="1" collapsed="1" x14ac:dyDescent="0.3">
      <c r="A63" s="25"/>
      <c r="B63" s="14" t="str">
        <f>CONCATENATE("     ","Training                                          ")</f>
        <v xml:space="preserve">     Training                                          </v>
      </c>
      <c r="C63" s="14"/>
      <c r="D63" s="2">
        <f>SUM(OSRRefD22_13x_0)</f>
        <v>0</v>
      </c>
      <c r="E63" s="2"/>
      <c r="F63" s="6">
        <f t="shared" si="0"/>
        <v>0</v>
      </c>
      <c r="G63" s="2"/>
      <c r="H63" s="2">
        <f>SUM(OSRRefH22_13x_0)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SUM(OSRRefP22_13x_0)</f>
        <v>120</v>
      </c>
      <c r="Q63" s="2"/>
      <c r="R63" s="6">
        <f t="shared" si="4"/>
        <v>0</v>
      </c>
      <c r="S63" s="2"/>
      <c r="T63" s="2">
        <f>SUM(OSRRefT22_13x_0)</f>
        <v>0</v>
      </c>
      <c r="U63" s="2"/>
      <c r="V63" s="6">
        <f t="shared" si="5"/>
        <v>0</v>
      </c>
      <c r="W63" s="2"/>
      <c r="X63" s="2">
        <f t="shared" si="6"/>
        <v>120</v>
      </c>
      <c r="Y63" s="2"/>
      <c r="Z63" s="6">
        <f t="shared" si="7"/>
        <v>0</v>
      </c>
    </row>
    <row r="64" spans="1:26" s="69" customFormat="1" ht="15" hidden="1" customHeight="1" outlineLevel="2" x14ac:dyDescent="0.3">
      <c r="A64" s="26"/>
      <c r="B64" s="12" t="str">
        <f>CONCATENATE("          ","6376"," - ","TRAINING")</f>
        <v xml:space="preserve">          6376 - TRAINING</v>
      </c>
      <c r="C64" s="12"/>
      <c r="D64" s="8"/>
      <c r="E64" s="3"/>
      <c r="F64" s="7">
        <f t="shared" si="0"/>
        <v>0</v>
      </c>
      <c r="G64" s="3"/>
      <c r="H64" s="8"/>
      <c r="I64" s="3"/>
      <c r="J64" s="7">
        <f t="shared" si="1"/>
        <v>0</v>
      </c>
      <c r="K64" s="3"/>
      <c r="L64" s="8">
        <f t="shared" si="2"/>
        <v>0</v>
      </c>
      <c r="M64" s="3"/>
      <c r="N64" s="7">
        <f t="shared" si="3"/>
        <v>0</v>
      </c>
      <c r="O64" s="12"/>
      <c r="P64" s="8">
        <v>120</v>
      </c>
      <c r="Q64" s="3"/>
      <c r="R64" s="7">
        <f t="shared" si="4"/>
        <v>0</v>
      </c>
      <c r="S64" s="3"/>
      <c r="T64" s="8"/>
      <c r="U64" s="3"/>
      <c r="V64" s="7">
        <f t="shared" si="5"/>
        <v>0</v>
      </c>
      <c r="W64" s="3"/>
      <c r="X64" s="8">
        <f t="shared" si="6"/>
        <v>120</v>
      </c>
      <c r="Y64" s="3"/>
      <c r="Z64" s="7">
        <f t="shared" si="7"/>
        <v>0</v>
      </c>
    </row>
    <row r="65" spans="1:26" s="64" customFormat="1" ht="15" customHeight="1" x14ac:dyDescent="0.3">
      <c r="A65" s="36"/>
      <c r="B65" s="36"/>
      <c r="C65" s="36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2" customFormat="1" ht="15" customHeight="1" collapsed="1" x14ac:dyDescent="0.3">
      <c r="A66" s="11"/>
      <c r="B66" s="27" t="s">
        <v>290</v>
      </c>
      <c r="C66" s="11"/>
      <c r="D66" s="5">
        <f>SUM(OSRRefD25x_0)</f>
        <v>0</v>
      </c>
      <c r="E66" s="5"/>
      <c r="F66" s="13">
        <f>IF(D$12=0,0,D66/D$12)</f>
        <v>0</v>
      </c>
      <c r="G66" s="5"/>
      <c r="H66" s="5">
        <f>SUM(OSRRefH25x_0)</f>
        <v>0</v>
      </c>
      <c r="I66" s="5"/>
      <c r="J66" s="13">
        <f>IF(H$12=0,0,H66/H$12)</f>
        <v>0</v>
      </c>
      <c r="K66" s="5"/>
      <c r="L66" s="5">
        <f>+D66-H66</f>
        <v>0</v>
      </c>
      <c r="M66" s="5"/>
      <c r="N66" s="13">
        <f>IF(H66=0,0,L66/H66)</f>
        <v>0</v>
      </c>
      <c r="O66" s="11"/>
      <c r="P66" s="5">
        <f>SUM(OSRRefP25x_0)</f>
        <v>694.3</v>
      </c>
      <c r="Q66" s="5"/>
      <c r="R66" s="13">
        <f>IF(P$12=0,0,P66/P$12)</f>
        <v>0</v>
      </c>
      <c r="S66" s="5"/>
      <c r="T66" s="5">
        <f>SUM(OSRRefT25x_0)</f>
        <v>111.42</v>
      </c>
      <c r="U66" s="5"/>
      <c r="V66" s="13">
        <f>IF(T$12=0,0,T66/T$12)</f>
        <v>0</v>
      </c>
      <c r="W66" s="5"/>
      <c r="X66" s="5">
        <f>+P66-T66</f>
        <v>582.88</v>
      </c>
      <c r="Y66" s="5"/>
      <c r="Z66" s="13">
        <f>IF(T66=0,0,X66/T66)</f>
        <v>5.2313767725722489</v>
      </c>
    </row>
    <row r="67" spans="1:26" s="69" customFormat="1" ht="15" hidden="1" customHeight="1" outlineLevel="1" x14ac:dyDescent="0.3">
      <c r="A67" s="42"/>
      <c r="B67" s="12" t="str">
        <f>CONCATENATE("          ","9150"," - ","MISC. INCOME")</f>
        <v xml:space="preserve">          9150 - MISC. INCOME</v>
      </c>
      <c r="C67" s="12"/>
      <c r="D67" s="3">
        <f>0</f>
        <v>0</v>
      </c>
      <c r="E67" s="3"/>
      <c r="F67" s="20">
        <f>IF(D$12=0,0,D67/D$12)</f>
        <v>0</v>
      </c>
      <c r="G67" s="3"/>
      <c r="H67" s="3">
        <f>0</f>
        <v>0</v>
      </c>
      <c r="I67" s="3"/>
      <c r="J67" s="20">
        <f>IF(H$12=0,0,H67/H$12)</f>
        <v>0</v>
      </c>
      <c r="K67" s="3"/>
      <c r="L67" s="3">
        <f>+D67-H67</f>
        <v>0</v>
      </c>
      <c r="M67" s="3"/>
      <c r="N67" s="20">
        <f>IF(H67=0,0,L67/H67)</f>
        <v>0</v>
      </c>
      <c r="O67" s="12"/>
      <c r="P67" s="3">
        <f>--694.3</f>
        <v>694.3</v>
      </c>
      <c r="Q67" s="3"/>
      <c r="R67" s="20">
        <f>IF(P$12=0,0,P67/P$12)</f>
        <v>0</v>
      </c>
      <c r="S67" s="3"/>
      <c r="T67" s="3">
        <f>--111.42</f>
        <v>111.42</v>
      </c>
      <c r="U67" s="3"/>
      <c r="V67" s="20">
        <f>IF(T$12=0,0,T67/T$12)</f>
        <v>0</v>
      </c>
      <c r="W67" s="3"/>
      <c r="X67" s="3">
        <f>+P67-T67</f>
        <v>582.88</v>
      </c>
      <c r="Y67" s="3"/>
      <c r="Z67" s="20">
        <f>IF(T67=0,0,X67/T67)</f>
        <v>5.2313767725722489</v>
      </c>
    </row>
    <row r="68" spans="1:26" ht="15" customHeight="1" x14ac:dyDescent="0.3">
      <c r="A68" s="10"/>
      <c r="B68" s="11"/>
      <c r="C68" s="11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O68" s="11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2" customFormat="1" ht="15" customHeight="1" x14ac:dyDescent="0.3">
      <c r="A69" s="11"/>
      <c r="B69" s="28" t="s">
        <v>291</v>
      </c>
      <c r="C69" s="28"/>
      <c r="D69" s="21">
        <f>+D17-D19+D66</f>
        <v>-19198.89</v>
      </c>
      <c r="E69" s="15"/>
      <c r="F69" s="23">
        <f>IF(D$12=0,0,D69/D$12)</f>
        <v>0</v>
      </c>
      <c r="G69" s="15"/>
      <c r="H69" s="21">
        <f>+H17-H19+H66</f>
        <v>-6745.17</v>
      </c>
      <c r="I69" s="15"/>
      <c r="J69" s="23">
        <f>IF(H$12=0,0,H69/H$12)</f>
        <v>0</v>
      </c>
      <c r="K69" s="16"/>
      <c r="L69" s="21">
        <f>+D69-H69</f>
        <v>-12453.72</v>
      </c>
      <c r="M69" s="16"/>
      <c r="N69" s="23">
        <f>IF(H69=0,0,L69/H69)</f>
        <v>1.8463166977259282</v>
      </c>
      <c r="O69" s="27"/>
      <c r="P69" s="21">
        <f>+P17-P19+P66</f>
        <v>-173706.38000000003</v>
      </c>
      <c r="Q69" s="15"/>
      <c r="R69" s="23">
        <f>IF(P$12=0,0,P69/P$12)</f>
        <v>0</v>
      </c>
      <c r="S69" s="15"/>
      <c r="T69" s="21">
        <f>+T17-T19+T66</f>
        <v>-80733.090000000011</v>
      </c>
      <c r="U69" s="15"/>
      <c r="V69" s="23">
        <f>IF(T$12=0,0,T69/T$12)</f>
        <v>0</v>
      </c>
      <c r="W69" s="16"/>
      <c r="X69" s="21">
        <f>+P69-T69</f>
        <v>-92973.290000000023</v>
      </c>
      <c r="Y69" s="16"/>
      <c r="Z69" s="23">
        <f>IF(T69=0,0,X69/T69)</f>
        <v>1.1516131737308706</v>
      </c>
    </row>
    <row r="70" spans="1:26" ht="15" customHeight="1" x14ac:dyDescent="0.3">
      <c r="A70" s="10"/>
      <c r="B70" s="11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48"/>
      <c r="B71" s="11" t="s">
        <v>292</v>
      </c>
      <c r="C71" s="11"/>
      <c r="D71" s="5"/>
      <c r="E71" s="5"/>
      <c r="F71" s="13">
        <f>IF(D$12=0,0,D71/D$12)</f>
        <v>0</v>
      </c>
      <c r="G71" s="5"/>
      <c r="H71" s="5"/>
      <c r="I71" s="5"/>
      <c r="J71" s="13">
        <f>IF(H$12=0,0,H71/H$12)</f>
        <v>0</v>
      </c>
      <c r="K71" s="5"/>
      <c r="L71" s="5">
        <f>+D71-H71</f>
        <v>0</v>
      </c>
      <c r="M71" s="5"/>
      <c r="N71" s="13">
        <f>IF(H71=0,0,L71/H71)</f>
        <v>0</v>
      </c>
      <c r="O71" s="11"/>
      <c r="P71" s="5"/>
      <c r="Q71" s="5"/>
      <c r="R71" s="13">
        <f>IF(P$12=0,0,P71/P$12)</f>
        <v>0</v>
      </c>
      <c r="S71" s="5"/>
      <c r="T71" s="5"/>
      <c r="U71" s="5"/>
      <c r="V71" s="13">
        <f>IF(T$12=0,0,T71/T$12)</f>
        <v>0</v>
      </c>
      <c r="W71" s="5"/>
      <c r="X71" s="5">
        <f>+P71-T71</f>
        <v>0</v>
      </c>
      <c r="Y71" s="5"/>
      <c r="Z71" s="13">
        <f>IF(T71=0,0,X71/T71)</f>
        <v>0</v>
      </c>
    </row>
    <row r="72" spans="1:26" ht="15" customHeight="1" x14ac:dyDescent="0.3">
      <c r="A72" s="10"/>
      <c r="B72" s="11"/>
      <c r="C72" s="11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O72" s="11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s="62" customFormat="1" ht="15" customHeight="1" x14ac:dyDescent="0.3">
      <c r="A73" s="11"/>
      <c r="B73" s="28" t="s">
        <v>293</v>
      </c>
      <c r="C73" s="28"/>
      <c r="D73" s="34">
        <f>+D69-D71</f>
        <v>-19198.89</v>
      </c>
      <c r="E73" s="15"/>
      <c r="F73" s="30">
        <f>IF(D$12=0,0,D73/D$12)</f>
        <v>0</v>
      </c>
      <c r="G73" s="15"/>
      <c r="H73" s="34">
        <f>+H69-H71</f>
        <v>-6745.17</v>
      </c>
      <c r="I73" s="15"/>
      <c r="J73" s="30">
        <f>IF(H$12=0,0,H73/H$12)</f>
        <v>0</v>
      </c>
      <c r="K73" s="16"/>
      <c r="L73" s="34">
        <f>D73-H73</f>
        <v>-12453.72</v>
      </c>
      <c r="M73" s="16"/>
      <c r="N73" s="30">
        <f>IF(H73=0,0,L73/H73)</f>
        <v>1.8463166977259282</v>
      </c>
      <c r="O73" s="27"/>
      <c r="P73" s="34">
        <f>+P69-P71</f>
        <v>-173706.38000000003</v>
      </c>
      <c r="Q73" s="15"/>
      <c r="R73" s="30">
        <f>IF(P$12=0,0,P73/P$12)</f>
        <v>0</v>
      </c>
      <c r="S73" s="15"/>
      <c r="T73" s="34">
        <f>+T69-T71</f>
        <v>-80733.090000000011</v>
      </c>
      <c r="U73" s="15"/>
      <c r="V73" s="30">
        <f>IF(T$12=0,0,T73/T$12)</f>
        <v>0</v>
      </c>
      <c r="W73" s="16"/>
      <c r="X73" s="34">
        <f>P73-T73</f>
        <v>-92973.290000000023</v>
      </c>
      <c r="Y73" s="16"/>
      <c r="Z73" s="30">
        <f>IF(T73=0,0,X73/T73)</f>
        <v>1.1516131737308706</v>
      </c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ht="15" customHeight="1" x14ac:dyDescent="0.3">
      <c r="A75" s="10"/>
      <c r="B75" s="10"/>
      <c r="C75" s="10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2" customFormat="1" ht="15" customHeight="1" x14ac:dyDescent="0.3">
      <c r="A76" s="11"/>
      <c r="B76" s="28" t="s">
        <v>296</v>
      </c>
      <c r="C76" s="28"/>
      <c r="D76" s="29">
        <f>SUM(D73:D75)</f>
        <v>-19198.89</v>
      </c>
      <c r="E76" s="15"/>
      <c r="F76" s="35">
        <f>IF(D$12=0,0,D76/D$12)</f>
        <v>0</v>
      </c>
      <c r="G76" s="15"/>
      <c r="H76" s="29">
        <f>SUM(H73:H75)</f>
        <v>-6745.17</v>
      </c>
      <c r="I76" s="15"/>
      <c r="J76" s="35">
        <f>IF(H$12=0,0,H76/H$12)</f>
        <v>0</v>
      </c>
      <c r="K76" s="16"/>
      <c r="L76" s="29">
        <f>+D76-H76</f>
        <v>-12453.72</v>
      </c>
      <c r="M76" s="16"/>
      <c r="N76" s="35">
        <f>IF(H76=0,0,L76/H76)</f>
        <v>1.8463166977259282</v>
      </c>
      <c r="O76" s="27"/>
      <c r="P76" s="29">
        <f>SUM(P73:P75)</f>
        <v>-173706.38000000003</v>
      </c>
      <c r="Q76" s="15"/>
      <c r="R76" s="35">
        <f>IF(P$12=0,0,P76/P$12)</f>
        <v>0</v>
      </c>
      <c r="S76" s="15"/>
      <c r="T76" s="29">
        <f>SUM(T73:T75)</f>
        <v>-80733.090000000011</v>
      </c>
      <c r="U76" s="15"/>
      <c r="V76" s="35">
        <f>IF(T$12=0,0,T76/T$12)</f>
        <v>0</v>
      </c>
      <c r="W76" s="16"/>
      <c r="X76" s="29">
        <f>+P76-T76</f>
        <v>-92973.290000000023</v>
      </c>
      <c r="Y76" s="16"/>
      <c r="Z76" s="35">
        <f>IF(T76=0,0,X76/T76)</f>
        <v>1.1516131737308706</v>
      </c>
    </row>
    <row r="77" spans="1:26" ht="15" customHeight="1" x14ac:dyDescent="0.3">
      <c r="A77" s="10"/>
      <c r="C77" s="10"/>
      <c r="D77" s="18"/>
      <c r="E77" s="18"/>
      <c r="G77" s="18"/>
      <c r="H77" s="18"/>
      <c r="I77" s="18"/>
      <c r="J77" s="40"/>
      <c r="K77" s="18"/>
      <c r="L77" s="18"/>
      <c r="M77" s="18"/>
      <c r="P77" s="18"/>
      <c r="Q77" s="18"/>
      <c r="R77" s="40"/>
      <c r="S77" s="18"/>
      <c r="T77" s="18"/>
      <c r="U77" s="18"/>
      <c r="V77" s="40"/>
      <c r="W77" s="18"/>
      <c r="X77" s="18"/>
    </row>
    <row r="78" spans="1:26" ht="15" customHeight="1" x14ac:dyDescent="0.3">
      <c r="A78" s="10"/>
      <c r="B78" s="56">
        <v>44694.890829479169</v>
      </c>
      <c r="D78" s="18"/>
      <c r="E78" s="18"/>
      <c r="G78" s="18"/>
      <c r="H78" s="18"/>
      <c r="I78" s="18"/>
      <c r="J78" s="40"/>
      <c r="K78" s="18"/>
      <c r="L78" s="18"/>
      <c r="M78" s="18"/>
      <c r="P78" s="18"/>
      <c r="Q78" s="18"/>
      <c r="R78" s="40"/>
      <c r="S78" s="18"/>
      <c r="T78" s="18"/>
      <c r="U78" s="18"/>
      <c r="V78" s="40"/>
      <c r="W78" s="18"/>
      <c r="X78" s="18"/>
    </row>
    <row r="79" spans="1:26" ht="15" customHeight="1" x14ac:dyDescent="0.3">
      <c r="A79" s="10"/>
      <c r="B79" s="52" t="s">
        <v>297</v>
      </c>
      <c r="D79" s="18"/>
      <c r="E79" s="18"/>
      <c r="G79" s="18"/>
      <c r="H79" s="18"/>
      <c r="I79" s="18"/>
      <c r="J79" s="40"/>
      <c r="K79" s="18"/>
      <c r="L79" s="18"/>
      <c r="M79" s="18"/>
      <c r="P79" s="18"/>
      <c r="Q79" s="18"/>
      <c r="R79" s="40"/>
      <c r="S79" s="18"/>
      <c r="T79" s="18"/>
      <c r="U79" s="18"/>
      <c r="V79" s="40"/>
      <c r="W79" s="18"/>
      <c r="X79" s="18"/>
    </row>
    <row r="80" spans="1:26" ht="15" customHeight="1" x14ac:dyDescent="0.3">
      <c r="A80" s="10"/>
      <c r="B80" s="58"/>
      <c r="D80" s="18"/>
      <c r="E80" s="18"/>
      <c r="G80" s="18"/>
      <c r="H80" s="18"/>
      <c r="I80" s="18"/>
      <c r="J80" s="40"/>
      <c r="K80" s="18"/>
      <c r="L80" s="18"/>
      <c r="M80" s="18"/>
      <c r="P80" s="18"/>
      <c r="Q80" s="18"/>
      <c r="R80" s="40"/>
      <c r="S80" s="18"/>
      <c r="T80" s="18"/>
      <c r="U80" s="18"/>
      <c r="V80" s="40"/>
      <c r="W80" s="18"/>
      <c r="X80" s="18"/>
    </row>
    <row r="81" spans="4:24" ht="15" customHeight="1" x14ac:dyDescent="0.3">
      <c r="D81" s="18"/>
      <c r="E81" s="18"/>
      <c r="G81" s="18"/>
      <c r="H81" s="18"/>
      <c r="I81" s="18"/>
      <c r="J81" s="40"/>
      <c r="K81" s="18"/>
      <c r="L81" s="18"/>
      <c r="M81" s="18"/>
      <c r="P81" s="18"/>
      <c r="Q81" s="18"/>
      <c r="R81" s="40"/>
      <c r="S81" s="18"/>
      <c r="T81" s="18"/>
      <c r="U81" s="18"/>
      <c r="V81" s="40"/>
      <c r="W81" s="18"/>
      <c r="X8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FB7D9-1864-A4E5-3BC7-ACCE41A14A3D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","420"," - ","Catering")</f>
        <v>Department 420 - Catering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0</v>
      </c>
      <c r="E12" s="5"/>
      <c r="F12" s="13"/>
      <c r="G12" s="5"/>
      <c r="H12" s="5">
        <f>SUM(OSRRefH13x_0)</f>
        <v>60315.630000000005</v>
      </c>
      <c r="I12" s="5"/>
      <c r="J12" s="13"/>
      <c r="K12" s="5"/>
      <c r="L12" s="5">
        <f>+D12-H12</f>
        <v>-60315.630000000005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392255.74</v>
      </c>
      <c r="U12" s="5"/>
      <c r="V12" s="13"/>
      <c r="W12" s="5"/>
      <c r="X12" s="5">
        <f>+P12-T12</f>
        <v>-392255.74</v>
      </c>
      <c r="Y12" s="5"/>
      <c r="Z12" s="13">
        <f>IF(T12=0,0,X12/T12)</f>
        <v>-1</v>
      </c>
    </row>
    <row r="13" spans="1:26" s="69" customFormat="1" ht="15" hidden="1" customHeight="1" outlineLevel="1" x14ac:dyDescent="0.3">
      <c r="A13" s="42"/>
      <c r="B13" s="12" t="str">
        <f>CONCATENATE("          ","4052"," - ","TAXABLE SALES-FOOD")</f>
        <v xml:space="preserve">          4052 - TAXABLE SALES-FOOD</v>
      </c>
      <c r="C13" s="12"/>
      <c r="D13" s="3">
        <f>0</f>
        <v>0</v>
      </c>
      <c r="E13" s="3"/>
      <c r="F13" s="20"/>
      <c r="G13" s="3"/>
      <c r="H13" s="3">
        <f>--48734.68</f>
        <v>48734.68</v>
      </c>
      <c r="I13" s="3"/>
      <c r="J13" s="20"/>
      <c r="K13" s="3"/>
      <c r="L13" s="3">
        <f>+D13-H13</f>
        <v>-48734.68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f>--380674.79</f>
        <v>380674.79</v>
      </c>
      <c r="U13" s="3"/>
      <c r="V13" s="20"/>
      <c r="W13" s="3"/>
      <c r="X13" s="3">
        <f>+P13-T13</f>
        <v>-380674.79</v>
      </c>
      <c r="Y13" s="3"/>
      <c r="Z13" s="20">
        <f>IF(T13=0,0,X13/T13)</f>
        <v>-1</v>
      </c>
    </row>
    <row r="14" spans="1:26" s="69" customFormat="1" ht="15" hidden="1" customHeight="1" outlineLevel="1" x14ac:dyDescent="0.3">
      <c r="A14" s="42"/>
      <c r="B14" s="12" t="str">
        <f>CONCATENATE("          ","4152"," - ","NON-TAXABLE SALES-FOOD")</f>
        <v xml:space="preserve">          4152 - NON-TAXABLE SALES-FOOD</v>
      </c>
      <c r="C14" s="12"/>
      <c r="D14" s="3">
        <f>0</f>
        <v>0</v>
      </c>
      <c r="E14" s="3"/>
      <c r="F14" s="20"/>
      <c r="G14" s="3"/>
      <c r="H14" s="3">
        <f>--11580.95</f>
        <v>11580.95</v>
      </c>
      <c r="I14" s="3"/>
      <c r="J14" s="20"/>
      <c r="K14" s="3"/>
      <c r="L14" s="3">
        <f>+D14-H14</f>
        <v>-11580.95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f>--11580.95</f>
        <v>11580.95</v>
      </c>
      <c r="U14" s="3"/>
      <c r="V14" s="20"/>
      <c r="W14" s="3"/>
      <c r="X14" s="3">
        <f>+P14-T14</f>
        <v>-11580.95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7" t="s">
        <v>287</v>
      </c>
      <c r="C16" s="11"/>
      <c r="D16" s="5">
        <f>SUM(0)</f>
        <v>0</v>
      </c>
      <c r="E16" s="5"/>
      <c r="F16" s="13">
        <f>IF(D$12=0,0,D16/D$12)</f>
        <v>0</v>
      </c>
      <c r="G16" s="5"/>
      <c r="H16" s="5">
        <f>SUM(0)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SUM(0)</f>
        <v>0</v>
      </c>
      <c r="Q16" s="5"/>
      <c r="R16" s="13">
        <f>IF(P$12=0,0,P16/P$12)</f>
        <v>0</v>
      </c>
      <c r="S16" s="5"/>
      <c r="T16" s="5">
        <f>SUM(0)</f>
        <v>0</v>
      </c>
      <c r="U16" s="5"/>
      <c r="V16" s="13">
        <f>IF(T$12=0,0,T16/T$12)</f>
        <v>0</v>
      </c>
      <c r="W16" s="5"/>
      <c r="X16" s="5">
        <f>+P16-T16</f>
        <v>0</v>
      </c>
      <c r="Y16" s="5"/>
      <c r="Z16" s="13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>
        <f>D12-D16</f>
        <v>0</v>
      </c>
      <c r="E18" s="15"/>
      <c r="F18" s="23">
        <f>IF(D$12=0,0,D18/D$12)</f>
        <v>0</v>
      </c>
      <c r="G18" s="15"/>
      <c r="H18" s="21">
        <f>H12-H16</f>
        <v>60315.630000000005</v>
      </c>
      <c r="I18" s="15"/>
      <c r="J18" s="23">
        <f>IF(H$12=0,0,H18/H$12)</f>
        <v>1</v>
      </c>
      <c r="K18" s="16"/>
      <c r="L18" s="21">
        <f>+D18-H18</f>
        <v>-60315.630000000005</v>
      </c>
      <c r="M18" s="16"/>
      <c r="N18" s="23">
        <f>IF(H18=0,0,L18/H18)</f>
        <v>-1</v>
      </c>
      <c r="O18" s="27"/>
      <c r="P18" s="21">
        <f>P12-P16</f>
        <v>0</v>
      </c>
      <c r="Q18" s="15"/>
      <c r="R18" s="23">
        <f>IF(P$12=0,0,P18/P$12)</f>
        <v>0</v>
      </c>
      <c r="S18" s="15"/>
      <c r="T18" s="21">
        <f>T12-T16</f>
        <v>392255.74</v>
      </c>
      <c r="U18" s="15"/>
      <c r="V18" s="23">
        <f>IF(T$12=0,0,T18/T$12)</f>
        <v>1</v>
      </c>
      <c r="W18" s="16"/>
      <c r="X18" s="21">
        <f>+P18-T18</f>
        <v>-392255.74</v>
      </c>
      <c r="Y18" s="16"/>
      <c r="Z18" s="23">
        <f>IF(T18=0,0,X18/T18)</f>
        <v>-1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cm="1">
        <f t="array" ref="D20">SUM(OSRRefD22x_0)</f>
        <v>0</v>
      </c>
      <c r="E20" s="22"/>
      <c r="F20" s="32">
        <f>IF(D$12=0,0,D20/D$12)</f>
        <v>0</v>
      </c>
      <c r="G20" s="22"/>
      <c r="H20" s="22" cm="1">
        <f t="array" ref="H20">SUM(OSRRefH22x_0)</f>
        <v>0</v>
      </c>
      <c r="I20" s="22"/>
      <c r="J20" s="32">
        <f>IF(H$12=0,0,H20/H$12)</f>
        <v>0</v>
      </c>
      <c r="K20" s="5"/>
      <c r="L20" s="22">
        <f>+D20-H20</f>
        <v>0</v>
      </c>
      <c r="M20" s="5"/>
      <c r="N20" s="32">
        <f>IF(H20=0,0,L20/H20)</f>
        <v>0</v>
      </c>
      <c r="O20" s="11"/>
      <c r="P20" s="22" cm="1">
        <f t="array" ref="P20">SUM(OSRRefP22x_0)</f>
        <v>0</v>
      </c>
      <c r="Q20" s="22"/>
      <c r="R20" s="32">
        <f>IF(P$12=0,0,P20/P$12)</f>
        <v>0</v>
      </c>
      <c r="S20" s="22"/>
      <c r="T20" s="22" cm="1">
        <f t="array" ref="T20">SUM(OSRRefT22x_0)</f>
        <v>349.08000000000004</v>
      </c>
      <c r="U20" s="22"/>
      <c r="V20" s="32">
        <f>IF(T$12=0,0,T20/T$12)</f>
        <v>8.8992961581645699E-4</v>
      </c>
      <c r="W20" s="5"/>
      <c r="X20" s="22">
        <f>+P20-T20</f>
        <v>-349.08000000000004</v>
      </c>
      <c r="Y20" s="5"/>
      <c r="Z20" s="32">
        <f>IF(T20=0,0,X20/T20)</f>
        <v>-1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>IF(D$12=0,0,D21/D$12)</f>
        <v>0</v>
      </c>
      <c r="G21" s="2"/>
      <c r="H21" s="2">
        <f>SUM(OSRRefH22_0x_0)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SUM(OSRRefP22_0x_0)</f>
        <v>0</v>
      </c>
      <c r="Q21" s="2"/>
      <c r="R21" s="6">
        <f>IF(P$12=0,0,P21/P$12)</f>
        <v>0</v>
      </c>
      <c r="S21" s="2"/>
      <c r="T21" s="2">
        <f>SUM(OSRRefT22_0x_0)</f>
        <v>7.86</v>
      </c>
      <c r="U21" s="2"/>
      <c r="V21" s="6">
        <f>IF(T$12=0,0,T21/T$12)</f>
        <v>2.0037947691982789E-5</v>
      </c>
      <c r="W21" s="2"/>
      <c r="X21" s="2">
        <f>+P21-T21</f>
        <v>-7.86</v>
      </c>
      <c r="Y21" s="2"/>
      <c r="Z21" s="6">
        <f>IF(T21=0,0,X21/T21)</f>
        <v>-1</v>
      </c>
    </row>
    <row r="22" spans="1:26" s="69" customFormat="1" ht="15" hidden="1" customHeight="1" outlineLevel="2" x14ac:dyDescent="0.3">
      <c r="A22" s="26"/>
      <c r="B22" s="12" t="str">
        <f>CONCATENATE("          ","6111"," - ","F.I.C.A.")</f>
        <v xml:space="preserve">          6111 - F.I.C.A.</v>
      </c>
      <c r="C22" s="12"/>
      <c r="D22" s="8"/>
      <c r="E22" s="3"/>
      <c r="F22" s="7">
        <f>IF(D$12=0,0,D22/D$12)</f>
        <v>0</v>
      </c>
      <c r="G22" s="3"/>
      <c r="H22" s="8"/>
      <c r="I22" s="3"/>
      <c r="J22" s="7">
        <f>IF(H$12=0,0,H22/H$12)</f>
        <v>0</v>
      </c>
      <c r="K22" s="3"/>
      <c r="L22" s="8">
        <f>+D22-H22</f>
        <v>0</v>
      </c>
      <c r="M22" s="3"/>
      <c r="N22" s="7">
        <f>IF(H22=0,0,L22/H22)</f>
        <v>0</v>
      </c>
      <c r="O22" s="12"/>
      <c r="P22" s="8"/>
      <c r="Q22" s="3"/>
      <c r="R22" s="7">
        <f>IF(P$12=0,0,P22/P$12)</f>
        <v>0</v>
      </c>
      <c r="S22" s="3"/>
      <c r="T22" s="8">
        <v>7.86</v>
      </c>
      <c r="U22" s="3"/>
      <c r="V22" s="7">
        <f>IF(T$12=0,0,T22/T$12)</f>
        <v>2.0037947691982789E-5</v>
      </c>
      <c r="W22" s="3"/>
      <c r="X22" s="8">
        <f>+P22-T22</f>
        <v>-7.86</v>
      </c>
      <c r="Y22" s="3"/>
      <c r="Z22" s="7">
        <f>IF(T22=0,0,X22/T22)</f>
        <v>-1</v>
      </c>
    </row>
    <row r="23" spans="1:26" s="68" customFormat="1" ht="15" customHeight="1" outlineLevel="1" collapsed="1" x14ac:dyDescent="0.3">
      <c r="A23" s="25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SUM(OSRRefD22_1x_0)</f>
        <v>0</v>
      </c>
      <c r="E23" s="2"/>
      <c r="F23" s="6">
        <f>IF(D$12=0,0,D23/D$12)</f>
        <v>0</v>
      </c>
      <c r="G23" s="2"/>
      <c r="H23" s="2">
        <f>SUM(OSRRefH22_1x_0)</f>
        <v>0</v>
      </c>
      <c r="I23" s="2"/>
      <c r="J23" s="6">
        <f>IF(H$12=0,0,H23/H$12)</f>
        <v>0</v>
      </c>
      <c r="K23" s="2"/>
      <c r="L23" s="2">
        <f>+D23-H23</f>
        <v>0</v>
      </c>
      <c r="M23" s="2"/>
      <c r="N23" s="6">
        <f>IF(H23=0,0,L23/H23)</f>
        <v>0</v>
      </c>
      <c r="O23" s="14"/>
      <c r="P23" s="2">
        <f>SUM(OSRRefP22_1x_0)</f>
        <v>0</v>
      </c>
      <c r="Q23" s="2"/>
      <c r="R23" s="6">
        <f>IF(P$12=0,0,P23/P$12)</f>
        <v>0</v>
      </c>
      <c r="S23" s="2"/>
      <c r="T23" s="2">
        <f>SUM(OSRRefT22_1x_0)</f>
        <v>341.22</v>
      </c>
      <c r="U23" s="2"/>
      <c r="V23" s="6">
        <f>IF(T$12=0,0,T23/T$12)</f>
        <v>8.6989166812447417E-4</v>
      </c>
      <c r="W23" s="2"/>
      <c r="X23" s="2">
        <f>+P23-T23</f>
        <v>-341.22</v>
      </c>
      <c r="Y23" s="2"/>
      <c r="Z23" s="6">
        <f>IF(T23=0,0,X23/T23)</f>
        <v>-1</v>
      </c>
    </row>
    <row r="24" spans="1:26" s="69" customFormat="1" ht="15" hidden="1" customHeight="1" outlineLevel="2" x14ac:dyDescent="0.3">
      <c r="A24" s="26"/>
      <c r="B24" s="12" t="str">
        <f>CONCATENATE("          ","6375"," - ","OUTSIDE REPAIRS &amp; MAINTENANCE")</f>
        <v xml:space="preserve">          6375 - OUTSIDE REPAIRS &amp; MAINTENANCE</v>
      </c>
      <c r="C24" s="12"/>
      <c r="D24" s="8"/>
      <c r="E24" s="3"/>
      <c r="F24" s="7">
        <f>IF(D$12=0,0,D24/D$12)</f>
        <v>0</v>
      </c>
      <c r="G24" s="3"/>
      <c r="H24" s="8"/>
      <c r="I24" s="3"/>
      <c r="J24" s="7">
        <f>IF(H$12=0,0,H24/H$12)</f>
        <v>0</v>
      </c>
      <c r="K24" s="3"/>
      <c r="L24" s="8">
        <f>+D24-H24</f>
        <v>0</v>
      </c>
      <c r="M24" s="3"/>
      <c r="N24" s="7">
        <f>IF(H24=0,0,L24/H24)</f>
        <v>0</v>
      </c>
      <c r="O24" s="12"/>
      <c r="P24" s="8"/>
      <c r="Q24" s="3"/>
      <c r="R24" s="7">
        <f>IF(P$12=0,0,P24/P$12)</f>
        <v>0</v>
      </c>
      <c r="S24" s="3"/>
      <c r="T24" s="8">
        <v>341.22</v>
      </c>
      <c r="U24" s="3"/>
      <c r="V24" s="7">
        <f>IF(T$12=0,0,T24/T$12)</f>
        <v>8.6989166812447417E-4</v>
      </c>
      <c r="W24" s="3"/>
      <c r="X24" s="8">
        <f>+P24-T24</f>
        <v>-341.22</v>
      </c>
      <c r="Y24" s="3"/>
      <c r="Z24" s="7">
        <f>IF(T24=0,0,X24/T24)</f>
        <v>-1</v>
      </c>
    </row>
    <row r="25" spans="1:26" s="64" customFormat="1" ht="15" customHeight="1" x14ac:dyDescent="0.3">
      <c r="A25" s="36"/>
      <c r="B25" s="36"/>
      <c r="C25" s="36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2" customFormat="1" ht="15" customHeight="1" x14ac:dyDescent="0.3">
      <c r="A26" s="11"/>
      <c r="B26" s="27" t="s">
        <v>290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11"/>
      <c r="B28" s="28" t="s">
        <v>291</v>
      </c>
      <c r="C28" s="28"/>
      <c r="D28" s="21">
        <f>+D18-D20+D26</f>
        <v>0</v>
      </c>
      <c r="E28" s="15"/>
      <c r="F28" s="23">
        <f>IF(D$12=0,0,D28/D$12)</f>
        <v>0</v>
      </c>
      <c r="G28" s="15"/>
      <c r="H28" s="21">
        <f>+H18-H20+H26</f>
        <v>60315.630000000005</v>
      </c>
      <c r="I28" s="15"/>
      <c r="J28" s="23">
        <f>IF(H$12=0,0,H28/H$12)</f>
        <v>1</v>
      </c>
      <c r="K28" s="16"/>
      <c r="L28" s="21">
        <f>+D28-H28</f>
        <v>-60315.630000000005</v>
      </c>
      <c r="M28" s="16"/>
      <c r="N28" s="23">
        <f>IF(H28=0,0,L28/H28)</f>
        <v>-1</v>
      </c>
      <c r="O28" s="27"/>
      <c r="P28" s="21">
        <f>+P18-P20+P26</f>
        <v>0</v>
      </c>
      <c r="Q28" s="15"/>
      <c r="R28" s="23">
        <f>IF(P$12=0,0,P28/P$12)</f>
        <v>0</v>
      </c>
      <c r="S28" s="15"/>
      <c r="T28" s="21">
        <f>+T18-T20+T26</f>
        <v>391906.66</v>
      </c>
      <c r="U28" s="15"/>
      <c r="V28" s="23">
        <f>IF(T$12=0,0,T28/T$12)</f>
        <v>0.99911007038418354</v>
      </c>
      <c r="W28" s="16"/>
      <c r="X28" s="21">
        <f>+P28-T28</f>
        <v>-391906.66</v>
      </c>
      <c r="Y28" s="16"/>
      <c r="Z28" s="23">
        <f>IF(T28=0,0,X28/T28)</f>
        <v>-1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48"/>
      <c r="B30" s="11" t="s">
        <v>292</v>
      </c>
      <c r="C30" s="11"/>
      <c r="D30" s="5"/>
      <c r="E30" s="5"/>
      <c r="F30" s="13">
        <f>IF(D$12=0,0,D30/D$12)</f>
        <v>0</v>
      </c>
      <c r="G30" s="5"/>
      <c r="H30" s="5">
        <v>13651.45</v>
      </c>
      <c r="I30" s="5"/>
      <c r="J30" s="13">
        <f>IF(H$12=0,0,H30/H$12)</f>
        <v>0.22633353908431364</v>
      </c>
      <c r="K30" s="5"/>
      <c r="L30" s="5">
        <f>+D30-H30</f>
        <v>-13651.45</v>
      </c>
      <c r="M30" s="5"/>
      <c r="N30" s="13">
        <f>IF(H30=0,0,L30/H30)</f>
        <v>-1</v>
      </c>
      <c r="O30" s="11"/>
      <c r="P30" s="5"/>
      <c r="Q30" s="5"/>
      <c r="R30" s="13">
        <f>IF(P$12=0,0,P30/P$12)</f>
        <v>0</v>
      </c>
      <c r="S30" s="5"/>
      <c r="T30" s="5">
        <v>82061.490000000005</v>
      </c>
      <c r="U30" s="5"/>
      <c r="V30" s="13">
        <f>IF(T$12=0,0,T30/T$12)</f>
        <v>0.20920405141808762</v>
      </c>
      <c r="W30" s="5"/>
      <c r="X30" s="5">
        <f>+P30-T30</f>
        <v>-82061.490000000005</v>
      </c>
      <c r="Y30" s="5"/>
      <c r="Z30" s="13">
        <f>IF(T30=0,0,X30/T30)</f>
        <v>-1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293</v>
      </c>
      <c r="C32" s="28"/>
      <c r="D32" s="34">
        <f>+D28-D30</f>
        <v>0</v>
      </c>
      <c r="E32" s="15"/>
      <c r="F32" s="30">
        <f>IF(D$12=0,0,D32/D$12)</f>
        <v>0</v>
      </c>
      <c r="G32" s="15"/>
      <c r="H32" s="34">
        <f>+H28-H30</f>
        <v>46664.180000000008</v>
      </c>
      <c r="I32" s="15"/>
      <c r="J32" s="30">
        <f>IF(H$12=0,0,H32/H$12)</f>
        <v>0.77366646091568647</v>
      </c>
      <c r="K32" s="16"/>
      <c r="L32" s="34">
        <f>D32-H32</f>
        <v>-46664.180000000008</v>
      </c>
      <c r="M32" s="16"/>
      <c r="N32" s="30">
        <f>IF(H32=0,0,L32/H32)</f>
        <v>-1</v>
      </c>
      <c r="O32" s="27"/>
      <c r="P32" s="34">
        <f>+P28-P30</f>
        <v>0</v>
      </c>
      <c r="Q32" s="15"/>
      <c r="R32" s="30">
        <f>IF(P$12=0,0,P32/P$12)</f>
        <v>0</v>
      </c>
      <c r="S32" s="15"/>
      <c r="T32" s="34">
        <f>+T28-T30</f>
        <v>309845.17</v>
      </c>
      <c r="U32" s="15"/>
      <c r="V32" s="30">
        <f>IF(T$12=0,0,T32/T$12)</f>
        <v>0.78990601896609591</v>
      </c>
      <c r="W32" s="16"/>
      <c r="X32" s="34">
        <f>P32-T32</f>
        <v>-309845.17</v>
      </c>
      <c r="Y32" s="16"/>
      <c r="Z32" s="30">
        <f>IF(T32=0,0,X32/T32)</f>
        <v>-1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2" customFormat="1" ht="15" customHeight="1" x14ac:dyDescent="0.3">
      <c r="A35" s="11"/>
      <c r="B35" s="28" t="s">
        <v>296</v>
      </c>
      <c r="C35" s="28"/>
      <c r="D35" s="29">
        <f>SUM(D32:D34)</f>
        <v>0</v>
      </c>
      <c r="E35" s="15"/>
      <c r="F35" s="35">
        <f>IF(D$12=0,0,D35/D$12)</f>
        <v>0</v>
      </c>
      <c r="G35" s="15"/>
      <c r="H35" s="29">
        <f>SUM(H32:H34)</f>
        <v>46664.180000000008</v>
      </c>
      <c r="I35" s="15"/>
      <c r="J35" s="35">
        <f>IF(H$12=0,0,H35/H$12)</f>
        <v>0.77366646091568647</v>
      </c>
      <c r="K35" s="16"/>
      <c r="L35" s="29">
        <f>+D35-H35</f>
        <v>-46664.180000000008</v>
      </c>
      <c r="M35" s="16"/>
      <c r="N35" s="35">
        <f>IF(H35=0,0,L35/H35)</f>
        <v>-1</v>
      </c>
      <c r="O35" s="27"/>
      <c r="P35" s="29">
        <f>SUM(P32:P34)</f>
        <v>0</v>
      </c>
      <c r="Q35" s="15"/>
      <c r="R35" s="35">
        <f>IF(P$12=0,0,P35/P$12)</f>
        <v>0</v>
      </c>
      <c r="S35" s="15"/>
      <c r="T35" s="29">
        <f>SUM(T32:T34)</f>
        <v>309845.17</v>
      </c>
      <c r="U35" s="15"/>
      <c r="V35" s="35">
        <f>IF(T$12=0,0,T35/T$12)</f>
        <v>0.78990601896609591</v>
      </c>
      <c r="W35" s="16"/>
      <c r="X35" s="29">
        <f>+P35-T35</f>
        <v>-309845.17</v>
      </c>
      <c r="Y35" s="16"/>
      <c r="Z35" s="35">
        <f>IF(T35=0,0,X35/T35)</f>
        <v>-1</v>
      </c>
    </row>
    <row r="36" spans="1:26" ht="15" customHeight="1" x14ac:dyDescent="0.3">
      <c r="A36" s="10"/>
      <c r="C36" s="10"/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6" ht="15" customHeight="1" x14ac:dyDescent="0.3">
      <c r="A37" s="10"/>
      <c r="B37" s="56">
        <v>44694.890829479169</v>
      </c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2" t="s">
        <v>297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8"/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CF50B-AC9F-FBE1-7027-3E6AF0E9A23F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","423"," - ","Contract/Vending Revenue")</f>
        <v>Department 423 - Contract/Vending Revenue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36</v>
      </c>
      <c r="E18" s="22"/>
      <c r="F18" s="32">
        <f t="shared" ref="F18:F27" si="0">IF(D$12=0,0,D18/D$12)</f>
        <v>0</v>
      </c>
      <c r="G18" s="22"/>
      <c r="H18" s="22" cm="1">
        <f t="array" ref="H18">SUM(OSRRefH22x_0)</f>
        <v>-107.75</v>
      </c>
      <c r="I18" s="22"/>
      <c r="J18" s="32">
        <f t="shared" ref="J18:J27" si="1">IF(H$12=0,0,H18/H$12)</f>
        <v>0</v>
      </c>
      <c r="K18" s="5"/>
      <c r="L18" s="22">
        <f t="shared" ref="L18:L27" si="2">+D18-H18</f>
        <v>143.75</v>
      </c>
      <c r="M18" s="5"/>
      <c r="N18" s="32">
        <f t="shared" ref="N18:N27" si="3">IF(H18=0,0,L18/H18)</f>
        <v>-1.334106728538283</v>
      </c>
      <c r="O18" s="11"/>
      <c r="P18" s="22" cm="1">
        <f t="array" ref="P18">SUM(OSRRefP22x_0)</f>
        <v>8897.64</v>
      </c>
      <c r="Q18" s="22"/>
      <c r="R18" s="32">
        <f t="shared" ref="R18:R27" si="4">IF(P$12=0,0,P18/P$12)</f>
        <v>0</v>
      </c>
      <c r="S18" s="22"/>
      <c r="T18" s="22" cm="1">
        <f t="array" ref="T18">SUM(OSRRefT22x_0)</f>
        <v>3180.9900000000002</v>
      </c>
      <c r="U18" s="22"/>
      <c r="V18" s="32">
        <f t="shared" ref="V18:V27" si="5">IF(T$12=0,0,T18/T$12)</f>
        <v>0</v>
      </c>
      <c r="W18" s="5"/>
      <c r="X18" s="22">
        <f t="shared" ref="X18:X27" si="6">+P18-T18</f>
        <v>5716.65</v>
      </c>
      <c r="Y18" s="5"/>
      <c r="Z18" s="32">
        <f t="shared" ref="Z18:Z27" si="7">IF(T18=0,0,X18/T18)</f>
        <v>1.797129195627776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2478.73</v>
      </c>
      <c r="U19" s="2"/>
      <c r="V19" s="6">
        <f t="shared" si="5"/>
        <v>0</v>
      </c>
      <c r="W19" s="2"/>
      <c r="X19" s="2">
        <f t="shared" si="6"/>
        <v>-2478.73</v>
      </c>
      <c r="Y19" s="2"/>
      <c r="Z19" s="6">
        <f t="shared" si="7"/>
        <v>-1</v>
      </c>
    </row>
    <row r="20" spans="1:26" s="69" customFormat="1" ht="15" hidden="1" customHeight="1" outlineLevel="2" x14ac:dyDescent="0.3">
      <c r="A20" s="26"/>
      <c r="B20" s="12" t="str">
        <f>CONCATENATE("          ","6113"," - ","GROUP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1868.2</v>
      </c>
      <c r="U20" s="3"/>
      <c r="V20" s="7">
        <f t="shared" si="5"/>
        <v>0</v>
      </c>
      <c r="W20" s="3"/>
      <c r="X20" s="8">
        <f t="shared" si="6"/>
        <v>-1868.2</v>
      </c>
      <c r="Y20" s="3"/>
      <c r="Z20" s="7">
        <f t="shared" si="7"/>
        <v>-1</v>
      </c>
    </row>
    <row r="21" spans="1:26" s="69" customFormat="1" ht="15" hidden="1" customHeight="1" outlineLevel="2" x14ac:dyDescent="0.3">
      <c r="A21" s="26"/>
      <c r="B21" s="12" t="str">
        <f>CONCATENATE("          ","6115"," - ","P.E.R.S.")</f>
        <v xml:space="preserve">          6115 - P.E.R.S.</v>
      </c>
      <c r="C21" s="12"/>
      <c r="D21" s="8"/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610.53</v>
      </c>
      <c r="U21" s="3"/>
      <c r="V21" s="7">
        <f t="shared" si="5"/>
        <v>0</v>
      </c>
      <c r="W21" s="3"/>
      <c r="X21" s="8">
        <f t="shared" si="6"/>
        <v>-610.53</v>
      </c>
      <c r="Y21" s="3"/>
      <c r="Z21" s="7">
        <f t="shared" si="7"/>
        <v>-1</v>
      </c>
    </row>
    <row r="22" spans="1:26" s="68" customFormat="1" ht="15" customHeight="1" outlineLevel="1" collapsed="1" x14ac:dyDescent="0.3">
      <c r="A22" s="25"/>
      <c r="B22" s="14" t="str">
        <f>CONCATENATE("     ","General                                           ")</f>
        <v xml:space="preserve">     General                                           </v>
      </c>
      <c r="C22" s="14"/>
      <c r="D22" s="2">
        <f>SUM(OSRRefD22_1x_0)</f>
        <v>0</v>
      </c>
      <c r="E22" s="2"/>
      <c r="F22" s="6">
        <f t="shared" si="0"/>
        <v>0</v>
      </c>
      <c r="G22" s="2"/>
      <c r="H22" s="2">
        <f>SUM(OSRRefH22_1x_0)</f>
        <v>0</v>
      </c>
      <c r="I22" s="2"/>
      <c r="J22" s="6">
        <f t="shared" si="1"/>
        <v>0</v>
      </c>
      <c r="K22" s="2"/>
      <c r="L22" s="2">
        <f t="shared" si="2"/>
        <v>0</v>
      </c>
      <c r="M22" s="2"/>
      <c r="N22" s="6">
        <f t="shared" si="3"/>
        <v>0</v>
      </c>
      <c r="O22" s="14"/>
      <c r="P22" s="2">
        <f>SUM(OSRRefP22_1x_0)</f>
        <v>7816.11</v>
      </c>
      <c r="Q22" s="2"/>
      <c r="R22" s="6">
        <f t="shared" si="4"/>
        <v>0</v>
      </c>
      <c r="S22" s="2"/>
      <c r="T22" s="2">
        <f>SUM(OSRRefT22_1x_0)</f>
        <v>0</v>
      </c>
      <c r="U22" s="2"/>
      <c r="V22" s="6">
        <f t="shared" si="5"/>
        <v>0</v>
      </c>
      <c r="W22" s="2"/>
      <c r="X22" s="2">
        <f t="shared" si="6"/>
        <v>7816.11</v>
      </c>
      <c r="Y22" s="2"/>
      <c r="Z22" s="6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","6279"," - ","GENERAL EXPENSE")</f>
        <v xml:space="preserve">          6279 - GENERAL EXPENSE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>
        <v>7816.11</v>
      </c>
      <c r="Q23" s="3"/>
      <c r="R23" s="7">
        <f t="shared" si="4"/>
        <v>0</v>
      </c>
      <c r="S23" s="3"/>
      <c r="T23" s="8"/>
      <c r="U23" s="3"/>
      <c r="V23" s="7">
        <f t="shared" si="5"/>
        <v>0</v>
      </c>
      <c r="W23" s="3"/>
      <c r="X23" s="8">
        <f t="shared" si="6"/>
        <v>7816.11</v>
      </c>
      <c r="Y23" s="3"/>
      <c r="Z23" s="7">
        <f t="shared" si="7"/>
        <v>0</v>
      </c>
    </row>
    <row r="24" spans="1:26" s="68" customFormat="1" ht="15" customHeight="1" outlineLevel="1" collapsed="1" x14ac:dyDescent="0.3">
      <c r="A24" s="25"/>
      <c r="B24" s="14" t="str">
        <f>CONCATENATE("     ","Supplies                                          ")</f>
        <v xml:space="preserve">     Supplies                                          </v>
      </c>
      <c r="C24" s="14"/>
      <c r="D24" s="2">
        <f>SUM(OSRRefD22_2x_0)</f>
        <v>0</v>
      </c>
      <c r="E24" s="2"/>
      <c r="F24" s="6">
        <f t="shared" si="0"/>
        <v>0</v>
      </c>
      <c r="G24" s="2"/>
      <c r="H24" s="2">
        <f>SUM(OSRRefH22_2x_0)</f>
        <v>6.25</v>
      </c>
      <c r="I24" s="2"/>
      <c r="J24" s="6">
        <f t="shared" si="1"/>
        <v>0</v>
      </c>
      <c r="K24" s="2"/>
      <c r="L24" s="2">
        <f t="shared" si="2"/>
        <v>-6.25</v>
      </c>
      <c r="M24" s="2"/>
      <c r="N24" s="6">
        <f t="shared" si="3"/>
        <v>-1</v>
      </c>
      <c r="O24" s="14"/>
      <c r="P24" s="2">
        <f>SUM(OSRRefP22_2x_0)</f>
        <v>564.03</v>
      </c>
      <c r="Q24" s="2"/>
      <c r="R24" s="6">
        <f t="shared" si="4"/>
        <v>0</v>
      </c>
      <c r="S24" s="2"/>
      <c r="T24" s="2">
        <f>SUM(OSRRefT22_2x_0)</f>
        <v>3.26</v>
      </c>
      <c r="U24" s="2"/>
      <c r="V24" s="6">
        <f t="shared" si="5"/>
        <v>0</v>
      </c>
      <c r="W24" s="2"/>
      <c r="X24" s="2">
        <f t="shared" si="6"/>
        <v>560.77</v>
      </c>
      <c r="Y24" s="2"/>
      <c r="Z24" s="6">
        <f t="shared" si="7"/>
        <v>172.0153374233129</v>
      </c>
    </row>
    <row r="25" spans="1:26" s="69" customFormat="1" ht="15" hidden="1" customHeight="1" outlineLevel="2" x14ac:dyDescent="0.3">
      <c r="A25" s="26"/>
      <c r="B25" s="12" t="str">
        <f>CONCATENATE("          ","6241"," - ","OFFICE EXPENSE")</f>
        <v xml:space="preserve">          6241 - OFFICE EXPENSE</v>
      </c>
      <c r="C25" s="12"/>
      <c r="D25" s="8"/>
      <c r="E25" s="3"/>
      <c r="F25" s="7">
        <f t="shared" si="0"/>
        <v>0</v>
      </c>
      <c r="G25" s="3"/>
      <c r="H25" s="8">
        <v>6.25</v>
      </c>
      <c r="I25" s="3"/>
      <c r="J25" s="7">
        <f t="shared" si="1"/>
        <v>0</v>
      </c>
      <c r="K25" s="3"/>
      <c r="L25" s="8">
        <f t="shared" si="2"/>
        <v>-6.25</v>
      </c>
      <c r="M25" s="3"/>
      <c r="N25" s="7">
        <f t="shared" si="3"/>
        <v>-1</v>
      </c>
      <c r="O25" s="12"/>
      <c r="P25" s="8">
        <v>564.03</v>
      </c>
      <c r="Q25" s="3"/>
      <c r="R25" s="7">
        <f t="shared" si="4"/>
        <v>0</v>
      </c>
      <c r="S25" s="3"/>
      <c r="T25" s="8">
        <v>3.26</v>
      </c>
      <c r="U25" s="3"/>
      <c r="V25" s="7">
        <f t="shared" si="5"/>
        <v>0</v>
      </c>
      <c r="W25" s="3"/>
      <c r="X25" s="8">
        <f t="shared" si="6"/>
        <v>560.77</v>
      </c>
      <c r="Y25" s="3"/>
      <c r="Z25" s="7">
        <f t="shared" si="7"/>
        <v>172.0153374233129</v>
      </c>
    </row>
    <row r="26" spans="1:26" s="68" customFormat="1" ht="15" customHeight="1" outlineLevel="1" collapsed="1" x14ac:dyDescent="0.3">
      <c r="A26" s="25"/>
      <c r="B26" s="14" t="str">
        <f>CONCATENATE("     ","Telephone/Data Lines                              ")</f>
        <v xml:space="preserve">     Telephone/Data Lines                              </v>
      </c>
      <c r="C26" s="14"/>
      <c r="D26" s="2">
        <f>SUM(OSRRefD22_3x_0)</f>
        <v>36</v>
      </c>
      <c r="E26" s="2"/>
      <c r="F26" s="6">
        <f t="shared" si="0"/>
        <v>0</v>
      </c>
      <c r="G26" s="2"/>
      <c r="H26" s="2">
        <f>SUM(OSRRefH22_3x_0)</f>
        <v>-114</v>
      </c>
      <c r="I26" s="2"/>
      <c r="J26" s="6">
        <f t="shared" si="1"/>
        <v>0</v>
      </c>
      <c r="K26" s="2"/>
      <c r="L26" s="2">
        <f t="shared" si="2"/>
        <v>150</v>
      </c>
      <c r="M26" s="2"/>
      <c r="N26" s="6">
        <f t="shared" si="3"/>
        <v>-1.3157894736842106</v>
      </c>
      <c r="O26" s="14"/>
      <c r="P26" s="2">
        <f>SUM(OSRRefP22_3x_0)</f>
        <v>517.5</v>
      </c>
      <c r="Q26" s="2"/>
      <c r="R26" s="6">
        <f t="shared" si="4"/>
        <v>0</v>
      </c>
      <c r="S26" s="2"/>
      <c r="T26" s="2">
        <f>SUM(OSRRefT22_3x_0)</f>
        <v>699</v>
      </c>
      <c r="U26" s="2"/>
      <c r="V26" s="6">
        <f t="shared" si="5"/>
        <v>0</v>
      </c>
      <c r="W26" s="2"/>
      <c r="X26" s="2">
        <f t="shared" si="6"/>
        <v>-181.5</v>
      </c>
      <c r="Y26" s="2"/>
      <c r="Z26" s="6">
        <f t="shared" si="7"/>
        <v>-0.25965665236051499</v>
      </c>
    </row>
    <row r="27" spans="1:26" s="69" customFormat="1" ht="15" hidden="1" customHeight="1" outlineLevel="2" x14ac:dyDescent="0.3">
      <c r="A27" s="26"/>
      <c r="B27" s="12" t="str">
        <f>CONCATENATE("          ","6309"," - ","TELEPHONE")</f>
        <v xml:space="preserve">          6309 - TELEPHONE</v>
      </c>
      <c r="C27" s="12"/>
      <c r="D27" s="8">
        <v>36</v>
      </c>
      <c r="E27" s="3"/>
      <c r="F27" s="7">
        <f t="shared" si="0"/>
        <v>0</v>
      </c>
      <c r="G27" s="3"/>
      <c r="H27" s="8">
        <v>-114</v>
      </c>
      <c r="I27" s="3"/>
      <c r="J27" s="7">
        <f t="shared" si="1"/>
        <v>0</v>
      </c>
      <c r="K27" s="3"/>
      <c r="L27" s="8">
        <f t="shared" si="2"/>
        <v>150</v>
      </c>
      <c r="M27" s="3"/>
      <c r="N27" s="7">
        <f t="shared" si="3"/>
        <v>-1.3157894736842106</v>
      </c>
      <c r="O27" s="12"/>
      <c r="P27" s="8">
        <v>517.5</v>
      </c>
      <c r="Q27" s="3"/>
      <c r="R27" s="7">
        <f t="shared" si="4"/>
        <v>0</v>
      </c>
      <c r="S27" s="3"/>
      <c r="T27" s="8">
        <v>699</v>
      </c>
      <c r="U27" s="3"/>
      <c r="V27" s="7">
        <f t="shared" si="5"/>
        <v>0</v>
      </c>
      <c r="W27" s="3"/>
      <c r="X27" s="8">
        <f t="shared" si="6"/>
        <v>-181.5</v>
      </c>
      <c r="Y27" s="3"/>
      <c r="Z27" s="7">
        <f t="shared" si="7"/>
        <v>-0.25965665236051499</v>
      </c>
    </row>
    <row r="28" spans="1:26" s="64" customFormat="1" ht="15" customHeight="1" x14ac:dyDescent="0.3">
      <c r="A28" s="36"/>
      <c r="B28" s="36"/>
      <c r="C28" s="36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2" customFormat="1" ht="15" customHeight="1" collapsed="1" x14ac:dyDescent="0.3">
      <c r="A29" s="11"/>
      <c r="B29" s="27" t="s">
        <v>290</v>
      </c>
      <c r="C29" s="11"/>
      <c r="D29" s="5">
        <f>SUM(OSRRefD25x_0)</f>
        <v>6601.19</v>
      </c>
      <c r="E29" s="5"/>
      <c r="F29" s="13">
        <f>IF(D$12=0,0,D29/D$12)</f>
        <v>0</v>
      </c>
      <c r="G29" s="5"/>
      <c r="H29" s="5">
        <f>SUM(OSRRefH25x_0)</f>
        <v>0</v>
      </c>
      <c r="I29" s="5"/>
      <c r="J29" s="13">
        <f>IF(H$12=0,0,H29/H$12)</f>
        <v>0</v>
      </c>
      <c r="K29" s="5"/>
      <c r="L29" s="5">
        <f>+D29-H29</f>
        <v>6601.19</v>
      </c>
      <c r="M29" s="5"/>
      <c r="N29" s="13">
        <f>IF(H29=0,0,L29/H29)</f>
        <v>0</v>
      </c>
      <c r="O29" s="11"/>
      <c r="P29" s="5">
        <f>SUM(OSRRefP25x_0)</f>
        <v>140087.1</v>
      </c>
      <c r="Q29" s="5"/>
      <c r="R29" s="13">
        <f>IF(P$12=0,0,P29/P$12)</f>
        <v>0</v>
      </c>
      <c r="S29" s="5"/>
      <c r="T29" s="5">
        <f>SUM(OSRRefT25x_0)</f>
        <v>0</v>
      </c>
      <c r="U29" s="5"/>
      <c r="V29" s="13">
        <f>IF(T$12=0,0,T29/T$12)</f>
        <v>0</v>
      </c>
      <c r="W29" s="5"/>
      <c r="X29" s="5">
        <f>+P29-T29</f>
        <v>140087.1</v>
      </c>
      <c r="Y29" s="5"/>
      <c r="Z29" s="13">
        <f>IF(T29=0,0,X29/T29)</f>
        <v>0</v>
      </c>
    </row>
    <row r="30" spans="1:26" s="69" customFormat="1" ht="15" hidden="1" customHeight="1" outlineLevel="1" x14ac:dyDescent="0.3">
      <c r="A30" s="42"/>
      <c r="B30" s="12" t="str">
        <f>CONCATENATE("          ","9150"," - ","MISC. INCOME")</f>
        <v xml:space="preserve">          9150 - MISC. INCOME</v>
      </c>
      <c r="C30" s="12"/>
      <c r="D30" s="3">
        <f>--6601.19</f>
        <v>6601.19</v>
      </c>
      <c r="E30" s="3"/>
      <c r="F30" s="20">
        <f>IF(D$12=0,0,D30/D$12)</f>
        <v>0</v>
      </c>
      <c r="G30" s="3"/>
      <c r="H30" s="3">
        <f>0</f>
        <v>0</v>
      </c>
      <c r="I30" s="3"/>
      <c r="J30" s="20">
        <f>IF(H$12=0,0,H30/H$12)</f>
        <v>0</v>
      </c>
      <c r="K30" s="3"/>
      <c r="L30" s="3">
        <f>+D30-H30</f>
        <v>6601.19</v>
      </c>
      <c r="M30" s="3"/>
      <c r="N30" s="20">
        <f>IF(H30=0,0,L30/H30)</f>
        <v>0</v>
      </c>
      <c r="O30" s="12"/>
      <c r="P30" s="3">
        <f>--140087.1</f>
        <v>140087.1</v>
      </c>
      <c r="Q30" s="3"/>
      <c r="R30" s="20">
        <f>IF(P$12=0,0,P30/P$12)</f>
        <v>0</v>
      </c>
      <c r="S30" s="3"/>
      <c r="T30" s="3">
        <f>0</f>
        <v>0</v>
      </c>
      <c r="U30" s="3"/>
      <c r="V30" s="20">
        <f>IF(T$12=0,0,T30/T$12)</f>
        <v>0</v>
      </c>
      <c r="W30" s="3"/>
      <c r="X30" s="3">
        <f>+P30-T30</f>
        <v>140087.1</v>
      </c>
      <c r="Y30" s="3"/>
      <c r="Z30" s="20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11"/>
      <c r="B32" s="28" t="s">
        <v>291</v>
      </c>
      <c r="C32" s="28"/>
      <c r="D32" s="21">
        <f>+D16-D18+D29</f>
        <v>6565.19</v>
      </c>
      <c r="E32" s="15"/>
      <c r="F32" s="23">
        <f>IF(D$12=0,0,D32/D$12)</f>
        <v>0</v>
      </c>
      <c r="G32" s="15"/>
      <c r="H32" s="21">
        <f>+H16-H18+H29</f>
        <v>107.75</v>
      </c>
      <c r="I32" s="15"/>
      <c r="J32" s="23">
        <f>IF(H$12=0,0,H32/H$12)</f>
        <v>0</v>
      </c>
      <c r="K32" s="16"/>
      <c r="L32" s="21">
        <f>+D32-H32</f>
        <v>6457.44</v>
      </c>
      <c r="M32" s="16"/>
      <c r="N32" s="23">
        <f>IF(H32=0,0,L32/H32)</f>
        <v>59.929837587006958</v>
      </c>
      <c r="O32" s="27"/>
      <c r="P32" s="21">
        <f>+P16-P18+P29</f>
        <v>131189.46000000002</v>
      </c>
      <c r="Q32" s="15"/>
      <c r="R32" s="23">
        <f>IF(P$12=0,0,P32/P$12)</f>
        <v>0</v>
      </c>
      <c r="S32" s="15"/>
      <c r="T32" s="21">
        <f>+T16-T18+T29</f>
        <v>-3180.9900000000002</v>
      </c>
      <c r="U32" s="15"/>
      <c r="V32" s="23">
        <f>IF(T$12=0,0,T32/T$12)</f>
        <v>0</v>
      </c>
      <c r="W32" s="16"/>
      <c r="X32" s="21">
        <f>+P32-T32</f>
        <v>134370.45000000001</v>
      </c>
      <c r="Y32" s="16"/>
      <c r="Z32" s="23">
        <f>IF(T32=0,0,X32/T32)</f>
        <v>-42.241707770222476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48"/>
      <c r="B34" s="11" t="s">
        <v>292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293</v>
      </c>
      <c r="C36" s="28"/>
      <c r="D36" s="34">
        <f>+D32-D34</f>
        <v>6565.19</v>
      </c>
      <c r="E36" s="15"/>
      <c r="F36" s="30">
        <f>IF(D$12=0,0,D36/D$12)</f>
        <v>0</v>
      </c>
      <c r="G36" s="15"/>
      <c r="H36" s="34">
        <f>+H32-H34</f>
        <v>107.75</v>
      </c>
      <c r="I36" s="15"/>
      <c r="J36" s="30">
        <f>IF(H$12=0,0,H36/H$12)</f>
        <v>0</v>
      </c>
      <c r="K36" s="16"/>
      <c r="L36" s="34">
        <f>D36-H36</f>
        <v>6457.44</v>
      </c>
      <c r="M36" s="16"/>
      <c r="N36" s="30">
        <f>IF(H36=0,0,L36/H36)</f>
        <v>59.929837587006958</v>
      </c>
      <c r="O36" s="27"/>
      <c r="P36" s="34">
        <f>+P32-P34</f>
        <v>131189.46000000002</v>
      </c>
      <c r="Q36" s="15"/>
      <c r="R36" s="30">
        <f>IF(P$12=0,0,P36/P$12)</f>
        <v>0</v>
      </c>
      <c r="S36" s="15"/>
      <c r="T36" s="34">
        <f>+T32-T34</f>
        <v>-3180.9900000000002</v>
      </c>
      <c r="U36" s="15"/>
      <c r="V36" s="30">
        <f>IF(T$12=0,0,T36/T$12)</f>
        <v>0</v>
      </c>
      <c r="W36" s="16"/>
      <c r="X36" s="34">
        <f>P36-T36</f>
        <v>134370.45000000001</v>
      </c>
      <c r="Y36" s="16"/>
      <c r="Z36" s="30">
        <f>IF(T36=0,0,X36/T36)</f>
        <v>-42.241707770222476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2" customFormat="1" ht="15" customHeight="1" x14ac:dyDescent="0.3">
      <c r="A39" s="11"/>
      <c r="B39" s="28" t="s">
        <v>296</v>
      </c>
      <c r="C39" s="28"/>
      <c r="D39" s="29">
        <f>SUM(D36:D38)</f>
        <v>6565.19</v>
      </c>
      <c r="E39" s="15"/>
      <c r="F39" s="35">
        <f>IF(D$12=0,0,D39/D$12)</f>
        <v>0</v>
      </c>
      <c r="G39" s="15"/>
      <c r="H39" s="29">
        <f>SUM(H36:H38)</f>
        <v>107.75</v>
      </c>
      <c r="I39" s="15"/>
      <c r="J39" s="35">
        <f>IF(H$12=0,0,H39/H$12)</f>
        <v>0</v>
      </c>
      <c r="K39" s="16"/>
      <c r="L39" s="29">
        <f>+D39-H39</f>
        <v>6457.44</v>
      </c>
      <c r="M39" s="16"/>
      <c r="N39" s="35">
        <f>IF(H39=0,0,L39/H39)</f>
        <v>59.929837587006958</v>
      </c>
      <c r="O39" s="27"/>
      <c r="P39" s="29">
        <f>SUM(P36:P38)</f>
        <v>131189.46000000002</v>
      </c>
      <c r="Q39" s="15"/>
      <c r="R39" s="35">
        <f>IF(P$12=0,0,P39/P$12)</f>
        <v>0</v>
      </c>
      <c r="S39" s="15"/>
      <c r="T39" s="29">
        <f>SUM(T36:T38)</f>
        <v>-3180.9900000000002</v>
      </c>
      <c r="U39" s="15"/>
      <c r="V39" s="35">
        <f>IF(T$12=0,0,T39/T$12)</f>
        <v>0</v>
      </c>
      <c r="W39" s="16"/>
      <c r="X39" s="29">
        <f>+P39-T39</f>
        <v>134370.45000000001</v>
      </c>
      <c r="Y39" s="16"/>
      <c r="Z39" s="35">
        <f>IF(T39=0,0,X39/T39)</f>
        <v>-42.241707770222476</v>
      </c>
    </row>
    <row r="40" spans="1:26" ht="15" customHeight="1" x14ac:dyDescent="0.3">
      <c r="A40" s="10"/>
      <c r="C40" s="10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A41" s="10"/>
      <c r="B41" s="56">
        <v>44694.890829479169</v>
      </c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3">
      <c r="A42" s="10"/>
      <c r="B42" s="52" t="s">
        <v>297</v>
      </c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  <row r="43" spans="1:26" ht="15" customHeight="1" x14ac:dyDescent="0.3">
      <c r="A43" s="10"/>
      <c r="B43" s="58"/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  <row r="44" spans="1:26" ht="15" customHeight="1" x14ac:dyDescent="0.3"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DBC8-ADAD-4F7F-00E8-7BB5770FA6B7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","424"," - ","Blair Field")</f>
        <v>Department 424 - Blair Field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479.29</v>
      </c>
      <c r="E18" s="22"/>
      <c r="F18" s="32">
        <f t="shared" ref="F18:F26" si="0">IF(D$12=0,0,D18/D$12)</f>
        <v>0</v>
      </c>
      <c r="G18" s="22"/>
      <c r="H18" s="22" cm="1">
        <f t="array" ref="H18">SUM(OSRRefH22x_0)</f>
        <v>479.29</v>
      </c>
      <c r="I18" s="22"/>
      <c r="J18" s="32">
        <f t="shared" ref="J18:J26" si="1">IF(H$12=0,0,H18/H$12)</f>
        <v>0</v>
      </c>
      <c r="K18" s="5"/>
      <c r="L18" s="22">
        <f t="shared" ref="L18:L26" si="2">+D18-H18</f>
        <v>0</v>
      </c>
      <c r="M18" s="5"/>
      <c r="N18" s="32">
        <f t="shared" ref="N18:N26" si="3">IF(H18=0,0,L18/H18)</f>
        <v>0</v>
      </c>
      <c r="O18" s="11"/>
      <c r="P18" s="22" cm="1">
        <f t="array" ref="P18">SUM(OSRRefP22x_0)</f>
        <v>5271.9</v>
      </c>
      <c r="Q18" s="22"/>
      <c r="R18" s="32">
        <f t="shared" ref="R18:R26" si="4">IF(P$12=0,0,P18/P$12)</f>
        <v>0</v>
      </c>
      <c r="S18" s="22"/>
      <c r="T18" s="22" cm="1">
        <f t="array" ref="T18">SUM(OSRRefT22x_0)</f>
        <v>6353.79</v>
      </c>
      <c r="U18" s="22"/>
      <c r="V18" s="32">
        <f t="shared" ref="V18:V26" si="5">IF(T$12=0,0,T18/T$12)</f>
        <v>0</v>
      </c>
      <c r="W18" s="5"/>
      <c r="X18" s="22">
        <f t="shared" ref="X18:X26" si="6">+P18-T18</f>
        <v>-1081.8900000000003</v>
      </c>
      <c r="Y18" s="5"/>
      <c r="Z18" s="32">
        <f t="shared" ref="Z18:Z26" si="7">IF(T18=0,0,X18/T18)</f>
        <v>-0.17027474940153833</v>
      </c>
    </row>
    <row r="19" spans="1:26" s="68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479.29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4792.8999999999996</v>
      </c>
      <c r="Q19" s="2"/>
      <c r="R19" s="6">
        <f t="shared" si="4"/>
        <v>0</v>
      </c>
      <c r="S19" s="2"/>
      <c r="T19" s="2">
        <f>SUM(OSRRefT22_0x_0)</f>
        <v>4792.8999999999996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69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479.29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4792.8999999999996</v>
      </c>
      <c r="Q20" s="3"/>
      <c r="R20" s="7">
        <f t="shared" si="4"/>
        <v>0</v>
      </c>
      <c r="S20" s="3"/>
      <c r="T20" s="8">
        <v>4792.8999999999996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68" customFormat="1" ht="15" customHeight="1" outlineLevel="1" collapsed="1" x14ac:dyDescent="0.3">
      <c r="A21" s="25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978.55</v>
      </c>
      <c r="U21" s="2"/>
      <c r="V21" s="6">
        <f t="shared" si="5"/>
        <v>0</v>
      </c>
      <c r="W21" s="2"/>
      <c r="X21" s="2">
        <f t="shared" si="6"/>
        <v>-499.54999999999995</v>
      </c>
      <c r="Y21" s="2"/>
      <c r="Z21" s="6">
        <f t="shared" si="7"/>
        <v>-0.51050022993204225</v>
      </c>
    </row>
    <row r="22" spans="1:26" s="69" customFormat="1" ht="15" hidden="1" customHeight="1" outlineLevel="2" x14ac:dyDescent="0.3">
      <c r="A22" s="26"/>
      <c r="B22" s="12" t="str">
        <f>CONCATENATE("          ","6279"," - ","GENERAL EXPENSE")</f>
        <v xml:space="preserve">          6279 - GENERAL EXPENSE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479</v>
      </c>
      <c r="Q22" s="3"/>
      <c r="R22" s="7">
        <f t="shared" si="4"/>
        <v>0</v>
      </c>
      <c r="S22" s="3"/>
      <c r="T22" s="8">
        <v>978.55</v>
      </c>
      <c r="U22" s="3"/>
      <c r="V22" s="7">
        <f t="shared" si="5"/>
        <v>0</v>
      </c>
      <c r="W22" s="3"/>
      <c r="X22" s="8">
        <f t="shared" si="6"/>
        <v>-499.54999999999995</v>
      </c>
      <c r="Y22" s="3"/>
      <c r="Z22" s="7">
        <f t="shared" si="7"/>
        <v>-0.51050022993204225</v>
      </c>
    </row>
    <row r="23" spans="1:26" s="68" customFormat="1" ht="15" customHeight="1" outlineLevel="1" collapsed="1" x14ac:dyDescent="0.3">
      <c r="A23" s="25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154.33000000000001</v>
      </c>
      <c r="U23" s="2"/>
      <c r="V23" s="6">
        <f t="shared" si="5"/>
        <v>0</v>
      </c>
      <c r="W23" s="2"/>
      <c r="X23" s="2">
        <f t="shared" si="6"/>
        <v>-154.33000000000001</v>
      </c>
      <c r="Y23" s="2"/>
      <c r="Z23" s="6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","6373"," - ","MAINTENANCE CONTRACTS")</f>
        <v xml:space="preserve">          6373 - MAINTENANCE CONTRACTS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154.33000000000001</v>
      </c>
      <c r="U24" s="3"/>
      <c r="V24" s="7">
        <f t="shared" si="5"/>
        <v>0</v>
      </c>
      <c r="W24" s="3"/>
      <c r="X24" s="8">
        <f t="shared" si="6"/>
        <v>-154.33000000000001</v>
      </c>
      <c r="Y24" s="3"/>
      <c r="Z24" s="7">
        <f t="shared" si="7"/>
        <v>-1</v>
      </c>
    </row>
    <row r="25" spans="1:26" s="68" customFormat="1" ht="15" customHeight="1" outlineLevel="1" collapsed="1" x14ac:dyDescent="0.3">
      <c r="A25" s="25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428.01</v>
      </c>
      <c r="U25" s="2"/>
      <c r="V25" s="6">
        <f t="shared" si="5"/>
        <v>0</v>
      </c>
      <c r="W25" s="2"/>
      <c r="X25" s="2">
        <f t="shared" si="6"/>
        <v>-428.01</v>
      </c>
      <c r="Y25" s="2"/>
      <c r="Z25" s="6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","6309"," - ","TELEPHONE")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428.01</v>
      </c>
      <c r="U26" s="3"/>
      <c r="V26" s="7">
        <f t="shared" si="5"/>
        <v>0</v>
      </c>
      <c r="W26" s="3"/>
      <c r="X26" s="8">
        <f t="shared" si="6"/>
        <v>-428.01</v>
      </c>
      <c r="Y26" s="3"/>
      <c r="Z26" s="7">
        <f t="shared" si="7"/>
        <v>-1</v>
      </c>
    </row>
    <row r="27" spans="1:26" s="64" customFormat="1" ht="15" customHeight="1" x14ac:dyDescent="0.3">
      <c r="A27" s="36"/>
      <c r="B27" s="36"/>
      <c r="C27" s="36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2" customFormat="1" ht="15" customHeight="1" x14ac:dyDescent="0.3">
      <c r="A28" s="11"/>
      <c r="B28" s="27" t="s">
        <v>290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2" customFormat="1" ht="15" customHeight="1" x14ac:dyDescent="0.3">
      <c r="A30" s="11"/>
      <c r="B30" s="28" t="s">
        <v>291</v>
      </c>
      <c r="C30" s="28"/>
      <c r="D30" s="21">
        <f>+D16-D18+D28</f>
        <v>-479.29</v>
      </c>
      <c r="E30" s="15"/>
      <c r="F30" s="23">
        <f>IF(D$12=0,0,D30/D$12)</f>
        <v>0</v>
      </c>
      <c r="G30" s="15"/>
      <c r="H30" s="21">
        <f>+H16-H18+H28</f>
        <v>-479.29</v>
      </c>
      <c r="I30" s="15"/>
      <c r="J30" s="23">
        <f>IF(H$12=0,0,H30/H$12)</f>
        <v>0</v>
      </c>
      <c r="K30" s="16"/>
      <c r="L30" s="21">
        <f>+D30-H30</f>
        <v>0</v>
      </c>
      <c r="M30" s="16"/>
      <c r="N30" s="23">
        <f>IF(H30=0,0,L30/H30)</f>
        <v>0</v>
      </c>
      <c r="O30" s="27"/>
      <c r="P30" s="21">
        <f>+P16-P18+P28</f>
        <v>-5271.9</v>
      </c>
      <c r="Q30" s="15"/>
      <c r="R30" s="23">
        <f>IF(P$12=0,0,P30/P$12)</f>
        <v>0</v>
      </c>
      <c r="S30" s="15"/>
      <c r="T30" s="21">
        <f>+T16-T18+T28</f>
        <v>-6353.79</v>
      </c>
      <c r="U30" s="15"/>
      <c r="V30" s="23">
        <f>IF(T$12=0,0,T30/T$12)</f>
        <v>0</v>
      </c>
      <c r="W30" s="16"/>
      <c r="X30" s="21">
        <f>+P30-T30</f>
        <v>1081.8900000000003</v>
      </c>
      <c r="Y30" s="16"/>
      <c r="Z30" s="23">
        <f>IF(T30=0,0,X30/T30)</f>
        <v>-0.17027474940153833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2" customFormat="1" ht="15" customHeight="1" x14ac:dyDescent="0.3">
      <c r="A32" s="48"/>
      <c r="B32" s="11" t="s">
        <v>292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2" customFormat="1" ht="15" customHeight="1" x14ac:dyDescent="0.3">
      <c r="A34" s="11"/>
      <c r="B34" s="28" t="s">
        <v>293</v>
      </c>
      <c r="C34" s="28"/>
      <c r="D34" s="34">
        <f>+D30-D32</f>
        <v>-479.29</v>
      </c>
      <c r="E34" s="15"/>
      <c r="F34" s="30">
        <f>IF(D$12=0,0,D34/D$12)</f>
        <v>0</v>
      </c>
      <c r="G34" s="15"/>
      <c r="H34" s="34">
        <f>+H30-H32</f>
        <v>-479.29</v>
      </c>
      <c r="I34" s="15"/>
      <c r="J34" s="30">
        <f>IF(H$12=0,0,H34/H$12)</f>
        <v>0</v>
      </c>
      <c r="K34" s="16"/>
      <c r="L34" s="34">
        <f>D34-H34</f>
        <v>0</v>
      </c>
      <c r="M34" s="16"/>
      <c r="N34" s="30">
        <f>IF(H34=0,0,L34/H34)</f>
        <v>0</v>
      </c>
      <c r="O34" s="27"/>
      <c r="P34" s="34">
        <f>+P30-P32</f>
        <v>-5271.9</v>
      </c>
      <c r="Q34" s="15"/>
      <c r="R34" s="30">
        <f>IF(P$12=0,0,P34/P$12)</f>
        <v>0</v>
      </c>
      <c r="S34" s="15"/>
      <c r="T34" s="34">
        <f>+T30-T32</f>
        <v>-6353.79</v>
      </c>
      <c r="U34" s="15"/>
      <c r="V34" s="30">
        <f>IF(T$12=0,0,T34/T$12)</f>
        <v>0</v>
      </c>
      <c r="W34" s="16"/>
      <c r="X34" s="34">
        <f>P34-T34</f>
        <v>1081.8900000000003</v>
      </c>
      <c r="Y34" s="16"/>
      <c r="Z34" s="30">
        <f>IF(T34=0,0,X34/T34)</f>
        <v>-0.17027474940153833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2" customFormat="1" ht="15" customHeight="1" x14ac:dyDescent="0.3">
      <c r="A37" s="11"/>
      <c r="B37" s="28" t="s">
        <v>296</v>
      </c>
      <c r="C37" s="28"/>
      <c r="D37" s="29">
        <f>SUM(D34:D36)</f>
        <v>-479.29</v>
      </c>
      <c r="E37" s="15"/>
      <c r="F37" s="35">
        <f>IF(D$12=0,0,D37/D$12)</f>
        <v>0</v>
      </c>
      <c r="G37" s="15"/>
      <c r="H37" s="29">
        <f>SUM(H34:H36)</f>
        <v>-479.29</v>
      </c>
      <c r="I37" s="15"/>
      <c r="J37" s="35">
        <f>IF(H$12=0,0,H37/H$12)</f>
        <v>0</v>
      </c>
      <c r="K37" s="16"/>
      <c r="L37" s="29">
        <f>+D37-H37</f>
        <v>0</v>
      </c>
      <c r="M37" s="16"/>
      <c r="N37" s="35">
        <f>IF(H37=0,0,L37/H37)</f>
        <v>0</v>
      </c>
      <c r="O37" s="27"/>
      <c r="P37" s="29">
        <f>SUM(P34:P36)</f>
        <v>-5271.9</v>
      </c>
      <c r="Q37" s="15"/>
      <c r="R37" s="35">
        <f>IF(P$12=0,0,P37/P$12)</f>
        <v>0</v>
      </c>
      <c r="S37" s="15"/>
      <c r="T37" s="29">
        <f>SUM(T34:T36)</f>
        <v>-6353.79</v>
      </c>
      <c r="U37" s="15"/>
      <c r="V37" s="35">
        <f>IF(T$12=0,0,T37/T$12)</f>
        <v>0</v>
      </c>
      <c r="W37" s="16"/>
      <c r="X37" s="29">
        <f>+P37-T37</f>
        <v>1081.8900000000003</v>
      </c>
      <c r="Y37" s="16"/>
      <c r="Z37" s="35">
        <f>IF(T37=0,0,X37/T37)</f>
        <v>-0.17027474940153833</v>
      </c>
    </row>
    <row r="38" spans="1:26" ht="15" customHeight="1" x14ac:dyDescent="0.3">
      <c r="A38" s="10"/>
      <c r="C38" s="10"/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6">
        <v>44694.890829479169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2" t="s">
        <v>297</v>
      </c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A41" s="10"/>
      <c r="B41" s="58"/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3"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79D83-F416-4A4A-BAF2-74F7FE0E869E}">
  <sheetPr>
    <tabColor rgb="FF92D050"/>
    <outlinePr summaryBelow="0" summaryRight="0"/>
  </sheetPr>
  <dimension ref="A2:Z5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","425"," - ","Events Center")</f>
        <v>Department 425 - Events Center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7381.41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7381.41</v>
      </c>
      <c r="M12" s="5"/>
      <c r="N12" s="13">
        <f>IF(H12=0,0,L12/H12)</f>
        <v>0</v>
      </c>
      <c r="O12" s="11"/>
      <c r="P12" s="5">
        <f>SUM(OSRRefP13x_0)</f>
        <v>24251.84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24251.84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--7381.41</f>
        <v>7381.41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7381.41</v>
      </c>
      <c r="M13" s="3"/>
      <c r="N13" s="20">
        <f>IF(H13=0,0,L13/H13)</f>
        <v>0</v>
      </c>
      <c r="O13" s="12"/>
      <c r="P13" s="3">
        <f>--24251.84</f>
        <v>24251.84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24251.84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>
        <f>SUM(OSRRefD16x_0)</f>
        <v>2943.94</v>
      </c>
      <c r="E15" s="5"/>
      <c r="F15" s="13">
        <f>IF(D$12=0,0,D15/D$12)</f>
        <v>0.39883165953388311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2943.94</v>
      </c>
      <c r="M15" s="5"/>
      <c r="N15" s="13">
        <f>IF(H15=0,0,L15/H15)</f>
        <v>0</v>
      </c>
      <c r="O15" s="11"/>
      <c r="P15" s="5">
        <f>SUM(OSRRefP16x_0)</f>
        <v>10512.19</v>
      </c>
      <c r="Q15" s="5"/>
      <c r="R15" s="13">
        <f>IF(P$12=0,0,P15/P$12)</f>
        <v>0.43345948183725441</v>
      </c>
      <c r="S15" s="5"/>
      <c r="T15" s="5">
        <f>SUM(OSRRefT16x_0)</f>
        <v>-6593.4</v>
      </c>
      <c r="U15" s="5"/>
      <c r="V15" s="13">
        <f>IF(T$12=0,0,T15/T$12)</f>
        <v>0</v>
      </c>
      <c r="W15" s="5"/>
      <c r="X15" s="5">
        <f>+P15-T15</f>
        <v>17105.59</v>
      </c>
      <c r="Y15" s="5"/>
      <c r="Z15" s="13">
        <f>IF(T15=0,0,X15/T15)</f>
        <v>-2.5943504110170776</v>
      </c>
    </row>
    <row r="16" spans="1:26" s="69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2943.94</v>
      </c>
      <c r="E16" s="3"/>
      <c r="F16" s="20">
        <f>IF(D$12=0,0,D16/D$12)</f>
        <v>0.39883165953388311</v>
      </c>
      <c r="G16" s="3"/>
      <c r="H16" s="3"/>
      <c r="I16" s="3"/>
      <c r="J16" s="20">
        <f>IF(H$12=0,0,H16/H$12)</f>
        <v>0</v>
      </c>
      <c r="K16" s="3"/>
      <c r="L16" s="3">
        <f>+D16-H16</f>
        <v>2943.94</v>
      </c>
      <c r="M16" s="3"/>
      <c r="N16" s="20">
        <f>IF(H16=0,0,L16/H16)</f>
        <v>0</v>
      </c>
      <c r="O16" s="12"/>
      <c r="P16" s="3">
        <v>10512.19</v>
      </c>
      <c r="Q16" s="3"/>
      <c r="R16" s="20">
        <f>IF(P$12=0,0,P16/P$12)</f>
        <v>0.43345948183725441</v>
      </c>
      <c r="S16" s="3"/>
      <c r="T16" s="3">
        <v>-6593.4</v>
      </c>
      <c r="U16" s="3"/>
      <c r="V16" s="20">
        <f>IF(T$12=0,0,T16/T$12)</f>
        <v>0</v>
      </c>
      <c r="W16" s="3"/>
      <c r="X16" s="3">
        <f>+P16-T16</f>
        <v>17105.59</v>
      </c>
      <c r="Y16" s="3"/>
      <c r="Z16" s="20">
        <f>IF(T16=0,0,X16/T16)</f>
        <v>-2.5943504110170776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>
        <f>D12-D15</f>
        <v>4437.4699999999993</v>
      </c>
      <c r="E18" s="15"/>
      <c r="F18" s="23">
        <f>IF(D$12=0,0,D18/D$12)</f>
        <v>0.60116834046611678</v>
      </c>
      <c r="G18" s="15"/>
      <c r="H18" s="21">
        <f>H12-H15</f>
        <v>0</v>
      </c>
      <c r="I18" s="15"/>
      <c r="J18" s="23">
        <f>IF(H$12=0,0,H18/H$12)</f>
        <v>0</v>
      </c>
      <c r="K18" s="16"/>
      <c r="L18" s="21">
        <f>+D18-H18</f>
        <v>4437.4699999999993</v>
      </c>
      <c r="M18" s="16"/>
      <c r="N18" s="23">
        <f>IF(H18=0,0,L18/H18)</f>
        <v>0</v>
      </c>
      <c r="O18" s="27"/>
      <c r="P18" s="21">
        <f>P12-P15</f>
        <v>13739.65</v>
      </c>
      <c r="Q18" s="15"/>
      <c r="R18" s="23">
        <f>IF(P$12=0,0,P18/P$12)</f>
        <v>0.56654051816274553</v>
      </c>
      <c r="S18" s="15"/>
      <c r="T18" s="21">
        <f>T12-T15</f>
        <v>6593.4</v>
      </c>
      <c r="U18" s="15"/>
      <c r="V18" s="23">
        <f>IF(T$12=0,0,T18/T$12)</f>
        <v>0</v>
      </c>
      <c r="W18" s="16"/>
      <c r="X18" s="21">
        <f>+P18-T18</f>
        <v>7146.25</v>
      </c>
      <c r="Y18" s="16"/>
      <c r="Z18" s="23">
        <f>IF(T18=0,0,X18/T18)</f>
        <v>1.0838490005156673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cm="1">
        <f t="array" ref="D20">SUM(OSRRefD22x_0)</f>
        <v>3127.63</v>
      </c>
      <c r="E20" s="22"/>
      <c r="F20" s="32">
        <f t="shared" ref="F20:F43" si="0">IF(D$12=0,0,D20/D$12)</f>
        <v>0.42371714889160744</v>
      </c>
      <c r="G20" s="22"/>
      <c r="H20" s="22" cm="1">
        <f t="array" ref="H20">SUM(OSRRefH22x_0)</f>
        <v>1000.91</v>
      </c>
      <c r="I20" s="22"/>
      <c r="J20" s="32">
        <f t="shared" ref="J20:J43" si="1">IF(H$12=0,0,H20/H$12)</f>
        <v>0</v>
      </c>
      <c r="K20" s="5"/>
      <c r="L20" s="22">
        <f t="shared" ref="L20:L43" si="2">+D20-H20</f>
        <v>2126.7200000000003</v>
      </c>
      <c r="M20" s="5"/>
      <c r="N20" s="32">
        <f t="shared" ref="N20:N43" si="3">IF(H20=0,0,L20/H20)</f>
        <v>2.1247864443356548</v>
      </c>
      <c r="O20" s="11"/>
      <c r="P20" s="22" cm="1">
        <f t="array" ref="P20">SUM(OSRRefP22x_0)</f>
        <v>21737.87</v>
      </c>
      <c r="Q20" s="22"/>
      <c r="R20" s="32">
        <f t="shared" ref="R20:R43" si="4">IF(P$12=0,0,P20/P$12)</f>
        <v>0.8963389994326203</v>
      </c>
      <c r="S20" s="22"/>
      <c r="T20" s="22" cm="1">
        <f t="array" ref="T20">SUM(OSRRefT22x_0)</f>
        <v>13637.779999999999</v>
      </c>
      <c r="U20" s="22"/>
      <c r="V20" s="32">
        <f t="shared" ref="V20:V43" si="5">IF(T$12=0,0,T20/T$12)</f>
        <v>0</v>
      </c>
      <c r="W20" s="5"/>
      <c r="X20" s="22">
        <f t="shared" ref="X20:X43" si="6">+P20-T20</f>
        <v>8100.09</v>
      </c>
      <c r="Y20" s="5"/>
      <c r="Z20" s="32">
        <f t="shared" ref="Z20:Z43" si="7">IF(T20=0,0,X20/T20)</f>
        <v>0.5939449089221267</v>
      </c>
    </row>
    <row r="21" spans="1:26" s="68" customFormat="1" ht="15" customHeight="1" outlineLevel="1" collapsed="1" x14ac:dyDescent="0.3">
      <c r="A21" s="25"/>
      <c r="B21" s="14" t="str">
        <f>CONCATENATE("     ","*Benefits                                         ")</f>
        <v xml:space="preserve">     *Benefits                                         </v>
      </c>
      <c r="C21" s="14"/>
      <c r="D21" s="2">
        <f>SUM(OSRRefD22_0x_0)</f>
        <v>0</v>
      </c>
      <c r="E21" s="2"/>
      <c r="F21" s="6">
        <f t="shared" si="0"/>
        <v>0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SUM(OSRRefP22_0x_0)</f>
        <v>0</v>
      </c>
      <c r="Q21" s="2"/>
      <c r="R21" s="6">
        <f t="shared" si="4"/>
        <v>0</v>
      </c>
      <c r="S21" s="2"/>
      <c r="T21" s="2">
        <f>SUM(OSRRefT22_0x_0)</f>
        <v>1420.5</v>
      </c>
      <c r="U21" s="2"/>
      <c r="V21" s="6">
        <f t="shared" si="5"/>
        <v>0</v>
      </c>
      <c r="W21" s="2"/>
      <c r="X21" s="2">
        <f t="shared" si="6"/>
        <v>-1420.5</v>
      </c>
      <c r="Y21" s="2"/>
      <c r="Z21" s="6">
        <f t="shared" si="7"/>
        <v>-1</v>
      </c>
    </row>
    <row r="22" spans="1:26" s="69" customFormat="1" ht="15" hidden="1" customHeight="1" outlineLevel="2" x14ac:dyDescent="0.3">
      <c r="A22" s="26"/>
      <c r="B22" s="12" t="str">
        <f>CONCATENATE("          ","6111"," - ","F.I.C.A.")</f>
        <v xml:space="preserve">          6111 - F.I.C.A.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171.54</v>
      </c>
      <c r="U22" s="3"/>
      <c r="V22" s="7">
        <f t="shared" si="5"/>
        <v>0</v>
      </c>
      <c r="W22" s="3"/>
      <c r="X22" s="8">
        <f t="shared" si="6"/>
        <v>-171.54</v>
      </c>
      <c r="Y22" s="3"/>
      <c r="Z22" s="7">
        <f t="shared" si="7"/>
        <v>-1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/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699.3</v>
      </c>
      <c r="U23" s="3"/>
      <c r="V23" s="7">
        <f t="shared" si="5"/>
        <v>0</v>
      </c>
      <c r="W23" s="3"/>
      <c r="X23" s="8">
        <f t="shared" si="6"/>
        <v>-699.3</v>
      </c>
      <c r="Y23" s="3"/>
      <c r="Z23" s="7">
        <f t="shared" si="7"/>
        <v>-1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355.22</v>
      </c>
      <c r="U24" s="3"/>
      <c r="V24" s="7">
        <f t="shared" si="5"/>
        <v>0</v>
      </c>
      <c r="W24" s="3"/>
      <c r="X24" s="8">
        <f t="shared" si="6"/>
        <v>-355.22</v>
      </c>
      <c r="Y24" s="3"/>
      <c r="Z24" s="7">
        <f t="shared" si="7"/>
        <v>-1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/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88.46</v>
      </c>
      <c r="U25" s="3"/>
      <c r="V25" s="7">
        <f t="shared" si="5"/>
        <v>0</v>
      </c>
      <c r="W25" s="3"/>
      <c r="X25" s="8">
        <f t="shared" si="6"/>
        <v>-88.46</v>
      </c>
      <c r="Y25" s="3"/>
      <c r="Z25" s="7">
        <f t="shared" si="7"/>
        <v>-1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105.98</v>
      </c>
      <c r="U26" s="3"/>
      <c r="V26" s="7">
        <f t="shared" si="5"/>
        <v>0</v>
      </c>
      <c r="W26" s="3"/>
      <c r="X26" s="8">
        <f t="shared" si="6"/>
        <v>-105.98</v>
      </c>
      <c r="Y26" s="3"/>
      <c r="Z26" s="7">
        <f t="shared" si="7"/>
        <v>-1</v>
      </c>
    </row>
    <row r="27" spans="1:26" s="68" customFormat="1" ht="15" customHeight="1" outlineLevel="1" collapsed="1" x14ac:dyDescent="0.3">
      <c r="A27" s="25"/>
      <c r="B27" s="14" t="str">
        <f>CONCATENATE("     ","*Payroll                                          ")</f>
        <v xml:space="preserve">     *Payroll                                          </v>
      </c>
      <c r="C27" s="14"/>
      <c r="D27" s="2">
        <f>SUM(OSRRefD22_1x_0)</f>
        <v>0</v>
      </c>
      <c r="E27" s="2"/>
      <c r="F27" s="6">
        <f t="shared" si="0"/>
        <v>0</v>
      </c>
      <c r="G27" s="2"/>
      <c r="H27" s="2">
        <f>SUM(OSRRefH22_1x_0)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SUM(OSRRefP22_1x_0)</f>
        <v>0</v>
      </c>
      <c r="Q27" s="2"/>
      <c r="R27" s="6">
        <f t="shared" si="4"/>
        <v>0</v>
      </c>
      <c r="S27" s="2"/>
      <c r="T27" s="2">
        <f>SUM(OSRRefT22_1x_0)</f>
        <v>1378.61</v>
      </c>
      <c r="U27" s="2"/>
      <c r="V27" s="6">
        <f t="shared" si="5"/>
        <v>0</v>
      </c>
      <c r="W27" s="2"/>
      <c r="X27" s="2">
        <f t="shared" si="6"/>
        <v>-1378.61</v>
      </c>
      <c r="Y27" s="2"/>
      <c r="Z27" s="6">
        <f t="shared" si="7"/>
        <v>-1</v>
      </c>
    </row>
    <row r="28" spans="1:26" s="69" customFormat="1" ht="15" hidden="1" customHeight="1" outlineLevel="2" x14ac:dyDescent="0.3">
      <c r="A28" s="26"/>
      <c r="B28" s="12" t="str">
        <f>CONCATENATE("          ","6002"," - ","STAFF SALARIES")</f>
        <v xml:space="preserve">          6002 - STAFF SALARIES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1378.61</v>
      </c>
      <c r="U28" s="3"/>
      <c r="V28" s="7">
        <f t="shared" si="5"/>
        <v>0</v>
      </c>
      <c r="W28" s="3"/>
      <c r="X28" s="8">
        <f t="shared" si="6"/>
        <v>-1378.61</v>
      </c>
      <c r="Y28" s="3"/>
      <c r="Z28" s="7">
        <f t="shared" si="7"/>
        <v>-1</v>
      </c>
    </row>
    <row r="29" spans="1:26" s="68" customFormat="1" ht="15" customHeight="1" outlineLevel="1" collapsed="1" x14ac:dyDescent="0.3">
      <c r="A29" s="25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SUM(OSRRefD22_2x_0)</f>
        <v>181.37</v>
      </c>
      <c r="E29" s="2"/>
      <c r="F29" s="6">
        <f t="shared" si="0"/>
        <v>2.4571186263870996E-2</v>
      </c>
      <c r="G29" s="2"/>
      <c r="H29" s="2">
        <f>SUM(OSRRefH22_2x_0)</f>
        <v>0</v>
      </c>
      <c r="I29" s="2"/>
      <c r="J29" s="6">
        <f t="shared" si="1"/>
        <v>0</v>
      </c>
      <c r="K29" s="2"/>
      <c r="L29" s="2">
        <f t="shared" si="2"/>
        <v>181.37</v>
      </c>
      <c r="M29" s="2"/>
      <c r="N29" s="6">
        <f t="shared" si="3"/>
        <v>0</v>
      </c>
      <c r="O29" s="14"/>
      <c r="P29" s="2">
        <f>SUM(OSRRefP22_2x_0)</f>
        <v>494.45</v>
      </c>
      <c r="Q29" s="2"/>
      <c r="R29" s="6">
        <f t="shared" si="4"/>
        <v>2.0388143744969452E-2</v>
      </c>
      <c r="S29" s="2"/>
      <c r="T29" s="2">
        <f>SUM(OSRRefT22_2x_0)</f>
        <v>0</v>
      </c>
      <c r="U29" s="2"/>
      <c r="V29" s="6">
        <f t="shared" si="5"/>
        <v>0</v>
      </c>
      <c r="W29" s="2"/>
      <c r="X29" s="2">
        <f t="shared" si="6"/>
        <v>494.45</v>
      </c>
      <c r="Y29" s="2"/>
      <c r="Z29" s="6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","6381"," - ","BANK/CREDIT CARD FEES")</f>
        <v xml:space="preserve">          6381 - BANK/CREDIT CARD FEES</v>
      </c>
      <c r="C30" s="12"/>
      <c r="D30" s="8">
        <v>181.37</v>
      </c>
      <c r="E30" s="3"/>
      <c r="F30" s="7">
        <f t="shared" si="0"/>
        <v>2.4571186263870996E-2</v>
      </c>
      <c r="G30" s="3"/>
      <c r="H30" s="8"/>
      <c r="I30" s="3"/>
      <c r="J30" s="7">
        <f t="shared" si="1"/>
        <v>0</v>
      </c>
      <c r="K30" s="3"/>
      <c r="L30" s="8">
        <f t="shared" si="2"/>
        <v>181.37</v>
      </c>
      <c r="M30" s="3"/>
      <c r="N30" s="7">
        <f t="shared" si="3"/>
        <v>0</v>
      </c>
      <c r="O30" s="12"/>
      <c r="P30" s="8">
        <v>494.45</v>
      </c>
      <c r="Q30" s="3"/>
      <c r="R30" s="7">
        <f t="shared" si="4"/>
        <v>2.0388143744969452E-2</v>
      </c>
      <c r="S30" s="3"/>
      <c r="T30" s="8"/>
      <c r="U30" s="3"/>
      <c r="V30" s="7">
        <f t="shared" si="5"/>
        <v>0</v>
      </c>
      <c r="W30" s="3"/>
      <c r="X30" s="8">
        <f t="shared" si="6"/>
        <v>494.45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","Depreciation                                      ")</f>
        <v xml:space="preserve">     Depreciation                                      </v>
      </c>
      <c r="C31" s="14"/>
      <c r="D31" s="2">
        <f>SUM(OSRRefD22_3x_0)</f>
        <v>1000.91</v>
      </c>
      <c r="E31" s="2"/>
      <c r="F31" s="6">
        <f t="shared" si="0"/>
        <v>0.1355987541675642</v>
      </c>
      <c r="G31" s="2"/>
      <c r="H31" s="2">
        <f>SUM(OSRRefH22_3x_0)</f>
        <v>1000.91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SUM(OSRRefP22_3x_0)</f>
        <v>10009.1</v>
      </c>
      <c r="Q31" s="2"/>
      <c r="R31" s="6">
        <f t="shared" si="4"/>
        <v>0.41271507646430128</v>
      </c>
      <c r="S31" s="2"/>
      <c r="T31" s="2">
        <f>SUM(OSRRefT22_3x_0)</f>
        <v>10009.1</v>
      </c>
      <c r="U31" s="2"/>
      <c r="V31" s="6">
        <f t="shared" si="5"/>
        <v>0</v>
      </c>
      <c r="W31" s="2"/>
      <c r="X31" s="2">
        <f t="shared" si="6"/>
        <v>0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","6322"," - ","EQUIPMENT DEPRECIATION EXPENSE")</f>
        <v xml:space="preserve">          6322 - EQUIPMENT DEPRECIATION EXPENSE</v>
      </c>
      <c r="C32" s="12"/>
      <c r="D32" s="8">
        <v>1000.91</v>
      </c>
      <c r="E32" s="3"/>
      <c r="F32" s="7">
        <f t="shared" si="0"/>
        <v>0.1355987541675642</v>
      </c>
      <c r="G32" s="3"/>
      <c r="H32" s="8">
        <v>1000.91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10009.1</v>
      </c>
      <c r="Q32" s="3"/>
      <c r="R32" s="7">
        <f t="shared" si="4"/>
        <v>0.41271507646430128</v>
      </c>
      <c r="S32" s="3"/>
      <c r="T32" s="8">
        <v>10009.1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","General                                           ")</f>
        <v xml:space="preserve">     General                                           </v>
      </c>
      <c r="C33" s="14"/>
      <c r="D33" s="2">
        <f>SUM(OSRRefD22_4x_0)</f>
        <v>100</v>
      </c>
      <c r="E33" s="2"/>
      <c r="F33" s="6">
        <f t="shared" si="0"/>
        <v>1.3547547148850965E-2</v>
      </c>
      <c r="G33" s="2"/>
      <c r="H33" s="2">
        <f>SUM(OSRRefH22_4x_0)</f>
        <v>0</v>
      </c>
      <c r="I33" s="2"/>
      <c r="J33" s="6">
        <f t="shared" si="1"/>
        <v>0</v>
      </c>
      <c r="K33" s="2"/>
      <c r="L33" s="2">
        <f t="shared" si="2"/>
        <v>100</v>
      </c>
      <c r="M33" s="2"/>
      <c r="N33" s="6">
        <f t="shared" si="3"/>
        <v>0</v>
      </c>
      <c r="O33" s="14"/>
      <c r="P33" s="2">
        <f>SUM(OSRRefP22_4x_0)</f>
        <v>5055</v>
      </c>
      <c r="Q33" s="2"/>
      <c r="R33" s="6">
        <f t="shared" si="4"/>
        <v>0.20843779276129151</v>
      </c>
      <c r="S33" s="2"/>
      <c r="T33" s="2">
        <f>SUM(OSRRefT22_4x_0)</f>
        <v>455</v>
      </c>
      <c r="U33" s="2"/>
      <c r="V33" s="6">
        <f t="shared" si="5"/>
        <v>0</v>
      </c>
      <c r="W33" s="2"/>
      <c r="X33" s="2">
        <f t="shared" si="6"/>
        <v>4600</v>
      </c>
      <c r="Y33" s="2"/>
      <c r="Z33" s="6">
        <f t="shared" si="7"/>
        <v>10.109890109890109</v>
      </c>
    </row>
    <row r="34" spans="1:26" s="69" customFormat="1" ht="15" hidden="1" customHeight="1" outlineLevel="2" x14ac:dyDescent="0.3">
      <c r="A34" s="26"/>
      <c r="B34" s="12" t="str">
        <f>CONCATENATE("          ","6279"," - ","GENERAL EXPENSE")</f>
        <v xml:space="preserve">          6279 - GENERAL EXPENSE</v>
      </c>
      <c r="C34" s="12"/>
      <c r="D34" s="8">
        <v>100</v>
      </c>
      <c r="E34" s="3"/>
      <c r="F34" s="7">
        <f t="shared" si="0"/>
        <v>1.3547547148850965E-2</v>
      </c>
      <c r="G34" s="3"/>
      <c r="H34" s="8"/>
      <c r="I34" s="3"/>
      <c r="J34" s="7">
        <f t="shared" si="1"/>
        <v>0</v>
      </c>
      <c r="K34" s="3"/>
      <c r="L34" s="8">
        <f t="shared" si="2"/>
        <v>100</v>
      </c>
      <c r="M34" s="3"/>
      <c r="N34" s="7">
        <f t="shared" si="3"/>
        <v>0</v>
      </c>
      <c r="O34" s="12"/>
      <c r="P34" s="8">
        <v>5055</v>
      </c>
      <c r="Q34" s="3"/>
      <c r="R34" s="7">
        <f t="shared" si="4"/>
        <v>0.20843779276129151</v>
      </c>
      <c r="S34" s="3"/>
      <c r="T34" s="8">
        <v>455</v>
      </c>
      <c r="U34" s="3"/>
      <c r="V34" s="7">
        <f t="shared" si="5"/>
        <v>0</v>
      </c>
      <c r="W34" s="3"/>
      <c r="X34" s="8">
        <f t="shared" si="6"/>
        <v>4600</v>
      </c>
      <c r="Y34" s="3"/>
      <c r="Z34" s="7">
        <f t="shared" si="7"/>
        <v>10.109890109890109</v>
      </c>
    </row>
    <row r="35" spans="1:26" s="68" customFormat="1" ht="15" customHeight="1" outlineLevel="1" collapsed="1" x14ac:dyDescent="0.3">
      <c r="A35" s="25"/>
      <c r="B35" s="14" t="str">
        <f>CONCATENATE("     ","Repair and Maintenance                            ")</f>
        <v xml:space="preserve">     Repair and Maintenance                            </v>
      </c>
      <c r="C35" s="14"/>
      <c r="D35" s="2">
        <f>SUM(OSRRefD22_5x_0)</f>
        <v>0</v>
      </c>
      <c r="E35" s="2"/>
      <c r="F35" s="6">
        <f t="shared" si="0"/>
        <v>0</v>
      </c>
      <c r="G35" s="2"/>
      <c r="H35" s="2">
        <f>SUM(OSRRefH22_5x_0)</f>
        <v>0</v>
      </c>
      <c r="I35" s="2"/>
      <c r="J35" s="6">
        <f t="shared" si="1"/>
        <v>0</v>
      </c>
      <c r="K35" s="2"/>
      <c r="L35" s="2">
        <f t="shared" si="2"/>
        <v>0</v>
      </c>
      <c r="M35" s="2"/>
      <c r="N35" s="6">
        <f t="shared" si="3"/>
        <v>0</v>
      </c>
      <c r="O35" s="14"/>
      <c r="P35" s="2">
        <f>SUM(OSRRefP22_5x_0)</f>
        <v>0</v>
      </c>
      <c r="Q35" s="2"/>
      <c r="R35" s="6">
        <f t="shared" si="4"/>
        <v>0</v>
      </c>
      <c r="S35" s="2"/>
      <c r="T35" s="2">
        <f>SUM(OSRRefT22_5x_0)</f>
        <v>242.03</v>
      </c>
      <c r="U35" s="2"/>
      <c r="V35" s="6">
        <f t="shared" si="5"/>
        <v>0</v>
      </c>
      <c r="W35" s="2"/>
      <c r="X35" s="2">
        <f t="shared" si="6"/>
        <v>-242.03</v>
      </c>
      <c r="Y35" s="2"/>
      <c r="Z35" s="6">
        <f t="shared" si="7"/>
        <v>-1</v>
      </c>
    </row>
    <row r="36" spans="1:26" s="69" customFormat="1" ht="15" hidden="1" customHeight="1" outlineLevel="2" x14ac:dyDescent="0.3">
      <c r="A36" s="26"/>
      <c r="B36" s="12" t="str">
        <f>CONCATENATE("          ","6373"," - ","MAINTENANCE CONTRACTS")</f>
        <v xml:space="preserve">          6373 - MAINTENANCE CONTRACTS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235.8</v>
      </c>
      <c r="U36" s="3"/>
      <c r="V36" s="7">
        <f t="shared" si="5"/>
        <v>0</v>
      </c>
      <c r="W36" s="3"/>
      <c r="X36" s="8">
        <f t="shared" si="6"/>
        <v>-235.8</v>
      </c>
      <c r="Y36" s="3"/>
      <c r="Z36" s="7">
        <f t="shared" si="7"/>
        <v>-1</v>
      </c>
    </row>
    <row r="37" spans="1:26" s="69" customFormat="1" ht="15" hidden="1" customHeight="1" outlineLevel="2" x14ac:dyDescent="0.3">
      <c r="A37" s="26"/>
      <c r="B37" s="12" t="str">
        <f>CONCATENATE("          ","6375"," - ","OUTSIDE REPAIRS &amp; MAINTENANCE")</f>
        <v xml:space="preserve">          6375 - OUTSIDE REPAIRS &amp; MAINTENANCE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6.23</v>
      </c>
      <c r="U37" s="3"/>
      <c r="V37" s="7">
        <f t="shared" si="5"/>
        <v>0</v>
      </c>
      <c r="W37" s="3"/>
      <c r="X37" s="8">
        <f t="shared" si="6"/>
        <v>-6.23</v>
      </c>
      <c r="Y37" s="3"/>
      <c r="Z37" s="7">
        <f t="shared" si="7"/>
        <v>-1</v>
      </c>
    </row>
    <row r="38" spans="1:26" s="68" customFormat="1" ht="15" customHeight="1" outlineLevel="1" collapsed="1" x14ac:dyDescent="0.3">
      <c r="A38" s="25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2">
        <f>SUM(OSRRefD22_6x_0)</f>
        <v>1845.35</v>
      </c>
      <c r="E38" s="2"/>
      <c r="F38" s="6">
        <f t="shared" si="0"/>
        <v>0.24999966131132126</v>
      </c>
      <c r="G38" s="2"/>
      <c r="H38" s="2">
        <f>SUM(OSRRefH22_6x_0)</f>
        <v>0</v>
      </c>
      <c r="I38" s="2"/>
      <c r="J38" s="6">
        <f t="shared" si="1"/>
        <v>0</v>
      </c>
      <c r="K38" s="2"/>
      <c r="L38" s="2">
        <f t="shared" si="2"/>
        <v>1845.35</v>
      </c>
      <c r="M38" s="2"/>
      <c r="N38" s="6">
        <f t="shared" si="3"/>
        <v>0</v>
      </c>
      <c r="O38" s="14"/>
      <c r="P38" s="2">
        <f>SUM(OSRRefP22_6x_0)</f>
        <v>6063.06</v>
      </c>
      <c r="Q38" s="2"/>
      <c r="R38" s="6">
        <f t="shared" si="4"/>
        <v>0.25000412339847206</v>
      </c>
      <c r="S38" s="2"/>
      <c r="T38" s="2">
        <f>SUM(OSRRefT22_6x_0)</f>
        <v>0</v>
      </c>
      <c r="U38" s="2"/>
      <c r="V38" s="6">
        <f t="shared" si="5"/>
        <v>0</v>
      </c>
      <c r="W38" s="2"/>
      <c r="X38" s="2">
        <f t="shared" si="6"/>
        <v>6063.06</v>
      </c>
      <c r="Y38" s="2"/>
      <c r="Z38" s="6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","6254"," - ","ROYALTY &amp; COMMISSIONS")</f>
        <v xml:space="preserve">          6254 - ROYALTY &amp; COMMISSIONS</v>
      </c>
      <c r="C39" s="12"/>
      <c r="D39" s="8">
        <v>1845.35</v>
      </c>
      <c r="E39" s="3"/>
      <c r="F39" s="7">
        <f t="shared" si="0"/>
        <v>0.24999966131132126</v>
      </c>
      <c r="G39" s="3"/>
      <c r="H39" s="8"/>
      <c r="I39" s="3"/>
      <c r="J39" s="7">
        <f t="shared" si="1"/>
        <v>0</v>
      </c>
      <c r="K39" s="3"/>
      <c r="L39" s="8">
        <f t="shared" si="2"/>
        <v>1845.35</v>
      </c>
      <c r="M39" s="3"/>
      <c r="N39" s="7">
        <f t="shared" si="3"/>
        <v>0</v>
      </c>
      <c r="O39" s="12"/>
      <c r="P39" s="8">
        <v>6063.06</v>
      </c>
      <c r="Q39" s="3"/>
      <c r="R39" s="7">
        <f t="shared" si="4"/>
        <v>0.25000412339847206</v>
      </c>
      <c r="S39" s="3"/>
      <c r="T39" s="8"/>
      <c r="U39" s="3"/>
      <c r="V39" s="7">
        <f t="shared" si="5"/>
        <v>0</v>
      </c>
      <c r="W39" s="3"/>
      <c r="X39" s="8">
        <f t="shared" si="6"/>
        <v>6063.06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","Supplies                                          ")</f>
        <v xml:space="preserve">     Supplies                                          </v>
      </c>
      <c r="C40" s="14"/>
      <c r="D40" s="2">
        <f>SUM(OSRRefD22_7x_0)</f>
        <v>0</v>
      </c>
      <c r="E40" s="2"/>
      <c r="F40" s="6">
        <f t="shared" si="0"/>
        <v>0</v>
      </c>
      <c r="G40" s="2"/>
      <c r="H40" s="2">
        <f>SUM(OSRRefH22_7x_0)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SUM(OSRRefP22_7x_0)</f>
        <v>116.26</v>
      </c>
      <c r="Q40" s="2"/>
      <c r="R40" s="6">
        <f t="shared" si="4"/>
        <v>4.7938630635861032E-3</v>
      </c>
      <c r="S40" s="2"/>
      <c r="T40" s="2">
        <f>SUM(OSRRefT22_7x_0)</f>
        <v>0</v>
      </c>
      <c r="U40" s="2"/>
      <c r="V40" s="6">
        <f t="shared" si="5"/>
        <v>0</v>
      </c>
      <c r="W40" s="2"/>
      <c r="X40" s="2">
        <f t="shared" si="6"/>
        <v>116.26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","6243"," - ","PAPER SUPPLIES")</f>
        <v xml:space="preserve">          6243 - PAPER SUPPLIES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116.26</v>
      </c>
      <c r="Q41" s="3"/>
      <c r="R41" s="7">
        <f t="shared" si="4"/>
        <v>4.7938630635861032E-3</v>
      </c>
      <c r="S41" s="3"/>
      <c r="T41" s="8"/>
      <c r="U41" s="3"/>
      <c r="V41" s="7">
        <f t="shared" si="5"/>
        <v>0</v>
      </c>
      <c r="W41" s="3"/>
      <c r="X41" s="8">
        <f t="shared" si="6"/>
        <v>116.26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","Telephone/Data Lines                              ")</f>
        <v xml:space="preserve">     Telephone/Data Lines                              </v>
      </c>
      <c r="C42" s="14"/>
      <c r="D42" s="2">
        <f>SUM(OSRRefD22_8x_0)</f>
        <v>0</v>
      </c>
      <c r="E42" s="2"/>
      <c r="F42" s="6">
        <f t="shared" si="0"/>
        <v>0</v>
      </c>
      <c r="G42" s="2"/>
      <c r="H42" s="2">
        <f>SUM(OSRRefH22_8x_0)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SUM(OSRRefP22_8x_0)</f>
        <v>0</v>
      </c>
      <c r="Q42" s="2"/>
      <c r="R42" s="6">
        <f t="shared" si="4"/>
        <v>0</v>
      </c>
      <c r="S42" s="2"/>
      <c r="T42" s="2">
        <f>SUM(OSRRefT22_8x_0)</f>
        <v>132.54</v>
      </c>
      <c r="U42" s="2"/>
      <c r="V42" s="6">
        <f t="shared" si="5"/>
        <v>0</v>
      </c>
      <c r="W42" s="2"/>
      <c r="X42" s="2">
        <f t="shared" si="6"/>
        <v>-132.54</v>
      </c>
      <c r="Y42" s="2"/>
      <c r="Z42" s="6">
        <f t="shared" si="7"/>
        <v>-1</v>
      </c>
    </row>
    <row r="43" spans="1:26" s="69" customFormat="1" ht="15" hidden="1" customHeight="1" outlineLevel="2" x14ac:dyDescent="0.3">
      <c r="A43" s="26"/>
      <c r="B43" s="12" t="str">
        <f>CONCATENATE("          ","6309"," - ","TELEPHONE")</f>
        <v xml:space="preserve">          6309 - TELEPHONE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132.54</v>
      </c>
      <c r="U43" s="3"/>
      <c r="V43" s="7">
        <f t="shared" si="5"/>
        <v>0</v>
      </c>
      <c r="W43" s="3"/>
      <c r="X43" s="8">
        <f t="shared" si="6"/>
        <v>-132.54</v>
      </c>
      <c r="Y43" s="3"/>
      <c r="Z43" s="7">
        <f t="shared" si="7"/>
        <v>-1</v>
      </c>
    </row>
    <row r="44" spans="1:26" s="64" customFormat="1" ht="15" customHeight="1" x14ac:dyDescent="0.3">
      <c r="A44" s="36"/>
      <c r="B44" s="36"/>
      <c r="C44" s="36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36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62" customFormat="1" ht="15" customHeight="1" x14ac:dyDescent="0.3">
      <c r="A45" s="11"/>
      <c r="B45" s="27" t="s">
        <v>290</v>
      </c>
      <c r="C45" s="11"/>
      <c r="D45" s="5">
        <f>SUM(0)</f>
        <v>0</v>
      </c>
      <c r="E45" s="5"/>
      <c r="F45" s="13">
        <f>IF(D$12=0,0,D45/D$12)</f>
        <v>0</v>
      </c>
      <c r="G45" s="5"/>
      <c r="H45" s="5">
        <f>SUM(0)</f>
        <v>0</v>
      </c>
      <c r="I45" s="5"/>
      <c r="J45" s="13">
        <f>IF(H$12=0,0,H45/H$12)</f>
        <v>0</v>
      </c>
      <c r="K45" s="5"/>
      <c r="L45" s="5">
        <f>+D45-H45</f>
        <v>0</v>
      </c>
      <c r="M45" s="5"/>
      <c r="N45" s="13">
        <f>IF(H45=0,0,L45/H45)</f>
        <v>0</v>
      </c>
      <c r="O45" s="11"/>
      <c r="P45" s="5">
        <f>SUM(0)</f>
        <v>0</v>
      </c>
      <c r="Q45" s="5"/>
      <c r="R45" s="13">
        <f>IF(P$12=0,0,P45/P$12)</f>
        <v>0</v>
      </c>
      <c r="S45" s="5"/>
      <c r="T45" s="5">
        <f>SUM(0)</f>
        <v>0</v>
      </c>
      <c r="U45" s="5"/>
      <c r="V45" s="13">
        <f>IF(T$12=0,0,T45/T$12)</f>
        <v>0</v>
      </c>
      <c r="W45" s="5"/>
      <c r="X45" s="5">
        <f>+P45-T45</f>
        <v>0</v>
      </c>
      <c r="Y45" s="5"/>
      <c r="Z45" s="13">
        <f>IF(T45=0,0,X45/T45)</f>
        <v>0</v>
      </c>
    </row>
    <row r="46" spans="1:26" ht="15" customHeight="1" x14ac:dyDescent="0.3">
      <c r="A46" s="10"/>
      <c r="B46" s="11"/>
      <c r="C46" s="11"/>
      <c r="D46" s="4"/>
      <c r="E46" s="4"/>
      <c r="F46" s="9"/>
      <c r="G46" s="4"/>
      <c r="H46" s="4"/>
      <c r="I46" s="4"/>
      <c r="J46" s="9"/>
      <c r="K46" s="4"/>
      <c r="L46" s="4"/>
      <c r="M46" s="4"/>
      <c r="N46" s="9"/>
      <c r="O46" s="11"/>
      <c r="P46" s="4"/>
      <c r="Q46" s="4"/>
      <c r="R46" s="9"/>
      <c r="S46" s="4"/>
      <c r="T46" s="4"/>
      <c r="U46" s="4"/>
      <c r="V46" s="9"/>
      <c r="W46" s="4"/>
      <c r="X46" s="4"/>
      <c r="Y46" s="4"/>
      <c r="Z46" s="9"/>
    </row>
    <row r="47" spans="1:26" s="62" customFormat="1" ht="15" customHeight="1" x14ac:dyDescent="0.3">
      <c r="A47" s="11"/>
      <c r="B47" s="28" t="s">
        <v>291</v>
      </c>
      <c r="C47" s="28"/>
      <c r="D47" s="21">
        <f>+D18-D20+D45</f>
        <v>1309.8399999999992</v>
      </c>
      <c r="E47" s="15"/>
      <c r="F47" s="23">
        <f>IF(D$12=0,0,D47/D$12)</f>
        <v>0.17745119157450936</v>
      </c>
      <c r="G47" s="15"/>
      <c r="H47" s="21">
        <f>+H18-H20+H45</f>
        <v>-1000.91</v>
      </c>
      <c r="I47" s="15"/>
      <c r="J47" s="23">
        <f>IF(H$12=0,0,H47/H$12)</f>
        <v>0</v>
      </c>
      <c r="K47" s="16"/>
      <c r="L47" s="21">
        <f>+D47-H47</f>
        <v>2310.7499999999991</v>
      </c>
      <c r="M47" s="16"/>
      <c r="N47" s="23">
        <f>IF(H47=0,0,L47/H47)</f>
        <v>-2.308649129292343</v>
      </c>
      <c r="O47" s="27"/>
      <c r="P47" s="21">
        <f>+P18-P20+P45</f>
        <v>-7998.2199999999993</v>
      </c>
      <c r="Q47" s="15"/>
      <c r="R47" s="23">
        <f>IF(P$12=0,0,P47/P$12)</f>
        <v>-0.32979848126987477</v>
      </c>
      <c r="S47" s="15"/>
      <c r="T47" s="21">
        <f>+T18-T20+T45</f>
        <v>-7044.3799999999992</v>
      </c>
      <c r="U47" s="15"/>
      <c r="V47" s="23">
        <f>IF(T$12=0,0,T47/T$12)</f>
        <v>0</v>
      </c>
      <c r="W47" s="16"/>
      <c r="X47" s="21">
        <f>+P47-T47</f>
        <v>-953.84000000000015</v>
      </c>
      <c r="Y47" s="16"/>
      <c r="Z47" s="23">
        <f>IF(T47=0,0,X47/T47)</f>
        <v>0.13540439328940237</v>
      </c>
    </row>
    <row r="48" spans="1:26" ht="15" customHeight="1" x14ac:dyDescent="0.3">
      <c r="A48" s="10"/>
      <c r="B48" s="11"/>
      <c r="C48" s="10"/>
      <c r="D48" s="4"/>
      <c r="E48" s="4"/>
      <c r="F48" s="9"/>
      <c r="G48" s="4"/>
      <c r="H48" s="4"/>
      <c r="I48" s="4"/>
      <c r="J48" s="9"/>
      <c r="K48" s="4"/>
      <c r="L48" s="4"/>
      <c r="M48" s="4"/>
      <c r="N48" s="9"/>
      <c r="P48" s="4"/>
      <c r="Q48" s="4"/>
      <c r="R48" s="9"/>
      <c r="S48" s="4"/>
      <c r="T48" s="4"/>
      <c r="U48" s="4"/>
      <c r="V48" s="9"/>
      <c r="W48" s="4"/>
      <c r="X48" s="4"/>
      <c r="Y48" s="4"/>
      <c r="Z48" s="9"/>
    </row>
    <row r="49" spans="1:26" s="62" customFormat="1" ht="15" customHeight="1" x14ac:dyDescent="0.3">
      <c r="A49" s="48"/>
      <c r="B49" s="11" t="s">
        <v>292</v>
      </c>
      <c r="C49" s="11"/>
      <c r="D49" s="5">
        <v>733.9</v>
      </c>
      <c r="E49" s="5"/>
      <c r="F49" s="13">
        <f>IF(D$12=0,0,D49/D$12)</f>
        <v>9.9425448525417223E-2</v>
      </c>
      <c r="G49" s="5"/>
      <c r="H49" s="5"/>
      <c r="I49" s="5"/>
      <c r="J49" s="13">
        <f>IF(H$12=0,0,H49/H$12)</f>
        <v>0</v>
      </c>
      <c r="K49" s="5"/>
      <c r="L49" s="5">
        <f>+D49-H49</f>
        <v>733.9</v>
      </c>
      <c r="M49" s="5"/>
      <c r="N49" s="13">
        <f>IF(H49=0,0,L49/H49)</f>
        <v>0</v>
      </c>
      <c r="O49" s="11"/>
      <c r="P49" s="5">
        <v>2747.34</v>
      </c>
      <c r="Q49" s="5"/>
      <c r="R49" s="13">
        <f>IF(P$12=0,0,P49/P$12)</f>
        <v>0.11328377558156412</v>
      </c>
      <c r="S49" s="5"/>
      <c r="T49" s="5"/>
      <c r="U49" s="5"/>
      <c r="V49" s="13">
        <f>IF(T$12=0,0,T49/T$12)</f>
        <v>0</v>
      </c>
      <c r="W49" s="5"/>
      <c r="X49" s="5">
        <f>+P49-T49</f>
        <v>2747.34</v>
      </c>
      <c r="Y49" s="5"/>
      <c r="Z49" s="13">
        <f>IF(T49=0,0,X49/T49)</f>
        <v>0</v>
      </c>
    </row>
    <row r="50" spans="1:26" ht="15" customHeight="1" x14ac:dyDescent="0.3">
      <c r="A50" s="10"/>
      <c r="B50" s="11"/>
      <c r="C50" s="11"/>
      <c r="D50" s="4"/>
      <c r="E50" s="4"/>
      <c r="F50" s="9"/>
      <c r="G50" s="4"/>
      <c r="H50" s="4"/>
      <c r="I50" s="4"/>
      <c r="J50" s="9"/>
      <c r="K50" s="4"/>
      <c r="L50" s="4"/>
      <c r="M50" s="4"/>
      <c r="N50" s="9"/>
      <c r="O50" s="11"/>
      <c r="P50" s="4"/>
      <c r="Q50" s="4"/>
      <c r="R50" s="9"/>
      <c r="S50" s="4"/>
      <c r="T50" s="4"/>
      <c r="U50" s="4"/>
      <c r="V50" s="9"/>
      <c r="W50" s="4"/>
      <c r="X50" s="4"/>
      <c r="Y50" s="4"/>
      <c r="Z50" s="9"/>
    </row>
    <row r="51" spans="1:26" s="62" customFormat="1" ht="15" customHeight="1" x14ac:dyDescent="0.3">
      <c r="A51" s="11"/>
      <c r="B51" s="28" t="s">
        <v>293</v>
      </c>
      <c r="C51" s="28"/>
      <c r="D51" s="34">
        <f>+D47-D49</f>
        <v>575.93999999999926</v>
      </c>
      <c r="E51" s="15"/>
      <c r="F51" s="30">
        <f>IF(D$12=0,0,D51/D$12)</f>
        <v>7.8025743049092142E-2</v>
      </c>
      <c r="G51" s="15"/>
      <c r="H51" s="34">
        <f>+H47-H49</f>
        <v>-1000.91</v>
      </c>
      <c r="I51" s="15"/>
      <c r="J51" s="30">
        <f>IF(H$12=0,0,H51/H$12)</f>
        <v>0</v>
      </c>
      <c r="K51" s="16"/>
      <c r="L51" s="34">
        <f>D51-H51</f>
        <v>1576.8499999999992</v>
      </c>
      <c r="M51" s="16"/>
      <c r="N51" s="30">
        <f>IF(H51=0,0,L51/H51)</f>
        <v>-1.5754163711022962</v>
      </c>
      <c r="O51" s="27"/>
      <c r="P51" s="34">
        <f>+P47-P49</f>
        <v>-10745.56</v>
      </c>
      <c r="Q51" s="15"/>
      <c r="R51" s="30">
        <f>IF(P$12=0,0,P51/P$12)</f>
        <v>-0.44308225685143887</v>
      </c>
      <c r="S51" s="15"/>
      <c r="T51" s="34">
        <f>+T47-T49</f>
        <v>-7044.3799999999992</v>
      </c>
      <c r="U51" s="15"/>
      <c r="V51" s="30">
        <f>IF(T$12=0,0,T51/T$12)</f>
        <v>0</v>
      </c>
      <c r="W51" s="16"/>
      <c r="X51" s="34">
        <f>P51-T51</f>
        <v>-3701.1800000000003</v>
      </c>
      <c r="Y51" s="16"/>
      <c r="Z51" s="30">
        <f>IF(T51=0,0,X51/T51)</f>
        <v>0.52540890752628344</v>
      </c>
    </row>
    <row r="52" spans="1:26" ht="15" customHeight="1" x14ac:dyDescent="0.3">
      <c r="A52" s="10"/>
      <c r="B52" s="10"/>
      <c r="C52" s="10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s="62" customFormat="1" ht="15" customHeight="1" x14ac:dyDescent="0.3">
      <c r="A54" s="11"/>
      <c r="B54" s="28" t="s">
        <v>296</v>
      </c>
      <c r="C54" s="28"/>
      <c r="D54" s="29">
        <f>SUM(D51:D53)</f>
        <v>575.93999999999926</v>
      </c>
      <c r="E54" s="15"/>
      <c r="F54" s="35">
        <f>IF(D$12=0,0,D54/D$12)</f>
        <v>7.8025743049092142E-2</v>
      </c>
      <c r="G54" s="15"/>
      <c r="H54" s="29">
        <f>SUM(H51:H53)</f>
        <v>-1000.91</v>
      </c>
      <c r="I54" s="15"/>
      <c r="J54" s="35">
        <f>IF(H$12=0,0,H54/H$12)</f>
        <v>0</v>
      </c>
      <c r="K54" s="16"/>
      <c r="L54" s="29">
        <f>+D54-H54</f>
        <v>1576.8499999999992</v>
      </c>
      <c r="M54" s="16"/>
      <c r="N54" s="35">
        <f>IF(H54=0,0,L54/H54)</f>
        <v>-1.5754163711022962</v>
      </c>
      <c r="O54" s="27"/>
      <c r="P54" s="29">
        <f>SUM(P51:P53)</f>
        <v>-10745.56</v>
      </c>
      <c r="Q54" s="15"/>
      <c r="R54" s="35">
        <f>IF(P$12=0,0,P54/P$12)</f>
        <v>-0.44308225685143887</v>
      </c>
      <c r="S54" s="15"/>
      <c r="T54" s="29">
        <f>SUM(T51:T53)</f>
        <v>-7044.3799999999992</v>
      </c>
      <c r="U54" s="15"/>
      <c r="V54" s="35">
        <f>IF(T$12=0,0,T54/T$12)</f>
        <v>0</v>
      </c>
      <c r="W54" s="16"/>
      <c r="X54" s="29">
        <f>+P54-T54</f>
        <v>-3701.1800000000003</v>
      </c>
      <c r="Y54" s="16"/>
      <c r="Z54" s="35">
        <f>IF(T54=0,0,X54/T54)</f>
        <v>0.52540890752628344</v>
      </c>
    </row>
    <row r="55" spans="1:26" ht="15" customHeight="1" x14ac:dyDescent="0.3">
      <c r="A55" s="10"/>
      <c r="C55" s="10"/>
      <c r="D55" s="18"/>
      <c r="E55" s="18"/>
      <c r="G55" s="18"/>
      <c r="H55" s="18"/>
      <c r="I55" s="18"/>
      <c r="J55" s="40"/>
      <c r="K55" s="18"/>
      <c r="L55" s="18"/>
      <c r="M55" s="18"/>
      <c r="P55" s="18"/>
      <c r="Q55" s="18"/>
      <c r="R55" s="40"/>
      <c r="S55" s="18"/>
      <c r="T55" s="18"/>
      <c r="U55" s="18"/>
      <c r="V55" s="40"/>
      <c r="W55" s="18"/>
      <c r="X55" s="18"/>
    </row>
    <row r="56" spans="1:26" ht="15" customHeight="1" x14ac:dyDescent="0.3">
      <c r="A56" s="10"/>
      <c r="B56" s="56">
        <v>44694.890829479169</v>
      </c>
      <c r="D56" s="18"/>
      <c r="E56" s="18"/>
      <c r="G56" s="18"/>
      <c r="H56" s="18"/>
      <c r="I56" s="18"/>
      <c r="J56" s="40"/>
      <c r="K56" s="18"/>
      <c r="L56" s="18"/>
      <c r="M56" s="18"/>
      <c r="P56" s="18"/>
      <c r="Q56" s="18"/>
      <c r="R56" s="40"/>
      <c r="S56" s="18"/>
      <c r="T56" s="18"/>
      <c r="U56" s="18"/>
      <c r="V56" s="40"/>
      <c r="W56" s="18"/>
      <c r="X56" s="18"/>
    </row>
    <row r="57" spans="1:26" ht="15" customHeight="1" x14ac:dyDescent="0.3">
      <c r="A57" s="10"/>
      <c r="B57" s="52" t="s">
        <v>297</v>
      </c>
      <c r="D57" s="18"/>
      <c r="E57" s="18"/>
      <c r="G57" s="18"/>
      <c r="H57" s="18"/>
      <c r="I57" s="18"/>
      <c r="J57" s="40"/>
      <c r="K57" s="18"/>
      <c r="L57" s="18"/>
      <c r="M57" s="18"/>
      <c r="P57" s="18"/>
      <c r="Q57" s="18"/>
      <c r="R57" s="40"/>
      <c r="S57" s="18"/>
      <c r="T57" s="18"/>
      <c r="U57" s="18"/>
      <c r="V57" s="40"/>
      <c r="W57" s="18"/>
      <c r="X57" s="18"/>
    </row>
    <row r="58" spans="1:26" ht="15" customHeight="1" x14ac:dyDescent="0.3">
      <c r="A58" s="10"/>
      <c r="B58" s="58"/>
      <c r="D58" s="18"/>
      <c r="E58" s="18"/>
      <c r="G58" s="18"/>
      <c r="H58" s="18"/>
      <c r="I58" s="18"/>
      <c r="J58" s="40"/>
      <c r="K58" s="18"/>
      <c r="L58" s="18"/>
      <c r="M58" s="18"/>
      <c r="P58" s="18"/>
      <c r="Q58" s="18"/>
      <c r="R58" s="40"/>
      <c r="S58" s="18"/>
      <c r="T58" s="18"/>
      <c r="U58" s="18"/>
      <c r="V58" s="40"/>
      <c r="W58" s="18"/>
      <c r="X58" s="18"/>
    </row>
    <row r="59" spans="1:26" ht="15" customHeight="1" x14ac:dyDescent="0.3">
      <c r="D59" s="18"/>
      <c r="E59" s="18"/>
      <c r="G59" s="18"/>
      <c r="H59" s="18"/>
      <c r="I59" s="18"/>
      <c r="J59" s="40"/>
      <c r="K59" s="18"/>
      <c r="L59" s="18"/>
      <c r="M59" s="18"/>
      <c r="P59" s="18"/>
      <c r="Q59" s="18"/>
      <c r="R59" s="40"/>
      <c r="S59" s="18"/>
      <c r="T59" s="18"/>
      <c r="U59" s="18"/>
      <c r="V59" s="40"/>
      <c r="W59" s="18"/>
      <c r="X5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B8441-C004-374D-EDCF-0D019C3D3AAC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","455"," - ","Vending (old)")</f>
        <v>Department 455 - Vending (old)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5"/>
      <c r="L18" s="22">
        <f>+D18-H18</f>
        <v>0</v>
      </c>
      <c r="M18" s="5"/>
      <c r="N18" s="32">
        <f>IF(H18=0,0,L18/H18)</f>
        <v>0</v>
      </c>
      <c r="O18" s="11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5"/>
      <c r="X18" s="22">
        <f>+P18-T18</f>
        <v>0</v>
      </c>
      <c r="Y18" s="5"/>
      <c r="Z18" s="32">
        <f>IF(T18=0,0,X18/T18)</f>
        <v>0</v>
      </c>
    </row>
    <row r="19" spans="1:26" s="64" customFormat="1" ht="15" customHeight="1" x14ac:dyDescent="0.3">
      <c r="A19" s="36"/>
      <c r="B19" s="36"/>
      <c r="C19" s="36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collapsed="1" x14ac:dyDescent="0.3">
      <c r="A20" s="11"/>
      <c r="B20" s="27" t="s">
        <v>290</v>
      </c>
      <c r="C20" s="11"/>
      <c r="D20" s="5">
        <f>SUM(OSRRefD25x_0)</f>
        <v>0</v>
      </c>
      <c r="E20" s="5"/>
      <c r="F20" s="13">
        <f>IF(D$12=0,0,D20/D$12)</f>
        <v>0</v>
      </c>
      <c r="G20" s="5"/>
      <c r="H20" s="5">
        <f>SUM(OSRRefH25x_0)</f>
        <v>1082.75</v>
      </c>
      <c r="I20" s="5"/>
      <c r="J20" s="13">
        <f>IF(H$12=0,0,H20/H$12)</f>
        <v>0</v>
      </c>
      <c r="K20" s="5"/>
      <c r="L20" s="5">
        <f>+D20-H20</f>
        <v>-1082.75</v>
      </c>
      <c r="M20" s="5"/>
      <c r="N20" s="13">
        <f>IF(H20=0,0,L20/H20)</f>
        <v>-1</v>
      </c>
      <c r="O20" s="11"/>
      <c r="P20" s="5">
        <f>SUM(OSRRefP25x_0)</f>
        <v>0</v>
      </c>
      <c r="Q20" s="5"/>
      <c r="R20" s="13">
        <f>IF(P$12=0,0,P20/P$12)</f>
        <v>0</v>
      </c>
      <c r="S20" s="5"/>
      <c r="T20" s="5">
        <f>SUM(OSRRefT25x_0)</f>
        <v>16287.57</v>
      </c>
      <c r="U20" s="5"/>
      <c r="V20" s="13">
        <f>IF(T$12=0,0,T20/T$12)</f>
        <v>0</v>
      </c>
      <c r="W20" s="5"/>
      <c r="X20" s="5">
        <f>+P20-T20</f>
        <v>-16287.57</v>
      </c>
      <c r="Y20" s="5"/>
      <c r="Z20" s="13">
        <f>IF(T20=0,0,X20/T20)</f>
        <v>-1</v>
      </c>
    </row>
    <row r="21" spans="1:26" s="69" customFormat="1" ht="15" hidden="1" customHeight="1" outlineLevel="1" x14ac:dyDescent="0.3">
      <c r="A21" s="42"/>
      <c r="B21" s="12" t="str">
        <f>CONCATENATE("          ","9160"," - ","MISC. INCOME")</f>
        <v xml:space="preserve">          9160 - MISC. INCOME</v>
      </c>
      <c r="C21" s="12"/>
      <c r="D21" s="3">
        <f>0</f>
        <v>0</v>
      </c>
      <c r="E21" s="3"/>
      <c r="F21" s="20">
        <f>IF(D$12=0,0,D21/D$12)</f>
        <v>0</v>
      </c>
      <c r="G21" s="3"/>
      <c r="H21" s="3">
        <f>--732.1</f>
        <v>732.1</v>
      </c>
      <c r="I21" s="3"/>
      <c r="J21" s="20">
        <f>IF(H$12=0,0,H21/H$12)</f>
        <v>0</v>
      </c>
      <c r="K21" s="3"/>
      <c r="L21" s="3">
        <f>+D21-H21</f>
        <v>-732.1</v>
      </c>
      <c r="M21" s="3"/>
      <c r="N21" s="20">
        <f>IF(H21=0,0,L21/H21)</f>
        <v>-1</v>
      </c>
      <c r="O21" s="12"/>
      <c r="P21" s="3">
        <f>0</f>
        <v>0</v>
      </c>
      <c r="Q21" s="3"/>
      <c r="R21" s="20">
        <f>IF(P$12=0,0,P21/P$12)</f>
        <v>0</v>
      </c>
      <c r="S21" s="3"/>
      <c r="T21" s="3">
        <f>--12798.71</f>
        <v>12798.71</v>
      </c>
      <c r="U21" s="3"/>
      <c r="V21" s="20">
        <f>IF(T$12=0,0,T21/T$12)</f>
        <v>0</v>
      </c>
      <c r="W21" s="3"/>
      <c r="X21" s="3">
        <f>+P21-T21</f>
        <v>-12798.71</v>
      </c>
      <c r="Y21" s="3"/>
      <c r="Z21" s="20">
        <f>IF(T21=0,0,X21/T21)</f>
        <v>-1</v>
      </c>
    </row>
    <row r="22" spans="1:26" s="69" customFormat="1" ht="15" hidden="1" customHeight="1" outlineLevel="1" x14ac:dyDescent="0.3">
      <c r="A22" s="42"/>
      <c r="B22" s="12" t="str">
        <f>CONCATENATE("          ","9165"," - ","OTHER INCOME")</f>
        <v xml:space="preserve">          9165 - OTHER INCOME</v>
      </c>
      <c r="C22" s="12"/>
      <c r="D22" s="3">
        <f>0</f>
        <v>0</v>
      </c>
      <c r="E22" s="3"/>
      <c r="F22" s="20">
        <f>IF(D$12=0,0,D22/D$12)</f>
        <v>0</v>
      </c>
      <c r="G22" s="3"/>
      <c r="H22" s="3">
        <f>--350.65</f>
        <v>350.65</v>
      </c>
      <c r="I22" s="3"/>
      <c r="J22" s="20">
        <f>IF(H$12=0,0,H22/H$12)</f>
        <v>0</v>
      </c>
      <c r="K22" s="3"/>
      <c r="L22" s="3">
        <f>+D22-H22</f>
        <v>-350.65</v>
      </c>
      <c r="M22" s="3"/>
      <c r="N22" s="20">
        <f>IF(H22=0,0,L22/H22)</f>
        <v>-1</v>
      </c>
      <c r="O22" s="12"/>
      <c r="P22" s="3">
        <f>0</f>
        <v>0</v>
      </c>
      <c r="Q22" s="3"/>
      <c r="R22" s="20">
        <f>IF(P$12=0,0,P22/P$12)</f>
        <v>0</v>
      </c>
      <c r="S22" s="3"/>
      <c r="T22" s="3">
        <f>--3488.86</f>
        <v>3488.86</v>
      </c>
      <c r="U22" s="3"/>
      <c r="V22" s="20">
        <f>IF(T$12=0,0,T22/T$12)</f>
        <v>0</v>
      </c>
      <c r="W22" s="3"/>
      <c r="X22" s="3">
        <f>+P22-T22</f>
        <v>-3488.86</v>
      </c>
      <c r="Y22" s="3"/>
      <c r="Z22" s="20">
        <f>IF(T22=0,0,X22/T22)</f>
        <v>-1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2" customFormat="1" ht="15" customHeight="1" x14ac:dyDescent="0.3">
      <c r="A24" s="11"/>
      <c r="B24" s="28" t="s">
        <v>291</v>
      </c>
      <c r="C24" s="28"/>
      <c r="D24" s="21">
        <f>+D16-D18+D20</f>
        <v>0</v>
      </c>
      <c r="E24" s="15"/>
      <c r="F24" s="23">
        <f>IF(D$12=0,0,D24/D$12)</f>
        <v>0</v>
      </c>
      <c r="G24" s="15"/>
      <c r="H24" s="21">
        <f>+H16-H18+H20</f>
        <v>1082.75</v>
      </c>
      <c r="I24" s="15"/>
      <c r="J24" s="23">
        <f>IF(H$12=0,0,H24/H$12)</f>
        <v>0</v>
      </c>
      <c r="K24" s="16"/>
      <c r="L24" s="21">
        <f>+D24-H24</f>
        <v>-1082.75</v>
      </c>
      <c r="M24" s="16"/>
      <c r="N24" s="23">
        <f>IF(H24=0,0,L24/H24)</f>
        <v>-1</v>
      </c>
      <c r="O24" s="27"/>
      <c r="P24" s="21">
        <f>+P16-P18+P20</f>
        <v>0</v>
      </c>
      <c r="Q24" s="15"/>
      <c r="R24" s="23">
        <f>IF(P$12=0,0,P24/P$12)</f>
        <v>0</v>
      </c>
      <c r="S24" s="15"/>
      <c r="T24" s="21">
        <f>+T16-T18+T20</f>
        <v>16287.57</v>
      </c>
      <c r="U24" s="15"/>
      <c r="V24" s="23">
        <f>IF(T$12=0,0,T24/T$12)</f>
        <v>0</v>
      </c>
      <c r="W24" s="16"/>
      <c r="X24" s="21">
        <f>+P24-T24</f>
        <v>-16287.57</v>
      </c>
      <c r="Y24" s="16"/>
      <c r="Z24" s="23">
        <f>IF(T24=0,0,X24/T24)</f>
        <v>-1</v>
      </c>
    </row>
    <row r="25" spans="1:26" ht="15" customHeight="1" x14ac:dyDescent="0.3">
      <c r="A25" s="10"/>
      <c r="B25" s="11"/>
      <c r="C25" s="10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2" customFormat="1" ht="15" customHeight="1" x14ac:dyDescent="0.3">
      <c r="A26" s="48"/>
      <c r="B26" s="11" t="s">
        <v>292</v>
      </c>
      <c r="C26" s="11"/>
      <c r="D26" s="5"/>
      <c r="E26" s="5"/>
      <c r="F26" s="13">
        <f>IF(D$12=0,0,D26/D$12)</f>
        <v>0</v>
      </c>
      <c r="G26" s="5"/>
      <c r="H26" s="5"/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/>
      <c r="Q26" s="5"/>
      <c r="R26" s="13">
        <f>IF(P$12=0,0,P26/P$12)</f>
        <v>0</v>
      </c>
      <c r="S26" s="5"/>
      <c r="T26" s="5"/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2" customFormat="1" ht="15" customHeight="1" x14ac:dyDescent="0.3">
      <c r="A28" s="11"/>
      <c r="B28" s="28" t="s">
        <v>293</v>
      </c>
      <c r="C28" s="28"/>
      <c r="D28" s="34">
        <f>+D24-D26</f>
        <v>0</v>
      </c>
      <c r="E28" s="15"/>
      <c r="F28" s="30">
        <f>IF(D$12=0,0,D28/D$12)</f>
        <v>0</v>
      </c>
      <c r="G28" s="15"/>
      <c r="H28" s="34">
        <f>+H24-H26</f>
        <v>1082.75</v>
      </c>
      <c r="I28" s="15"/>
      <c r="J28" s="30">
        <f>IF(H$12=0,0,H28/H$12)</f>
        <v>0</v>
      </c>
      <c r="K28" s="16"/>
      <c r="L28" s="34">
        <f>D28-H28</f>
        <v>-1082.75</v>
      </c>
      <c r="M28" s="16"/>
      <c r="N28" s="30">
        <f>IF(H28=0,0,L28/H28)</f>
        <v>-1</v>
      </c>
      <c r="O28" s="27"/>
      <c r="P28" s="34">
        <f>+P24-P26</f>
        <v>0</v>
      </c>
      <c r="Q28" s="15"/>
      <c r="R28" s="30">
        <f>IF(P$12=0,0,P28/P$12)</f>
        <v>0</v>
      </c>
      <c r="S28" s="15"/>
      <c r="T28" s="34">
        <f>+T24-T26</f>
        <v>16287.57</v>
      </c>
      <c r="U28" s="15"/>
      <c r="V28" s="30">
        <f>IF(T$12=0,0,T28/T$12)</f>
        <v>0</v>
      </c>
      <c r="W28" s="16"/>
      <c r="X28" s="34">
        <f>P28-T28</f>
        <v>-16287.57</v>
      </c>
      <c r="Y28" s="16"/>
      <c r="Z28" s="30">
        <f>IF(T28=0,0,X28/T28)</f>
        <v>-1</v>
      </c>
    </row>
    <row r="29" spans="1:26" ht="15" customHeight="1" x14ac:dyDescent="0.3">
      <c r="A29" s="10"/>
      <c r="B29" s="10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296</v>
      </c>
      <c r="C31" s="28"/>
      <c r="D31" s="29">
        <f>SUM(D28:D30)</f>
        <v>0</v>
      </c>
      <c r="E31" s="15"/>
      <c r="F31" s="35">
        <f>IF(D$12=0,0,D31/D$12)</f>
        <v>0</v>
      </c>
      <c r="G31" s="15"/>
      <c r="H31" s="29">
        <f>SUM(H28:H30)</f>
        <v>1082.75</v>
      </c>
      <c r="I31" s="15"/>
      <c r="J31" s="35">
        <f>IF(H$12=0,0,H31/H$12)</f>
        <v>0</v>
      </c>
      <c r="K31" s="16"/>
      <c r="L31" s="29">
        <f>+D31-H31</f>
        <v>-1082.75</v>
      </c>
      <c r="M31" s="16"/>
      <c r="N31" s="35">
        <f>IF(H31=0,0,L31/H31)</f>
        <v>-1</v>
      </c>
      <c r="O31" s="27"/>
      <c r="P31" s="29">
        <f>SUM(P28:P30)</f>
        <v>0</v>
      </c>
      <c r="Q31" s="15"/>
      <c r="R31" s="35">
        <f>IF(P$12=0,0,P31/P$12)</f>
        <v>0</v>
      </c>
      <c r="S31" s="15"/>
      <c r="T31" s="29">
        <f>SUM(T28:T30)</f>
        <v>16287.57</v>
      </c>
      <c r="U31" s="15"/>
      <c r="V31" s="35">
        <f>IF(T$12=0,0,T31/T$12)</f>
        <v>0</v>
      </c>
      <c r="W31" s="16"/>
      <c r="X31" s="29">
        <f>+P31-T31</f>
        <v>-16287.57</v>
      </c>
      <c r="Y31" s="16"/>
      <c r="Z31" s="35">
        <f>IF(T31=0,0,X31/T31)</f>
        <v>-1</v>
      </c>
    </row>
    <row r="32" spans="1:26" ht="15" customHeight="1" x14ac:dyDescent="0.3">
      <c r="A32" s="10"/>
      <c r="C32" s="10"/>
      <c r="D32" s="18"/>
      <c r="E32" s="18"/>
      <c r="G32" s="18"/>
      <c r="H32" s="18"/>
      <c r="I32" s="18"/>
      <c r="J32" s="40"/>
      <c r="K32" s="18"/>
      <c r="L32" s="18"/>
      <c r="M32" s="18"/>
      <c r="P32" s="18"/>
      <c r="Q32" s="18"/>
      <c r="R32" s="40"/>
      <c r="S32" s="18"/>
      <c r="T32" s="18"/>
      <c r="U32" s="18"/>
      <c r="V32" s="40"/>
      <c r="W32" s="18"/>
      <c r="X32" s="18"/>
    </row>
    <row r="33" spans="1:24" ht="15" customHeight="1" x14ac:dyDescent="0.3">
      <c r="A33" s="10"/>
      <c r="B33" s="56">
        <v>44694.890829479169</v>
      </c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3">
      <c r="A34" s="10"/>
      <c r="B34" s="52" t="s">
        <v>297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3">
      <c r="A35" s="10"/>
      <c r="B35" s="58"/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3"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A3B4E-CF26-2536-E522-F14FD50F9A7F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312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1722827.5100000002</v>
      </c>
      <c r="E12" s="5"/>
      <c r="F12" s="13"/>
      <c r="G12" s="5"/>
      <c r="H12" s="5">
        <f>SUM(OSRRefH13x_0)</f>
        <v>90165.79</v>
      </c>
      <c r="I12" s="5"/>
      <c r="J12" s="13"/>
      <c r="K12" s="5"/>
      <c r="L12" s="5">
        <f t="shared" ref="L12:L17" si="0">+D12-H12</f>
        <v>1632661.7200000002</v>
      </c>
      <c r="M12" s="5"/>
      <c r="N12" s="13">
        <f t="shared" ref="N12:N17" si="1">IF(H12=0,0,L12/H12)</f>
        <v>18.10733006387456</v>
      </c>
      <c r="O12" s="11"/>
      <c r="P12" s="5">
        <f>SUM(OSRRefP13x_0)</f>
        <v>10926047.400000002</v>
      </c>
      <c r="Q12" s="5"/>
      <c r="R12" s="13"/>
      <c r="S12" s="5"/>
      <c r="T12" s="5">
        <f>SUM(OSRRefT13x_0)</f>
        <v>941355.9</v>
      </c>
      <c r="U12" s="5"/>
      <c r="V12" s="13"/>
      <c r="W12" s="5"/>
      <c r="X12" s="5">
        <f t="shared" ref="X12:X17" si="2">+P12-T12</f>
        <v>9984691.5000000019</v>
      </c>
      <c r="Y12" s="5"/>
      <c r="Z12" s="13">
        <f t="shared" ref="Z12:Z17" si="3">IF(T12=0,0,X12/T12)</f>
        <v>10.606712615281852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--702.65</f>
        <v>702.65</v>
      </c>
      <c r="E13" s="3"/>
      <c r="F13" s="20"/>
      <c r="G13" s="3"/>
      <c r="H13" s="3">
        <f>--161.18</f>
        <v>161.18</v>
      </c>
      <c r="I13" s="3"/>
      <c r="J13" s="20"/>
      <c r="K13" s="3"/>
      <c r="L13" s="3">
        <f t="shared" si="0"/>
        <v>541.47</v>
      </c>
      <c r="M13" s="3"/>
      <c r="N13" s="20">
        <f t="shared" si="1"/>
        <v>3.3594118376969848</v>
      </c>
      <c r="O13" s="12"/>
      <c r="P13" s="3">
        <f>--4321.11</f>
        <v>4321.1099999999997</v>
      </c>
      <c r="Q13" s="3"/>
      <c r="R13" s="20"/>
      <c r="S13" s="3"/>
      <c r="T13" s="3">
        <f>--1084.9</f>
        <v>1084.9000000000001</v>
      </c>
      <c r="U13" s="3"/>
      <c r="V13" s="20"/>
      <c r="W13" s="3"/>
      <c r="X13" s="3">
        <f t="shared" si="2"/>
        <v>3236.2099999999996</v>
      </c>
      <c r="Y13" s="3"/>
      <c r="Z13" s="20">
        <f t="shared" si="3"/>
        <v>2.982956954558023</v>
      </c>
    </row>
    <row r="14" spans="1:26" s="69" customFormat="1" ht="15" hidden="1" customHeight="1" outlineLevel="1" x14ac:dyDescent="0.3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--1014.83</f>
        <v>1014.83</v>
      </c>
      <c r="E14" s="3"/>
      <c r="F14" s="20"/>
      <c r="G14" s="3"/>
      <c r="H14" s="3">
        <f>0</f>
        <v>0</v>
      </c>
      <c r="I14" s="3"/>
      <c r="J14" s="20"/>
      <c r="K14" s="3"/>
      <c r="L14" s="3">
        <f t="shared" si="0"/>
        <v>1014.83</v>
      </c>
      <c r="M14" s="3"/>
      <c r="N14" s="20">
        <f t="shared" si="1"/>
        <v>0</v>
      </c>
      <c r="O14" s="12"/>
      <c r="P14" s="3">
        <f>--1556.1</f>
        <v>1556.1</v>
      </c>
      <c r="Q14" s="3"/>
      <c r="R14" s="20"/>
      <c r="S14" s="3"/>
      <c r="T14" s="3">
        <f>0</f>
        <v>0</v>
      </c>
      <c r="U14" s="3"/>
      <c r="V14" s="20"/>
      <c r="W14" s="3"/>
      <c r="X14" s="3">
        <f t="shared" si="2"/>
        <v>1556.1</v>
      </c>
      <c r="Y14" s="3"/>
      <c r="Z14" s="20">
        <f t="shared" si="3"/>
        <v>0</v>
      </c>
    </row>
    <row r="15" spans="1:26" s="69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--1703509.07</f>
        <v>1703509.07</v>
      </c>
      <c r="E15" s="3"/>
      <c r="F15" s="20"/>
      <c r="G15" s="3"/>
      <c r="H15" s="3">
        <f>--85567.69</f>
        <v>85567.69</v>
      </c>
      <c r="I15" s="3"/>
      <c r="J15" s="20"/>
      <c r="K15" s="3"/>
      <c r="L15" s="3">
        <f t="shared" si="0"/>
        <v>1617941.3800000001</v>
      </c>
      <c r="M15" s="3"/>
      <c r="N15" s="20">
        <f t="shared" si="1"/>
        <v>18.908321353538938</v>
      </c>
      <c r="O15" s="12"/>
      <c r="P15" s="3">
        <f>--10804324.3</f>
        <v>10804324.300000001</v>
      </c>
      <c r="Q15" s="3"/>
      <c r="R15" s="20"/>
      <c r="S15" s="3"/>
      <c r="T15" s="3">
        <f>--892828.72</f>
        <v>892828.72</v>
      </c>
      <c r="U15" s="3"/>
      <c r="V15" s="20"/>
      <c r="W15" s="3"/>
      <c r="X15" s="3">
        <f t="shared" si="2"/>
        <v>9911495.5800000001</v>
      </c>
      <c r="Y15" s="3"/>
      <c r="Z15" s="20">
        <f t="shared" si="3"/>
        <v>11.101228441665722</v>
      </c>
    </row>
    <row r="16" spans="1:26" s="69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--15546.35</f>
        <v>15546.35</v>
      </c>
      <c r="E16" s="3"/>
      <c r="F16" s="20"/>
      <c r="G16" s="3"/>
      <c r="H16" s="3">
        <f>--4436.92</f>
        <v>4436.92</v>
      </c>
      <c r="I16" s="3"/>
      <c r="J16" s="20"/>
      <c r="K16" s="3"/>
      <c r="L16" s="3">
        <f t="shared" si="0"/>
        <v>11109.43</v>
      </c>
      <c r="M16" s="3"/>
      <c r="N16" s="20">
        <f t="shared" si="1"/>
        <v>2.503860786311225</v>
      </c>
      <c r="O16" s="12"/>
      <c r="P16" s="3">
        <f>--112046.57</f>
        <v>112046.57</v>
      </c>
      <c r="Q16" s="3"/>
      <c r="R16" s="20"/>
      <c r="S16" s="3"/>
      <c r="T16" s="3">
        <f>--47442.28</f>
        <v>47442.28</v>
      </c>
      <c r="U16" s="3"/>
      <c r="V16" s="20"/>
      <c r="W16" s="3"/>
      <c r="X16" s="3">
        <f t="shared" si="2"/>
        <v>64604.290000000008</v>
      </c>
      <c r="Y16" s="3"/>
      <c r="Z16" s="20">
        <f t="shared" si="3"/>
        <v>1.3617450510388627</v>
      </c>
    </row>
    <row r="17" spans="1:26" s="69" customFormat="1" ht="15" hidden="1" customHeight="1" outlineLevel="1" x14ac:dyDescent="0.3">
      <c r="A17" s="42"/>
      <c r="B17" s="12" t="str">
        <f>CONCATENATE("          ","4155"," - ","NON-TAXABLE SALES-FOOD")</f>
        <v xml:space="preserve">          4155 - NON-TAXABLE SALES-FOOD</v>
      </c>
      <c r="C17" s="12"/>
      <c r="D17" s="3">
        <f>--2054.61</f>
        <v>2054.61</v>
      </c>
      <c r="E17" s="3"/>
      <c r="F17" s="20"/>
      <c r="G17" s="3"/>
      <c r="H17" s="3">
        <f>0</f>
        <v>0</v>
      </c>
      <c r="I17" s="3"/>
      <c r="J17" s="20"/>
      <c r="K17" s="3"/>
      <c r="L17" s="3">
        <f t="shared" si="0"/>
        <v>2054.61</v>
      </c>
      <c r="M17" s="3"/>
      <c r="N17" s="20">
        <f t="shared" si="1"/>
        <v>0</v>
      </c>
      <c r="O17" s="12"/>
      <c r="P17" s="3">
        <f>--3799.32</f>
        <v>3799.32</v>
      </c>
      <c r="Q17" s="3"/>
      <c r="R17" s="20"/>
      <c r="S17" s="3"/>
      <c r="T17" s="3">
        <f>0</f>
        <v>0</v>
      </c>
      <c r="U17" s="3"/>
      <c r="V17" s="20"/>
      <c r="W17" s="3"/>
      <c r="X17" s="3">
        <f t="shared" si="2"/>
        <v>3799.32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collapsed="1" x14ac:dyDescent="0.3">
      <c r="A19" s="11"/>
      <c r="B19" s="27" t="s">
        <v>287</v>
      </c>
      <c r="C19" s="11"/>
      <c r="D19" s="5">
        <f>SUM(OSRRefD16x_0)</f>
        <v>348272.43</v>
      </c>
      <c r="E19" s="5"/>
      <c r="F19" s="13">
        <f>IF(D$12=0,0,D19/D$12)</f>
        <v>0.20215165359183285</v>
      </c>
      <c r="G19" s="5"/>
      <c r="H19" s="5">
        <f>SUM(OSRRefH16x_0)</f>
        <v>46906.81</v>
      </c>
      <c r="I19" s="5"/>
      <c r="J19" s="13">
        <f>IF(H$12=0,0,H19/H$12)</f>
        <v>0.52022845915285609</v>
      </c>
      <c r="K19" s="5"/>
      <c r="L19" s="5">
        <f>+D19-H19</f>
        <v>301365.62</v>
      </c>
      <c r="M19" s="5"/>
      <c r="N19" s="13">
        <f>IF(H19=0,0,L19/H19)</f>
        <v>6.4247732898485319</v>
      </c>
      <c r="O19" s="11"/>
      <c r="P19" s="5">
        <f>SUM(OSRRefP16x_0)</f>
        <v>2586663.36</v>
      </c>
      <c r="Q19" s="5"/>
      <c r="R19" s="13">
        <f>IF(P$12=0,0,P19/P$12)</f>
        <v>0.23674282796906038</v>
      </c>
      <c r="S19" s="5"/>
      <c r="T19" s="5">
        <f>SUM(OSRRefT16x_0)</f>
        <v>415890.18</v>
      </c>
      <c r="U19" s="5"/>
      <c r="V19" s="13">
        <f>IF(T$12=0,0,T19/T$12)</f>
        <v>0.441799090014733</v>
      </c>
      <c r="W19" s="5"/>
      <c r="X19" s="5">
        <f>+P19-T19</f>
        <v>2170773.1799999997</v>
      </c>
      <c r="Y19" s="5"/>
      <c r="Z19" s="13">
        <f>IF(T19=0,0,X19/T19)</f>
        <v>5.2195826792544118</v>
      </c>
    </row>
    <row r="20" spans="1:26" s="69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346701.43</v>
      </c>
      <c r="E20" s="3"/>
      <c r="F20" s="20">
        <f>IF(D$12=0,0,D20/D$12)</f>
        <v>0.20123978052799954</v>
      </c>
      <c r="G20" s="3"/>
      <c r="H20" s="3">
        <v>46411.81</v>
      </c>
      <c r="I20" s="3"/>
      <c r="J20" s="20">
        <f>IF(H$12=0,0,H20/H$12)</f>
        <v>0.51473857213473095</v>
      </c>
      <c r="K20" s="3"/>
      <c r="L20" s="3">
        <f>+D20-H20</f>
        <v>300289.62</v>
      </c>
      <c r="M20" s="3"/>
      <c r="N20" s="20">
        <f>IF(H20=0,0,L20/H20)</f>
        <v>6.4701122408283585</v>
      </c>
      <c r="O20" s="12"/>
      <c r="P20" s="3">
        <v>2626850.42</v>
      </c>
      <c r="Q20" s="3"/>
      <c r="R20" s="20">
        <f>IF(P$12=0,0,P20/P$12)</f>
        <v>0.24042092477102006</v>
      </c>
      <c r="S20" s="3"/>
      <c r="T20" s="3">
        <v>419669.88</v>
      </c>
      <c r="U20" s="3"/>
      <c r="V20" s="20">
        <f>IF(T$12=0,0,T20/T$12)</f>
        <v>0.44581425579847112</v>
      </c>
      <c r="W20" s="3"/>
      <c r="X20" s="3">
        <f>+P20-T20</f>
        <v>2207180.54</v>
      </c>
      <c r="Y20" s="3"/>
      <c r="Z20" s="20">
        <f>IF(T20=0,0,X20/T20)</f>
        <v>5.2593255918199322</v>
      </c>
    </row>
    <row r="21" spans="1:26" s="69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1571</v>
      </c>
      <c r="E21" s="3"/>
      <c r="F21" s="20">
        <f>IF(D$12=0,0,D21/D$12)</f>
        <v>9.1187306383330258E-4</v>
      </c>
      <c r="G21" s="3"/>
      <c r="H21" s="3">
        <v>495</v>
      </c>
      <c r="I21" s="3"/>
      <c r="J21" s="20">
        <f>IF(H$12=0,0,H21/H$12)</f>
        <v>5.4898870181251678E-3</v>
      </c>
      <c r="K21" s="3"/>
      <c r="L21" s="3">
        <f>+D21-H21</f>
        <v>1076</v>
      </c>
      <c r="M21" s="3"/>
      <c r="N21" s="20">
        <f>IF(H21=0,0,L21/H21)</f>
        <v>2.1737373737373735</v>
      </c>
      <c r="O21" s="12"/>
      <c r="P21" s="3">
        <v>-40187.06</v>
      </c>
      <c r="Q21" s="3"/>
      <c r="R21" s="20">
        <f>IF(P$12=0,0,P21/P$12)</f>
        <v>-3.6780968019596901E-3</v>
      </c>
      <c r="S21" s="3"/>
      <c r="T21" s="3">
        <v>-3779.7</v>
      </c>
      <c r="U21" s="3"/>
      <c r="V21" s="20">
        <f>IF(T$12=0,0,T21/T$12)</f>
        <v>-4.0151657837381163E-3</v>
      </c>
      <c r="W21" s="3"/>
      <c r="X21" s="3">
        <f>+P21-T21</f>
        <v>-36407.360000000001</v>
      </c>
      <c r="Y21" s="3"/>
      <c r="Z21" s="20">
        <f>IF(T21=0,0,X21/T21)</f>
        <v>9.6323411910998242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2" customFormat="1" ht="15" customHeight="1" x14ac:dyDescent="0.3">
      <c r="A23" s="11"/>
      <c r="B23" s="28" t="s">
        <v>288</v>
      </c>
      <c r="C23" s="28"/>
      <c r="D23" s="21">
        <f>D12-D19</f>
        <v>1374555.0800000003</v>
      </c>
      <c r="E23" s="15"/>
      <c r="F23" s="23">
        <f>IF(D$12=0,0,D23/D$12)</f>
        <v>0.79784834640816715</v>
      </c>
      <c r="G23" s="15"/>
      <c r="H23" s="21">
        <f>H12-H19</f>
        <v>43258.979999999996</v>
      </c>
      <c r="I23" s="15"/>
      <c r="J23" s="23">
        <f>IF(H$12=0,0,H23/H$12)</f>
        <v>0.47977154084714391</v>
      </c>
      <c r="K23" s="16"/>
      <c r="L23" s="21">
        <f>+D23-H23</f>
        <v>1331296.1000000003</v>
      </c>
      <c r="M23" s="16"/>
      <c r="N23" s="23">
        <f>IF(H23=0,0,L23/H23)</f>
        <v>30.775022896980012</v>
      </c>
      <c r="O23" s="27"/>
      <c r="P23" s="21">
        <f>P12-P19</f>
        <v>8339384.0400000028</v>
      </c>
      <c r="Q23" s="15"/>
      <c r="R23" s="23">
        <f>IF(P$12=0,0,P23/P$12)</f>
        <v>0.76325717203093968</v>
      </c>
      <c r="S23" s="15"/>
      <c r="T23" s="21">
        <f>T12-T19</f>
        <v>525465.72</v>
      </c>
      <c r="U23" s="15"/>
      <c r="V23" s="23">
        <f>IF(T$12=0,0,T23/T$12)</f>
        <v>0.55820090998526695</v>
      </c>
      <c r="W23" s="16"/>
      <c r="X23" s="21">
        <f>+P23-T23</f>
        <v>7813918.3200000031</v>
      </c>
      <c r="Y23" s="16"/>
      <c r="Z23" s="23">
        <f>IF(T23=0,0,X23/T23)</f>
        <v>14.870462567948302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2" customFormat="1" ht="15" customHeight="1" x14ac:dyDescent="0.3">
      <c r="A25" s="11"/>
      <c r="B25" s="27" t="s">
        <v>289</v>
      </c>
      <c r="C25" s="11"/>
      <c r="D25" s="22" cm="1">
        <f t="array" ref="D25">SUM(OSRRefD22x_0)</f>
        <v>618959.43000000017</v>
      </c>
      <c r="E25" s="22"/>
      <c r="F25" s="32">
        <f t="shared" ref="F25:F56" si="4">IF(D$12=0,0,D25/D$12)</f>
        <v>0.35926953012260648</v>
      </c>
      <c r="G25" s="22"/>
      <c r="H25" s="22" cm="1">
        <f t="array" ref="H25">SUM(OSRRefH22x_0)</f>
        <v>245981.20999999996</v>
      </c>
      <c r="I25" s="22"/>
      <c r="J25" s="32">
        <f t="shared" ref="J25:J56" si="5">IF(H$12=0,0,H25/H$12)</f>
        <v>2.7280990939024656</v>
      </c>
      <c r="K25" s="5"/>
      <c r="L25" s="22">
        <f t="shared" ref="L25:L56" si="6">+D25-H25</f>
        <v>372978.2200000002</v>
      </c>
      <c r="M25" s="5"/>
      <c r="N25" s="32">
        <f t="shared" ref="N25:N56" si="7">IF(H25=0,0,L25/H25)</f>
        <v>1.5162874432563376</v>
      </c>
      <c r="O25" s="11"/>
      <c r="P25" s="22" cm="1">
        <f t="array" ref="P25">SUM(OSRRefP22x_0)</f>
        <v>4760389.3999999994</v>
      </c>
      <c r="Q25" s="22"/>
      <c r="R25" s="32">
        <f t="shared" ref="R25:R56" si="8">IF(P$12=0,0,P25/P$12)</f>
        <v>0.43569181294234532</v>
      </c>
      <c r="S25" s="22"/>
      <c r="T25" s="22" cm="1">
        <f t="array" ref="T25">SUM(OSRRefT22x_0)</f>
        <v>2267346.9099999992</v>
      </c>
      <c r="U25" s="22"/>
      <c r="V25" s="32">
        <f t="shared" ref="V25:V56" si="9">IF(T$12=0,0,T25/T$12)</f>
        <v>2.4085969079282332</v>
      </c>
      <c r="W25" s="5"/>
      <c r="X25" s="22">
        <f t="shared" ref="X25:X56" si="10">+P25-T25</f>
        <v>2493042.4900000002</v>
      </c>
      <c r="Y25" s="5"/>
      <c r="Z25" s="32">
        <f t="shared" ref="Z25:Z56" si="11">IF(T25=0,0,X25/T25)</f>
        <v>1.0995417062138062</v>
      </c>
    </row>
    <row r="26" spans="1:26" s="68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98184.59</v>
      </c>
      <c r="E26" s="2"/>
      <c r="F26" s="6">
        <f t="shared" si="4"/>
        <v>5.699037740580308E-2</v>
      </c>
      <c r="G26" s="2"/>
      <c r="H26" s="2">
        <f>SUM(OSRRefH22_0x_0)</f>
        <v>82804.11</v>
      </c>
      <c r="I26" s="2"/>
      <c r="J26" s="6">
        <f t="shared" si="5"/>
        <v>0.91835395663920882</v>
      </c>
      <c r="K26" s="2"/>
      <c r="L26" s="2">
        <f t="shared" si="6"/>
        <v>15380.479999999996</v>
      </c>
      <c r="M26" s="2"/>
      <c r="N26" s="6">
        <f t="shared" si="7"/>
        <v>0.18574536940255737</v>
      </c>
      <c r="O26" s="14"/>
      <c r="P26" s="2">
        <f>SUM(OSRRefP22_0x_0)</f>
        <v>871947.44000000006</v>
      </c>
      <c r="Q26" s="2"/>
      <c r="R26" s="6">
        <f t="shared" si="8"/>
        <v>7.9804471651843636E-2</v>
      </c>
      <c r="S26" s="2"/>
      <c r="T26" s="2">
        <f>SUM(OSRRefT22_0x_0)</f>
        <v>773204.69</v>
      </c>
      <c r="U26" s="2"/>
      <c r="V26" s="6">
        <f t="shared" si="9"/>
        <v>0.82137339342112792</v>
      </c>
      <c r="W26" s="2"/>
      <c r="X26" s="2">
        <f t="shared" si="10"/>
        <v>98742.750000000116</v>
      </c>
      <c r="Y26" s="2"/>
      <c r="Z26" s="6">
        <f t="shared" si="11"/>
        <v>0.12770583427268156</v>
      </c>
    </row>
    <row r="27" spans="1:26" s="69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17074.03</v>
      </c>
      <c r="E27" s="3"/>
      <c r="F27" s="7">
        <f t="shared" si="4"/>
        <v>9.9104697950870291E-3</v>
      </c>
      <c r="G27" s="3"/>
      <c r="H27" s="8">
        <v>11026.35</v>
      </c>
      <c r="I27" s="3"/>
      <c r="J27" s="7">
        <f t="shared" si="5"/>
        <v>0.12228972873192816</v>
      </c>
      <c r="K27" s="3"/>
      <c r="L27" s="8">
        <f t="shared" si="6"/>
        <v>6047.6799999999985</v>
      </c>
      <c r="M27" s="3"/>
      <c r="N27" s="7">
        <f t="shared" si="7"/>
        <v>0.5484752433942327</v>
      </c>
      <c r="O27" s="12"/>
      <c r="P27" s="8">
        <v>123911.82</v>
      </c>
      <c r="Q27" s="3"/>
      <c r="R27" s="7">
        <f t="shared" si="8"/>
        <v>1.134095574214697E-2</v>
      </c>
      <c r="S27" s="3"/>
      <c r="T27" s="8">
        <v>82188.009999999995</v>
      </c>
      <c r="U27" s="3"/>
      <c r="V27" s="7">
        <f t="shared" si="9"/>
        <v>8.7308115878383497E-2</v>
      </c>
      <c r="W27" s="3"/>
      <c r="X27" s="8">
        <f t="shared" si="10"/>
        <v>41723.810000000012</v>
      </c>
      <c r="Y27" s="3"/>
      <c r="Z27" s="7">
        <f t="shared" si="11"/>
        <v>0.50766297906470803</v>
      </c>
    </row>
    <row r="28" spans="1:26" s="69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8148.04</v>
      </c>
      <c r="E28" s="3"/>
      <c r="F28" s="7">
        <f t="shared" si="4"/>
        <v>4.7294577969677291E-3</v>
      </c>
      <c r="G28" s="3"/>
      <c r="H28" s="8">
        <v>4428.88</v>
      </c>
      <c r="I28" s="3"/>
      <c r="J28" s="7">
        <f t="shared" si="5"/>
        <v>4.9119294579463013E-2</v>
      </c>
      <c r="K28" s="3"/>
      <c r="L28" s="8">
        <f t="shared" si="6"/>
        <v>3719.16</v>
      </c>
      <c r="M28" s="3"/>
      <c r="N28" s="7">
        <f t="shared" si="7"/>
        <v>0.83975181084156714</v>
      </c>
      <c r="O28" s="12"/>
      <c r="P28" s="8">
        <v>77305.25</v>
      </c>
      <c r="Q28" s="3"/>
      <c r="R28" s="7">
        <f t="shared" si="8"/>
        <v>7.0753170995761913E-3</v>
      </c>
      <c r="S28" s="3"/>
      <c r="T28" s="8">
        <v>48775.44</v>
      </c>
      <c r="U28" s="3"/>
      <c r="V28" s="7">
        <f t="shared" si="9"/>
        <v>5.1814026979594009E-2</v>
      </c>
      <c r="W28" s="3"/>
      <c r="X28" s="8">
        <f t="shared" si="10"/>
        <v>28529.809999999998</v>
      </c>
      <c r="Y28" s="3"/>
      <c r="Z28" s="7">
        <f t="shared" si="11"/>
        <v>0.58492163269055075</v>
      </c>
    </row>
    <row r="29" spans="1:26" s="69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41541.21</v>
      </c>
      <c r="E29" s="3"/>
      <c r="F29" s="7">
        <f t="shared" si="4"/>
        <v>2.4112228159161444E-2</v>
      </c>
      <c r="G29" s="3"/>
      <c r="H29" s="8">
        <v>44853.96</v>
      </c>
      <c r="I29" s="3"/>
      <c r="J29" s="7">
        <f t="shared" si="5"/>
        <v>0.49746095498081927</v>
      </c>
      <c r="K29" s="3"/>
      <c r="L29" s="8">
        <f t="shared" si="6"/>
        <v>-3312.75</v>
      </c>
      <c r="M29" s="3"/>
      <c r="N29" s="7">
        <f t="shared" si="7"/>
        <v>-7.385635515793923E-2</v>
      </c>
      <c r="O29" s="12"/>
      <c r="P29" s="8">
        <v>426527.22</v>
      </c>
      <c r="Q29" s="3"/>
      <c r="R29" s="7">
        <f t="shared" si="8"/>
        <v>3.9037650523097663E-2</v>
      </c>
      <c r="S29" s="3"/>
      <c r="T29" s="8">
        <v>448686.85</v>
      </c>
      <c r="U29" s="3"/>
      <c r="V29" s="7">
        <f t="shared" si="9"/>
        <v>0.47663890989582153</v>
      </c>
      <c r="W29" s="3"/>
      <c r="X29" s="8">
        <f t="shared" si="10"/>
        <v>-22159.630000000005</v>
      </c>
      <c r="Y29" s="3"/>
      <c r="Z29" s="7">
        <f t="shared" si="11"/>
        <v>-4.9387741138390853E-2</v>
      </c>
    </row>
    <row r="30" spans="1:26" s="69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588.44000000000005</v>
      </c>
      <c r="E30" s="3"/>
      <c r="F30" s="7">
        <f t="shared" si="4"/>
        <v>3.4155479674224612E-4</v>
      </c>
      <c r="G30" s="3"/>
      <c r="H30" s="8">
        <v>268.93</v>
      </c>
      <c r="I30" s="3"/>
      <c r="J30" s="7">
        <f t="shared" si="5"/>
        <v>2.9826167995644472E-3</v>
      </c>
      <c r="K30" s="3"/>
      <c r="L30" s="8">
        <f t="shared" si="6"/>
        <v>319.51000000000005</v>
      </c>
      <c r="M30" s="3"/>
      <c r="N30" s="7">
        <f t="shared" si="7"/>
        <v>1.1880786821849554</v>
      </c>
      <c r="O30" s="12"/>
      <c r="P30" s="8">
        <v>5583.12</v>
      </c>
      <c r="Q30" s="3"/>
      <c r="R30" s="7">
        <f t="shared" si="8"/>
        <v>5.1099174253994167E-4</v>
      </c>
      <c r="S30" s="3"/>
      <c r="T30" s="8">
        <v>3044.5</v>
      </c>
      <c r="U30" s="3"/>
      <c r="V30" s="7">
        <f t="shared" si="9"/>
        <v>3.2341646767179129E-3</v>
      </c>
      <c r="W30" s="3"/>
      <c r="X30" s="8">
        <f t="shared" si="10"/>
        <v>2538.62</v>
      </c>
      <c r="Y30" s="3"/>
      <c r="Z30" s="7">
        <f t="shared" si="11"/>
        <v>0.83383806864838228</v>
      </c>
    </row>
    <row r="31" spans="1:26" s="69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5381.54</v>
      </c>
      <c r="E31" s="3"/>
      <c r="F31" s="7">
        <f t="shared" si="4"/>
        <v>3.1236673252332727E-3</v>
      </c>
      <c r="G31" s="3"/>
      <c r="H31" s="8">
        <v>3594.3</v>
      </c>
      <c r="I31" s="3"/>
      <c r="J31" s="7">
        <f t="shared" si="5"/>
        <v>3.9863234160095538E-2</v>
      </c>
      <c r="K31" s="3"/>
      <c r="L31" s="8">
        <f t="shared" si="6"/>
        <v>1787.2399999999998</v>
      </c>
      <c r="M31" s="3"/>
      <c r="N31" s="7">
        <f t="shared" si="7"/>
        <v>0.49724285674540236</v>
      </c>
      <c r="O31" s="12"/>
      <c r="P31" s="8">
        <v>42874.42</v>
      </c>
      <c r="Q31" s="3"/>
      <c r="R31" s="7">
        <f t="shared" si="8"/>
        <v>3.9240558301074178E-3</v>
      </c>
      <c r="S31" s="3"/>
      <c r="T31" s="8">
        <v>39738.68</v>
      </c>
      <c r="U31" s="3"/>
      <c r="V31" s="7">
        <f t="shared" si="9"/>
        <v>4.2214299607619181E-2</v>
      </c>
      <c r="W31" s="3"/>
      <c r="X31" s="8">
        <f t="shared" si="10"/>
        <v>3135.739999999998</v>
      </c>
      <c r="Y31" s="3"/>
      <c r="Z31" s="7">
        <f t="shared" si="11"/>
        <v>7.8909012579179733E-2</v>
      </c>
    </row>
    <row r="32" spans="1:26" s="69" customFormat="1" ht="15" hidden="1" customHeight="1" outlineLevel="2" x14ac:dyDescent="0.3">
      <c r="A32" s="26"/>
      <c r="B32" s="12" t="str">
        <f>CONCATENATE("          ","6117"," - ","RETIREMENT STAFF HOURLY")</f>
        <v xml:space="preserve">          6117 - RETIREMENT STAFF HOURLY</v>
      </c>
      <c r="C32" s="12"/>
      <c r="D32" s="8">
        <v>1458.82</v>
      </c>
      <c r="E32" s="3"/>
      <c r="F32" s="7">
        <f t="shared" si="4"/>
        <v>8.4675917439929881E-4</v>
      </c>
      <c r="G32" s="3"/>
      <c r="H32" s="8">
        <v>1408.97</v>
      </c>
      <c r="I32" s="3"/>
      <c r="J32" s="7">
        <f t="shared" si="5"/>
        <v>1.5626436589753167E-2</v>
      </c>
      <c r="K32" s="3"/>
      <c r="L32" s="8">
        <f t="shared" si="6"/>
        <v>49.849999999999909</v>
      </c>
      <c r="M32" s="3"/>
      <c r="N32" s="7">
        <f t="shared" si="7"/>
        <v>3.5380455226158049E-2</v>
      </c>
      <c r="O32" s="12"/>
      <c r="P32" s="8">
        <v>16882.009999999998</v>
      </c>
      <c r="Q32" s="3"/>
      <c r="R32" s="7">
        <f t="shared" si="8"/>
        <v>1.5451159400974221E-3</v>
      </c>
      <c r="S32" s="3"/>
      <c r="T32" s="8">
        <v>15402.89</v>
      </c>
      <c r="U32" s="3"/>
      <c r="V32" s="7">
        <f t="shared" si="9"/>
        <v>1.6362451225939094E-2</v>
      </c>
      <c r="W32" s="3"/>
      <c r="X32" s="8">
        <f t="shared" si="10"/>
        <v>1479.119999999999</v>
      </c>
      <c r="Y32" s="3"/>
      <c r="Z32" s="7">
        <f t="shared" si="11"/>
        <v>9.6028732270372577E-2</v>
      </c>
    </row>
    <row r="33" spans="1:26" s="69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10901.12</v>
      </c>
      <c r="E33" s="3"/>
      <c r="F33" s="7">
        <f t="shared" si="4"/>
        <v>6.3274587483224017E-3</v>
      </c>
      <c r="G33" s="3"/>
      <c r="H33" s="8">
        <v>9052.56</v>
      </c>
      <c r="I33" s="3"/>
      <c r="J33" s="7">
        <f t="shared" si="5"/>
        <v>0.10039905378747306</v>
      </c>
      <c r="K33" s="3"/>
      <c r="L33" s="8">
        <f t="shared" si="6"/>
        <v>1848.5600000000013</v>
      </c>
      <c r="M33" s="3"/>
      <c r="N33" s="7">
        <f t="shared" si="7"/>
        <v>0.20420300997728835</v>
      </c>
      <c r="O33" s="12"/>
      <c r="P33" s="8">
        <v>81416.13</v>
      </c>
      <c r="Q33" s="3"/>
      <c r="R33" s="7">
        <f t="shared" si="8"/>
        <v>7.4515629503858812E-3</v>
      </c>
      <c r="S33" s="3"/>
      <c r="T33" s="8">
        <v>66990.45</v>
      </c>
      <c r="U33" s="3"/>
      <c r="V33" s="7">
        <f t="shared" si="9"/>
        <v>7.1163786193935791E-2</v>
      </c>
      <c r="W33" s="3"/>
      <c r="X33" s="8">
        <f t="shared" si="10"/>
        <v>14425.680000000008</v>
      </c>
      <c r="Y33" s="3"/>
      <c r="Z33" s="7">
        <f t="shared" si="11"/>
        <v>0.2153393506089302</v>
      </c>
    </row>
    <row r="34" spans="1:26" s="69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8798.7000000000007</v>
      </c>
      <c r="E34" s="3"/>
      <c r="F34" s="7">
        <f t="shared" si="4"/>
        <v>5.1071276427435263E-3</v>
      </c>
      <c r="G34" s="3"/>
      <c r="H34" s="8">
        <v>6113.16</v>
      </c>
      <c r="I34" s="3"/>
      <c r="J34" s="7">
        <f t="shared" si="5"/>
        <v>6.779910651256979E-2</v>
      </c>
      <c r="K34" s="3"/>
      <c r="L34" s="8">
        <f t="shared" si="6"/>
        <v>2685.5400000000009</v>
      </c>
      <c r="M34" s="3"/>
      <c r="N34" s="7">
        <f t="shared" si="7"/>
        <v>0.43930471311073177</v>
      </c>
      <c r="O34" s="12"/>
      <c r="P34" s="8">
        <v>63309.32</v>
      </c>
      <c r="Q34" s="3"/>
      <c r="R34" s="7">
        <f t="shared" si="8"/>
        <v>5.79434791761932E-3</v>
      </c>
      <c r="S34" s="3"/>
      <c r="T34" s="8">
        <v>45349.46</v>
      </c>
      <c r="U34" s="3"/>
      <c r="V34" s="7">
        <f t="shared" si="9"/>
        <v>4.8174617060348798E-2</v>
      </c>
      <c r="W34" s="3"/>
      <c r="X34" s="8">
        <f t="shared" si="10"/>
        <v>17959.86</v>
      </c>
      <c r="Y34" s="3"/>
      <c r="Z34" s="7">
        <f t="shared" si="11"/>
        <v>0.39603249961521042</v>
      </c>
    </row>
    <row r="35" spans="1:26" s="69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4292.6899999999996</v>
      </c>
      <c r="E35" s="3"/>
      <c r="F35" s="7">
        <f t="shared" si="4"/>
        <v>2.4916539671461357E-3</v>
      </c>
      <c r="G35" s="3"/>
      <c r="H35" s="8">
        <v>2057</v>
      </c>
      <c r="I35" s="3"/>
      <c r="J35" s="7">
        <f t="shared" si="5"/>
        <v>2.2813530497542363E-2</v>
      </c>
      <c r="K35" s="3"/>
      <c r="L35" s="8">
        <f t="shared" si="6"/>
        <v>2235.6899999999996</v>
      </c>
      <c r="M35" s="3"/>
      <c r="N35" s="7">
        <f t="shared" si="7"/>
        <v>1.0868692270296547</v>
      </c>
      <c r="O35" s="12"/>
      <c r="P35" s="8">
        <v>34138.15</v>
      </c>
      <c r="Q35" s="3"/>
      <c r="R35" s="7">
        <f t="shared" si="8"/>
        <v>3.1244739062728207E-3</v>
      </c>
      <c r="S35" s="3"/>
      <c r="T35" s="8">
        <v>23028.41</v>
      </c>
      <c r="U35" s="3"/>
      <c r="V35" s="7">
        <f t="shared" si="9"/>
        <v>2.4463021902768122E-2</v>
      </c>
      <c r="W35" s="3"/>
      <c r="X35" s="8">
        <f t="shared" si="10"/>
        <v>11109.740000000002</v>
      </c>
      <c r="Y35" s="3"/>
      <c r="Z35" s="7">
        <f t="shared" si="11"/>
        <v>0.48243626025418174</v>
      </c>
    </row>
    <row r="36" spans="1:26" s="68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300268.41000000003</v>
      </c>
      <c r="E36" s="2"/>
      <c r="F36" s="6">
        <f t="shared" si="4"/>
        <v>0.17428814449335092</v>
      </c>
      <c r="G36" s="2"/>
      <c r="H36" s="2">
        <f>SUM(OSRRefH22_1x_0)</f>
        <v>116919.33</v>
      </c>
      <c r="I36" s="2"/>
      <c r="J36" s="6">
        <f t="shared" si="5"/>
        <v>1.2967149736058432</v>
      </c>
      <c r="K36" s="2"/>
      <c r="L36" s="2">
        <f t="shared" si="6"/>
        <v>183349.08000000002</v>
      </c>
      <c r="M36" s="2"/>
      <c r="N36" s="6">
        <f t="shared" si="7"/>
        <v>1.5681673851535072</v>
      </c>
      <c r="O36" s="14"/>
      <c r="P36" s="2">
        <f>SUM(OSRRefP22_1x_0)</f>
        <v>2372810.0900000003</v>
      </c>
      <c r="Q36" s="2"/>
      <c r="R36" s="6">
        <f t="shared" si="8"/>
        <v>0.21717003442617316</v>
      </c>
      <c r="S36" s="2"/>
      <c r="T36" s="2">
        <f>SUM(OSRRefT22_1x_0)</f>
        <v>1068221.18</v>
      </c>
      <c r="U36" s="2"/>
      <c r="V36" s="6">
        <f t="shared" si="9"/>
        <v>1.1347686671959032</v>
      </c>
      <c r="W36" s="2"/>
      <c r="X36" s="2">
        <f t="shared" si="10"/>
        <v>1304588.9100000004</v>
      </c>
      <c r="Y36" s="2"/>
      <c r="Z36" s="6">
        <f t="shared" si="11"/>
        <v>1.2212722743430349</v>
      </c>
    </row>
    <row r="37" spans="1:26" s="69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8">
        <v>10250.19</v>
      </c>
      <c r="E37" s="3"/>
      <c r="F37" s="7">
        <f t="shared" si="4"/>
        <v>5.9496321834331513E-3</v>
      </c>
      <c r="G37" s="3"/>
      <c r="H37" s="8">
        <v>8959.42</v>
      </c>
      <c r="I37" s="3"/>
      <c r="J37" s="7">
        <f t="shared" si="5"/>
        <v>9.9366067773597952E-2</v>
      </c>
      <c r="K37" s="3"/>
      <c r="L37" s="8">
        <f t="shared" si="6"/>
        <v>1290.7700000000004</v>
      </c>
      <c r="M37" s="3"/>
      <c r="N37" s="7">
        <f t="shared" si="7"/>
        <v>0.1440684776469906</v>
      </c>
      <c r="O37" s="12"/>
      <c r="P37" s="8">
        <v>94415.56</v>
      </c>
      <c r="Q37" s="3"/>
      <c r="R37" s="7">
        <f t="shared" si="8"/>
        <v>8.6413280616007559E-3</v>
      </c>
      <c r="S37" s="3"/>
      <c r="T37" s="8">
        <v>91164.32</v>
      </c>
      <c r="U37" s="3"/>
      <c r="V37" s="7">
        <f t="shared" si="9"/>
        <v>9.6843627367715027E-2</v>
      </c>
      <c r="W37" s="3"/>
      <c r="X37" s="8">
        <f t="shared" si="10"/>
        <v>3251.2399999999907</v>
      </c>
      <c r="Y37" s="3"/>
      <c r="Z37" s="7">
        <f t="shared" si="11"/>
        <v>3.5663513971255313E-2</v>
      </c>
    </row>
    <row r="38" spans="1:26" s="69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8">
        <v>39269.78</v>
      </c>
      <c r="E38" s="3"/>
      <c r="F38" s="7">
        <f t="shared" si="4"/>
        <v>2.2793796692972469E-2</v>
      </c>
      <c r="G38" s="3"/>
      <c r="H38" s="8">
        <v>31093.77</v>
      </c>
      <c r="I38" s="3"/>
      <c r="J38" s="7">
        <f t="shared" si="5"/>
        <v>0.34485107932842379</v>
      </c>
      <c r="K38" s="3"/>
      <c r="L38" s="8">
        <f t="shared" si="6"/>
        <v>8176.0099999999984</v>
      </c>
      <c r="M38" s="3"/>
      <c r="N38" s="7">
        <f t="shared" si="7"/>
        <v>0.2629468861447164</v>
      </c>
      <c r="O38" s="12"/>
      <c r="P38" s="8">
        <v>377240.39</v>
      </c>
      <c r="Q38" s="3"/>
      <c r="R38" s="7">
        <f t="shared" si="8"/>
        <v>3.4526702675662921E-2</v>
      </c>
      <c r="S38" s="3"/>
      <c r="T38" s="8">
        <v>290362.64</v>
      </c>
      <c r="U38" s="3"/>
      <c r="V38" s="7">
        <f t="shared" si="9"/>
        <v>0.30845150064922311</v>
      </c>
      <c r="W38" s="3"/>
      <c r="X38" s="8">
        <f t="shared" si="10"/>
        <v>86877.75</v>
      </c>
      <c r="Y38" s="3"/>
      <c r="Z38" s="7">
        <f t="shared" si="11"/>
        <v>0.29920429845933344</v>
      </c>
    </row>
    <row r="39" spans="1:26" s="69" customFormat="1" ht="15" hidden="1" customHeight="1" outlineLevel="2" x14ac:dyDescent="0.3">
      <c r="A39" s="26"/>
      <c r="B39" s="12" t="str">
        <f>CONCATENATE("          ","6004"," - ","STAFF HOURLY")</f>
        <v xml:space="preserve">          6004 - STAFF HOURLY</v>
      </c>
      <c r="C39" s="12"/>
      <c r="D39" s="8">
        <v>107469.03</v>
      </c>
      <c r="E39" s="3"/>
      <c r="F39" s="7">
        <f t="shared" si="4"/>
        <v>6.2379448538060545E-2</v>
      </c>
      <c r="G39" s="3"/>
      <c r="H39" s="8">
        <v>66076.2</v>
      </c>
      <c r="I39" s="3"/>
      <c r="J39" s="7">
        <f t="shared" si="5"/>
        <v>0.73283004563038823</v>
      </c>
      <c r="K39" s="3"/>
      <c r="L39" s="8">
        <f t="shared" si="6"/>
        <v>41392.83</v>
      </c>
      <c r="M39" s="3"/>
      <c r="N39" s="7">
        <f t="shared" si="7"/>
        <v>0.62644083648878124</v>
      </c>
      <c r="O39" s="12"/>
      <c r="P39" s="8">
        <v>781631.51</v>
      </c>
      <c r="Q39" s="3"/>
      <c r="R39" s="7">
        <f t="shared" si="8"/>
        <v>7.1538359791483222E-2</v>
      </c>
      <c r="S39" s="3"/>
      <c r="T39" s="8">
        <v>462448.16</v>
      </c>
      <c r="U39" s="3"/>
      <c r="V39" s="7">
        <f t="shared" si="9"/>
        <v>0.491257514825158</v>
      </c>
      <c r="W39" s="3"/>
      <c r="X39" s="8">
        <f t="shared" si="10"/>
        <v>319183.35000000003</v>
      </c>
      <c r="Y39" s="3"/>
      <c r="Z39" s="7">
        <f t="shared" si="11"/>
        <v>0.69020352465020096</v>
      </c>
    </row>
    <row r="40" spans="1:26" s="69" customFormat="1" ht="15" hidden="1" customHeight="1" outlineLevel="2" x14ac:dyDescent="0.3">
      <c r="A40" s="26"/>
      <c r="B40" s="12" t="str">
        <f>CONCATENATE("          ","6005"," - ","TEMPORARY WAGES-HOURLY")</f>
        <v xml:space="preserve">          6005 - TEMPORARY WAGES-HOURLY</v>
      </c>
      <c r="C40" s="12"/>
      <c r="D40" s="8">
        <v>38191.879999999997</v>
      </c>
      <c r="E40" s="3"/>
      <c r="F40" s="7">
        <f t="shared" si="4"/>
        <v>2.2168139165597602E-2</v>
      </c>
      <c r="G40" s="3"/>
      <c r="H40" s="8">
        <v>10614.88</v>
      </c>
      <c r="I40" s="3"/>
      <c r="J40" s="7">
        <f t="shared" si="5"/>
        <v>0.11772624628476056</v>
      </c>
      <c r="K40" s="3"/>
      <c r="L40" s="8">
        <f t="shared" si="6"/>
        <v>27577</v>
      </c>
      <c r="M40" s="3"/>
      <c r="N40" s="7">
        <f t="shared" si="7"/>
        <v>2.5979568304116487</v>
      </c>
      <c r="O40" s="12"/>
      <c r="P40" s="8">
        <v>369801.48</v>
      </c>
      <c r="Q40" s="3"/>
      <c r="R40" s="7">
        <f t="shared" si="8"/>
        <v>3.3845860855408694E-2</v>
      </c>
      <c r="S40" s="3"/>
      <c r="T40" s="8">
        <v>99974.07</v>
      </c>
      <c r="U40" s="3"/>
      <c r="V40" s="7">
        <f t="shared" si="9"/>
        <v>0.10620220258884021</v>
      </c>
      <c r="W40" s="3"/>
      <c r="X40" s="8">
        <f t="shared" si="10"/>
        <v>269827.40999999997</v>
      </c>
      <c r="Y40" s="3"/>
      <c r="Z40" s="7">
        <f t="shared" si="11"/>
        <v>2.6989739439436642</v>
      </c>
    </row>
    <row r="41" spans="1:26" s="69" customFormat="1" ht="15" hidden="1" customHeight="1" outlineLevel="2" x14ac:dyDescent="0.3">
      <c r="A41" s="26"/>
      <c r="B41" s="12" t="str">
        <f>CONCATENATE("          ","6006"," - ","TEMPORARY PART TIME")</f>
        <v xml:space="preserve">          6006 - TEMPORARY PART TIME</v>
      </c>
      <c r="C41" s="12"/>
      <c r="D41" s="8">
        <v>3639.92</v>
      </c>
      <c r="E41" s="3"/>
      <c r="F41" s="7">
        <f t="shared" si="4"/>
        <v>2.1127593905207608E-3</v>
      </c>
      <c r="G41" s="3"/>
      <c r="H41" s="8">
        <v>847.56</v>
      </c>
      <c r="I41" s="3"/>
      <c r="J41" s="7">
        <f t="shared" si="5"/>
        <v>9.4000174567316491E-3</v>
      </c>
      <c r="K41" s="3"/>
      <c r="L41" s="8">
        <f t="shared" si="6"/>
        <v>2792.36</v>
      </c>
      <c r="M41" s="3"/>
      <c r="N41" s="7">
        <f t="shared" si="7"/>
        <v>3.2945868139128796</v>
      </c>
      <c r="O41" s="12"/>
      <c r="P41" s="8">
        <v>7203.72</v>
      </c>
      <c r="Q41" s="3"/>
      <c r="R41" s="7">
        <f t="shared" si="8"/>
        <v>6.5931619516862048E-4</v>
      </c>
      <c r="S41" s="3"/>
      <c r="T41" s="8">
        <v>2174.52</v>
      </c>
      <c r="U41" s="3"/>
      <c r="V41" s="7">
        <f t="shared" si="9"/>
        <v>2.3099871153938697E-3</v>
      </c>
      <c r="W41" s="3"/>
      <c r="X41" s="8">
        <f t="shared" si="10"/>
        <v>5029.2000000000007</v>
      </c>
      <c r="Y41" s="3"/>
      <c r="Z41" s="7">
        <f t="shared" si="11"/>
        <v>2.3127862700733957</v>
      </c>
    </row>
    <row r="42" spans="1:26" s="69" customFormat="1" ht="15" hidden="1" customHeight="1" outlineLevel="2" x14ac:dyDescent="0.3">
      <c r="A42" s="26"/>
      <c r="B42" s="12" t="str">
        <f>CONCATENATE("          ","6007"," - ","STUDENT HOURLY")</f>
        <v xml:space="preserve">          6007 - STUDENT HOURLY</v>
      </c>
      <c r="C42" s="12"/>
      <c r="D42" s="8">
        <v>45897.96</v>
      </c>
      <c r="E42" s="3"/>
      <c r="F42" s="7">
        <f t="shared" si="4"/>
        <v>2.6641065187077255E-2</v>
      </c>
      <c r="G42" s="3"/>
      <c r="H42" s="8">
        <v>-672.5</v>
      </c>
      <c r="I42" s="3"/>
      <c r="J42" s="7">
        <f t="shared" si="5"/>
        <v>-7.4584828680589396E-3</v>
      </c>
      <c r="K42" s="3"/>
      <c r="L42" s="8">
        <f t="shared" si="6"/>
        <v>46570.46</v>
      </c>
      <c r="M42" s="3"/>
      <c r="N42" s="7">
        <f t="shared" si="7"/>
        <v>-69.249754646840145</v>
      </c>
      <c r="O42" s="12"/>
      <c r="P42" s="8">
        <v>519808.25</v>
      </c>
      <c r="Q42" s="3"/>
      <c r="R42" s="7">
        <f t="shared" si="8"/>
        <v>4.7575141400173673E-2</v>
      </c>
      <c r="S42" s="3"/>
      <c r="T42" s="8">
        <v>111466.59</v>
      </c>
      <c r="U42" s="3"/>
      <c r="V42" s="7">
        <f t="shared" si="9"/>
        <v>0.1184106776193786</v>
      </c>
      <c r="W42" s="3"/>
      <c r="X42" s="8">
        <f t="shared" si="10"/>
        <v>408341.66000000003</v>
      </c>
      <c r="Y42" s="3"/>
      <c r="Z42" s="7">
        <f t="shared" si="11"/>
        <v>3.6633547325705402</v>
      </c>
    </row>
    <row r="43" spans="1:26" s="69" customFormat="1" ht="15" hidden="1" customHeight="1" outlineLevel="2" x14ac:dyDescent="0.3">
      <c r="A43" s="26"/>
      <c r="B43" s="12" t="str">
        <f>CONCATENATE("          ","6008"," - ","STUDENT HOURLY-FICA EXEMPT")</f>
        <v xml:space="preserve">          6008 - STUDENT HOURLY-FICA EXEMPT</v>
      </c>
      <c r="C43" s="12"/>
      <c r="D43" s="8">
        <v>55549.65</v>
      </c>
      <c r="E43" s="3"/>
      <c r="F43" s="7">
        <f t="shared" si="4"/>
        <v>3.224330333568913E-2</v>
      </c>
      <c r="G43" s="3"/>
      <c r="H43" s="8"/>
      <c r="I43" s="3"/>
      <c r="J43" s="7">
        <f t="shared" si="5"/>
        <v>0</v>
      </c>
      <c r="K43" s="3"/>
      <c r="L43" s="8">
        <f t="shared" si="6"/>
        <v>55549.65</v>
      </c>
      <c r="M43" s="3"/>
      <c r="N43" s="7">
        <f t="shared" si="7"/>
        <v>0</v>
      </c>
      <c r="O43" s="12"/>
      <c r="P43" s="8">
        <v>222709.18</v>
      </c>
      <c r="Q43" s="3"/>
      <c r="R43" s="7">
        <f t="shared" si="8"/>
        <v>2.038332544667525E-2</v>
      </c>
      <c r="S43" s="3"/>
      <c r="T43" s="8">
        <v>10630.88</v>
      </c>
      <c r="U43" s="3"/>
      <c r="V43" s="7">
        <f t="shared" si="9"/>
        <v>1.1293157030194423E-2</v>
      </c>
      <c r="W43" s="3"/>
      <c r="X43" s="8">
        <f t="shared" si="10"/>
        <v>212078.3</v>
      </c>
      <c r="Y43" s="3"/>
      <c r="Z43" s="7">
        <f t="shared" si="11"/>
        <v>19.949270427283537</v>
      </c>
    </row>
    <row r="44" spans="1:26" s="68" customFormat="1" ht="15" customHeight="1" outlineLevel="1" collapsed="1" x14ac:dyDescent="0.3">
      <c r="A44" s="25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208.76</v>
      </c>
      <c r="E44" s="2"/>
      <c r="F44" s="6">
        <f t="shared" si="4"/>
        <v>1.2117289675737762E-4</v>
      </c>
      <c r="G44" s="2"/>
      <c r="H44" s="2">
        <f>SUM(OSRRefH22_2x_0)</f>
        <v>122.76</v>
      </c>
      <c r="I44" s="2"/>
      <c r="J44" s="6">
        <f t="shared" si="5"/>
        <v>1.3614919804950415E-3</v>
      </c>
      <c r="K44" s="2"/>
      <c r="L44" s="2">
        <f t="shared" si="6"/>
        <v>85.999999999999986</v>
      </c>
      <c r="M44" s="2"/>
      <c r="N44" s="6">
        <f t="shared" si="7"/>
        <v>0.70055392636037783</v>
      </c>
      <c r="O44" s="14"/>
      <c r="P44" s="2">
        <f>SUM(OSRRefP22_2x_0)</f>
        <v>3835.15</v>
      </c>
      <c r="Q44" s="2"/>
      <c r="R44" s="6">
        <f t="shared" si="8"/>
        <v>3.5100982629820911E-4</v>
      </c>
      <c r="S44" s="2"/>
      <c r="T44" s="2">
        <f>SUM(OSRRefT22_2x_0)</f>
        <v>1567.93</v>
      </c>
      <c r="U44" s="2"/>
      <c r="V44" s="6">
        <f t="shared" si="9"/>
        <v>1.6656080872282206E-3</v>
      </c>
      <c r="W44" s="2"/>
      <c r="X44" s="2">
        <f t="shared" si="10"/>
        <v>2267.2200000000003</v>
      </c>
      <c r="Y44" s="2"/>
      <c r="Z44" s="6">
        <f t="shared" si="11"/>
        <v>1.4459956758273649</v>
      </c>
    </row>
    <row r="45" spans="1:26" s="69" customFormat="1" ht="15" hidden="1" customHeight="1" outlineLevel="2" x14ac:dyDescent="0.3">
      <c r="A45" s="26"/>
      <c r="B45" s="12" t="str">
        <f>CONCATENATE("          ","6362"," - ","ADVERTISING EXPENSE")</f>
        <v xml:space="preserve">          6362 - ADVERTISING EXPENSE</v>
      </c>
      <c r="C45" s="12"/>
      <c r="D45" s="8">
        <v>208.76</v>
      </c>
      <c r="E45" s="3"/>
      <c r="F45" s="7">
        <f t="shared" si="4"/>
        <v>1.2117289675737762E-4</v>
      </c>
      <c r="G45" s="3"/>
      <c r="H45" s="8">
        <v>122.76</v>
      </c>
      <c r="I45" s="3"/>
      <c r="J45" s="7">
        <f t="shared" si="5"/>
        <v>1.3614919804950415E-3</v>
      </c>
      <c r="K45" s="3"/>
      <c r="L45" s="8">
        <f t="shared" si="6"/>
        <v>85.999999999999986</v>
      </c>
      <c r="M45" s="3"/>
      <c r="N45" s="7">
        <f t="shared" si="7"/>
        <v>0.70055392636037783</v>
      </c>
      <c r="O45" s="12"/>
      <c r="P45" s="8">
        <v>3835.15</v>
      </c>
      <c r="Q45" s="3"/>
      <c r="R45" s="7">
        <f t="shared" si="8"/>
        <v>3.5100982629820911E-4</v>
      </c>
      <c r="S45" s="3"/>
      <c r="T45" s="8">
        <v>1567.93</v>
      </c>
      <c r="U45" s="3"/>
      <c r="V45" s="7">
        <f t="shared" si="9"/>
        <v>1.6656080872282206E-3</v>
      </c>
      <c r="W45" s="3"/>
      <c r="X45" s="8">
        <f t="shared" si="10"/>
        <v>2267.2200000000003</v>
      </c>
      <c r="Y45" s="3"/>
      <c r="Z45" s="7">
        <f t="shared" si="11"/>
        <v>1.4459956758273649</v>
      </c>
    </row>
    <row r="46" spans="1:26" s="68" customFormat="1" ht="15" customHeight="1" outlineLevel="1" collapsed="1" x14ac:dyDescent="0.3">
      <c r="A46" s="25"/>
      <c r="B46" s="14" t="str">
        <f>CONCATENATE("     ","Bad Debts/Over/Short                              ")</f>
        <v xml:space="preserve">     Bad Debts/Over/Short                              </v>
      </c>
      <c r="C46" s="14"/>
      <c r="D46" s="2">
        <f>SUM(OSRRefD22_3x_0)</f>
        <v>-0.1</v>
      </c>
      <c r="E46" s="2"/>
      <c r="F46" s="6">
        <f t="shared" si="4"/>
        <v>-5.8044116093781202E-8</v>
      </c>
      <c r="G46" s="2"/>
      <c r="H46" s="2">
        <f>SUM(OSRRefH22_3x_0)</f>
        <v>0</v>
      </c>
      <c r="I46" s="2"/>
      <c r="J46" s="6">
        <f t="shared" si="5"/>
        <v>0</v>
      </c>
      <c r="K46" s="2"/>
      <c r="L46" s="2">
        <f t="shared" si="6"/>
        <v>-0.1</v>
      </c>
      <c r="M46" s="2"/>
      <c r="N46" s="6">
        <f t="shared" si="7"/>
        <v>0</v>
      </c>
      <c r="O46" s="14"/>
      <c r="P46" s="2">
        <f>SUM(OSRRefP22_3x_0)</f>
        <v>-16</v>
      </c>
      <c r="Q46" s="2"/>
      <c r="R46" s="6">
        <f t="shared" si="8"/>
        <v>-1.4643904986170933E-6</v>
      </c>
      <c r="S46" s="2"/>
      <c r="T46" s="2">
        <f>SUM(OSRRefT22_3x_0)</f>
        <v>53.54</v>
      </c>
      <c r="U46" s="2"/>
      <c r="V46" s="6">
        <f t="shared" si="9"/>
        <v>5.6875407059115473E-5</v>
      </c>
      <c r="W46" s="2"/>
      <c r="X46" s="2">
        <f t="shared" si="10"/>
        <v>-69.539999999999992</v>
      </c>
      <c r="Y46" s="2"/>
      <c r="Z46" s="6">
        <f t="shared" si="11"/>
        <v>-1.2988419872992154</v>
      </c>
    </row>
    <row r="47" spans="1:26" s="69" customFormat="1" ht="15" hidden="1" customHeight="1" outlineLevel="2" x14ac:dyDescent="0.3">
      <c r="A47" s="26"/>
      <c r="B47" s="12" t="str">
        <f>CONCATENATE("          ","6272"," - ","CASH (OVER/SHORT)")</f>
        <v xml:space="preserve">          6272 - CASH (OVER/SHORT)</v>
      </c>
      <c r="C47" s="12"/>
      <c r="D47" s="8">
        <v>-0.1</v>
      </c>
      <c r="E47" s="3"/>
      <c r="F47" s="7">
        <f t="shared" si="4"/>
        <v>-5.8044116093781202E-8</v>
      </c>
      <c r="G47" s="3"/>
      <c r="H47" s="8"/>
      <c r="I47" s="3"/>
      <c r="J47" s="7">
        <f t="shared" si="5"/>
        <v>0</v>
      </c>
      <c r="K47" s="3"/>
      <c r="L47" s="8">
        <f t="shared" si="6"/>
        <v>-0.1</v>
      </c>
      <c r="M47" s="3"/>
      <c r="N47" s="7">
        <f t="shared" si="7"/>
        <v>0</v>
      </c>
      <c r="O47" s="12"/>
      <c r="P47" s="8">
        <v>-16</v>
      </c>
      <c r="Q47" s="3"/>
      <c r="R47" s="7">
        <f t="shared" si="8"/>
        <v>-1.4643904986170933E-6</v>
      </c>
      <c r="S47" s="3"/>
      <c r="T47" s="8">
        <v>53.54</v>
      </c>
      <c r="U47" s="3"/>
      <c r="V47" s="7">
        <f t="shared" si="9"/>
        <v>5.6875407059115473E-5</v>
      </c>
      <c r="W47" s="3"/>
      <c r="X47" s="8">
        <f t="shared" si="10"/>
        <v>-69.539999999999992</v>
      </c>
      <c r="Y47" s="3"/>
      <c r="Z47" s="7">
        <f t="shared" si="11"/>
        <v>-1.2988419872992154</v>
      </c>
    </row>
    <row r="48" spans="1:26" s="68" customFormat="1" ht="15" customHeight="1" outlineLevel="1" collapsed="1" x14ac:dyDescent="0.3">
      <c r="A48" s="25"/>
      <c r="B48" s="14" t="str">
        <f>CONCATENATE("     ","Bank/card Fees                                    ")</f>
        <v xml:space="preserve">     Bank/card Fees                                    </v>
      </c>
      <c r="C48" s="14"/>
      <c r="D48" s="2">
        <f>SUM(OSRRefD22_4x_0)</f>
        <v>270.32</v>
      </c>
      <c r="E48" s="2"/>
      <c r="F48" s="6">
        <f t="shared" si="4"/>
        <v>1.5690485462470933E-4</v>
      </c>
      <c r="G48" s="2"/>
      <c r="H48" s="2">
        <f>SUM(OSRRefH22_4x_0)</f>
        <v>79.34</v>
      </c>
      <c r="I48" s="2"/>
      <c r="J48" s="6">
        <f t="shared" si="5"/>
        <v>8.7993461821828448E-4</v>
      </c>
      <c r="K48" s="2"/>
      <c r="L48" s="2">
        <f t="shared" si="6"/>
        <v>190.98</v>
      </c>
      <c r="M48" s="2"/>
      <c r="N48" s="6">
        <f t="shared" si="7"/>
        <v>2.4071086463322406</v>
      </c>
      <c r="O48" s="14"/>
      <c r="P48" s="2">
        <f>SUM(OSRRefP22_4x_0)</f>
        <v>1665.1</v>
      </c>
      <c r="Q48" s="2"/>
      <c r="R48" s="6">
        <f t="shared" si="8"/>
        <v>1.5239728870295762E-4</v>
      </c>
      <c r="S48" s="2"/>
      <c r="T48" s="2">
        <f>SUM(OSRRefT22_4x_0)</f>
        <v>346.34</v>
      </c>
      <c r="U48" s="2"/>
      <c r="V48" s="6">
        <f t="shared" si="9"/>
        <v>3.6791610909327703E-4</v>
      </c>
      <c r="W48" s="2"/>
      <c r="X48" s="2">
        <f t="shared" si="10"/>
        <v>1318.76</v>
      </c>
      <c r="Y48" s="2"/>
      <c r="Z48" s="6">
        <f t="shared" si="11"/>
        <v>3.8077034128313221</v>
      </c>
    </row>
    <row r="49" spans="1:26" s="69" customFormat="1" ht="15" hidden="1" customHeight="1" outlineLevel="2" x14ac:dyDescent="0.3">
      <c r="A49" s="26"/>
      <c r="B49" s="12" t="str">
        <f>CONCATENATE("          ","6381"," - ","BANK/CREDIT CARD FEES")</f>
        <v xml:space="preserve">          6381 - BANK/CREDIT CARD FEES</v>
      </c>
      <c r="C49" s="12"/>
      <c r="D49" s="8">
        <v>270.32</v>
      </c>
      <c r="E49" s="3"/>
      <c r="F49" s="7">
        <f t="shared" si="4"/>
        <v>1.5690485462470933E-4</v>
      </c>
      <c r="G49" s="3"/>
      <c r="H49" s="8">
        <v>79.34</v>
      </c>
      <c r="I49" s="3"/>
      <c r="J49" s="7">
        <f t="shared" si="5"/>
        <v>8.7993461821828448E-4</v>
      </c>
      <c r="K49" s="3"/>
      <c r="L49" s="8">
        <f t="shared" si="6"/>
        <v>190.98</v>
      </c>
      <c r="M49" s="3"/>
      <c r="N49" s="7">
        <f t="shared" si="7"/>
        <v>2.4071086463322406</v>
      </c>
      <c r="O49" s="12"/>
      <c r="P49" s="8">
        <v>1665.1</v>
      </c>
      <c r="Q49" s="3"/>
      <c r="R49" s="7">
        <f t="shared" si="8"/>
        <v>1.5239728870295762E-4</v>
      </c>
      <c r="S49" s="3"/>
      <c r="T49" s="8">
        <v>346.34</v>
      </c>
      <c r="U49" s="3"/>
      <c r="V49" s="7">
        <f t="shared" si="9"/>
        <v>3.6791610909327703E-4</v>
      </c>
      <c r="W49" s="3"/>
      <c r="X49" s="8">
        <f t="shared" si="10"/>
        <v>1318.76</v>
      </c>
      <c r="Y49" s="3"/>
      <c r="Z49" s="7">
        <f t="shared" si="11"/>
        <v>3.8077034128313221</v>
      </c>
    </row>
    <row r="50" spans="1:26" s="68" customFormat="1" ht="15" customHeight="1" outlineLevel="1" collapsed="1" x14ac:dyDescent="0.3">
      <c r="A50" s="25"/>
      <c r="B50" s="14" t="str">
        <f>CONCATENATE("     ","Depreciation                                      ")</f>
        <v xml:space="preserve">     Depreciation                                      </v>
      </c>
      <c r="C50" s="14"/>
      <c r="D50" s="2">
        <f>SUM(OSRRefD22_5x_0)</f>
        <v>760.04</v>
      </c>
      <c r="E50" s="2"/>
      <c r="F50" s="6">
        <f t="shared" si="4"/>
        <v>4.4115849995917457E-4</v>
      </c>
      <c r="G50" s="2"/>
      <c r="H50" s="2">
        <f>SUM(OSRRefH22_5x_0)</f>
        <v>758.5</v>
      </c>
      <c r="I50" s="2"/>
      <c r="J50" s="6">
        <f t="shared" si="5"/>
        <v>8.4122814207029072E-3</v>
      </c>
      <c r="K50" s="2"/>
      <c r="L50" s="2">
        <f t="shared" si="6"/>
        <v>1.5399999999999636</v>
      </c>
      <c r="M50" s="2"/>
      <c r="N50" s="6">
        <f t="shared" si="7"/>
        <v>2.0303230059327141E-3</v>
      </c>
      <c r="O50" s="14"/>
      <c r="P50" s="2">
        <f>SUM(OSRRefP22_5x_0)</f>
        <v>7600.4</v>
      </c>
      <c r="Q50" s="2"/>
      <c r="R50" s="6">
        <f t="shared" si="8"/>
        <v>6.9562209660558477E-4</v>
      </c>
      <c r="S50" s="2"/>
      <c r="T50" s="2">
        <f>SUM(OSRRefT22_5x_0)</f>
        <v>7056.56</v>
      </c>
      <c r="U50" s="2"/>
      <c r="V50" s="6">
        <f t="shared" si="9"/>
        <v>7.4961659028216646E-3</v>
      </c>
      <c r="W50" s="2"/>
      <c r="X50" s="2">
        <f t="shared" si="10"/>
        <v>543.83999999999924</v>
      </c>
      <c r="Y50" s="2"/>
      <c r="Z50" s="6">
        <f t="shared" si="11"/>
        <v>7.7068713367419703E-2</v>
      </c>
    </row>
    <row r="51" spans="1:26" s="69" customFormat="1" ht="15" hidden="1" customHeight="1" outlineLevel="2" x14ac:dyDescent="0.3">
      <c r="A51" s="26"/>
      <c r="B51" s="12" t="str">
        <f>CONCATENATE("          ","6322"," - ","EQUIPMENT DEPRECIATION EXPENSE")</f>
        <v xml:space="preserve">          6322 - EQUIPMENT DEPRECIATION EXPENSE</v>
      </c>
      <c r="C51" s="12"/>
      <c r="D51" s="8">
        <v>760.04</v>
      </c>
      <c r="E51" s="3"/>
      <c r="F51" s="7">
        <f t="shared" si="4"/>
        <v>4.4115849995917457E-4</v>
      </c>
      <c r="G51" s="3"/>
      <c r="H51" s="8">
        <v>758.5</v>
      </c>
      <c r="I51" s="3"/>
      <c r="J51" s="7">
        <f t="shared" si="5"/>
        <v>8.4122814207029072E-3</v>
      </c>
      <c r="K51" s="3"/>
      <c r="L51" s="8">
        <f t="shared" si="6"/>
        <v>1.5399999999999636</v>
      </c>
      <c r="M51" s="3"/>
      <c r="N51" s="7">
        <f t="shared" si="7"/>
        <v>2.0303230059327141E-3</v>
      </c>
      <c r="O51" s="12"/>
      <c r="P51" s="8">
        <v>7600.4</v>
      </c>
      <c r="Q51" s="3"/>
      <c r="R51" s="7">
        <f t="shared" si="8"/>
        <v>6.9562209660558477E-4</v>
      </c>
      <c r="S51" s="3"/>
      <c r="T51" s="8">
        <v>7056.56</v>
      </c>
      <c r="U51" s="3"/>
      <c r="V51" s="7">
        <f t="shared" si="9"/>
        <v>7.4961659028216646E-3</v>
      </c>
      <c r="W51" s="3"/>
      <c r="X51" s="8">
        <f t="shared" si="10"/>
        <v>543.83999999999924</v>
      </c>
      <c r="Y51" s="3"/>
      <c r="Z51" s="7">
        <f t="shared" si="11"/>
        <v>7.7068713367419703E-2</v>
      </c>
    </row>
    <row r="52" spans="1:26" s="68" customFormat="1" ht="15" customHeight="1" outlineLevel="1" collapsed="1" x14ac:dyDescent="0.3">
      <c r="A52" s="25"/>
      <c r="B52" s="14" t="str">
        <f>CONCATENATE("     ","Donations                                         ")</f>
        <v xml:space="preserve">     Donations                                         </v>
      </c>
      <c r="C52" s="14"/>
      <c r="D52" s="2">
        <f>SUM(OSRRefD22_6x_0)</f>
        <v>9656.14</v>
      </c>
      <c r="E52" s="2"/>
      <c r="F52" s="6">
        <f t="shared" si="4"/>
        <v>5.6048211117780437E-3</v>
      </c>
      <c r="G52" s="2"/>
      <c r="H52" s="2">
        <f>SUM(OSRRefH22_6x_0)</f>
        <v>7325.88</v>
      </c>
      <c r="I52" s="2"/>
      <c r="J52" s="6">
        <f t="shared" si="5"/>
        <v>8.1248996986551109E-2</v>
      </c>
      <c r="K52" s="2"/>
      <c r="L52" s="2">
        <f t="shared" si="6"/>
        <v>2330.2599999999993</v>
      </c>
      <c r="M52" s="2"/>
      <c r="N52" s="6">
        <f t="shared" si="7"/>
        <v>0.31808601833499855</v>
      </c>
      <c r="O52" s="14"/>
      <c r="P52" s="2">
        <f>SUM(OSRRefP22_6x_0)</f>
        <v>66691.27</v>
      </c>
      <c r="Q52" s="2"/>
      <c r="R52" s="6">
        <f t="shared" si="8"/>
        <v>6.1038788830442003E-3</v>
      </c>
      <c r="S52" s="2"/>
      <c r="T52" s="2">
        <f>SUM(OSRRefT22_6x_0)</f>
        <v>58305.64</v>
      </c>
      <c r="U52" s="2"/>
      <c r="V52" s="6">
        <f t="shared" si="9"/>
        <v>6.1937934419914929E-2</v>
      </c>
      <c r="W52" s="2"/>
      <c r="X52" s="2">
        <f t="shared" si="10"/>
        <v>8385.6300000000047</v>
      </c>
      <c r="Y52" s="2"/>
      <c r="Z52" s="6">
        <f t="shared" si="11"/>
        <v>0.14382193557947404</v>
      </c>
    </row>
    <row r="53" spans="1:26" s="69" customFormat="1" ht="15" hidden="1" customHeight="1" outlineLevel="2" x14ac:dyDescent="0.3">
      <c r="A53" s="26"/>
      <c r="B53" s="12" t="str">
        <f>CONCATENATE("          ","6399"," - ","DONATION-ON CAMPUS")</f>
        <v xml:space="preserve">          6399 - DONATION-ON CAMPUS</v>
      </c>
      <c r="C53" s="12"/>
      <c r="D53" s="8">
        <v>9656.14</v>
      </c>
      <c r="E53" s="3"/>
      <c r="F53" s="7">
        <f t="shared" si="4"/>
        <v>5.6048211117780437E-3</v>
      </c>
      <c r="G53" s="3"/>
      <c r="H53" s="8">
        <v>7325.88</v>
      </c>
      <c r="I53" s="3"/>
      <c r="J53" s="7">
        <f t="shared" si="5"/>
        <v>8.1248996986551109E-2</v>
      </c>
      <c r="K53" s="3"/>
      <c r="L53" s="8">
        <f t="shared" si="6"/>
        <v>2330.2599999999993</v>
      </c>
      <c r="M53" s="3"/>
      <c r="N53" s="7">
        <f t="shared" si="7"/>
        <v>0.31808601833499855</v>
      </c>
      <c r="O53" s="12"/>
      <c r="P53" s="8">
        <v>66691.27</v>
      </c>
      <c r="Q53" s="3"/>
      <c r="R53" s="7">
        <f t="shared" si="8"/>
        <v>6.1038788830442003E-3</v>
      </c>
      <c r="S53" s="3"/>
      <c r="T53" s="8">
        <v>58305.64</v>
      </c>
      <c r="U53" s="3"/>
      <c r="V53" s="7">
        <f t="shared" si="9"/>
        <v>6.1937934419914929E-2</v>
      </c>
      <c r="W53" s="3"/>
      <c r="X53" s="8">
        <f t="shared" si="10"/>
        <v>8385.6300000000047</v>
      </c>
      <c r="Y53" s="3"/>
      <c r="Z53" s="7">
        <f t="shared" si="11"/>
        <v>0.14382193557947404</v>
      </c>
    </row>
    <row r="54" spans="1:26" s="68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SUM(OSRRefD22_7x_0)</f>
        <v>0</v>
      </c>
      <c r="E54" s="2"/>
      <c r="F54" s="6">
        <f t="shared" si="4"/>
        <v>0</v>
      </c>
      <c r="G54" s="2"/>
      <c r="H54" s="2">
        <f>SUM(OSRRefH22_7x_0)</f>
        <v>0</v>
      </c>
      <c r="I54" s="2"/>
      <c r="J54" s="6">
        <f t="shared" si="5"/>
        <v>0</v>
      </c>
      <c r="K54" s="2"/>
      <c r="L54" s="2">
        <f t="shared" si="6"/>
        <v>0</v>
      </c>
      <c r="M54" s="2"/>
      <c r="N54" s="6">
        <f t="shared" si="7"/>
        <v>0</v>
      </c>
      <c r="O54" s="14"/>
      <c r="P54" s="2">
        <f>SUM(OSRRefP22_7x_0)</f>
        <v>325.70999999999998</v>
      </c>
      <c r="Q54" s="2"/>
      <c r="R54" s="6">
        <f t="shared" si="8"/>
        <v>2.9810414331535841E-5</v>
      </c>
      <c r="S54" s="2"/>
      <c r="T54" s="2">
        <f>SUM(OSRRefT22_7x_0)</f>
        <v>0</v>
      </c>
      <c r="U54" s="2"/>
      <c r="V54" s="6">
        <f t="shared" si="9"/>
        <v>0</v>
      </c>
      <c r="W54" s="2"/>
      <c r="X54" s="2">
        <f t="shared" si="10"/>
        <v>325.70999999999998</v>
      </c>
      <c r="Y54" s="2"/>
      <c r="Z54" s="6">
        <f t="shared" si="11"/>
        <v>0</v>
      </c>
    </row>
    <row r="55" spans="1:26" s="69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4"/>
        <v>0</v>
      </c>
      <c r="G55" s="3"/>
      <c r="H55" s="8"/>
      <c r="I55" s="3"/>
      <c r="J55" s="7">
        <f t="shared" si="5"/>
        <v>0</v>
      </c>
      <c r="K55" s="3"/>
      <c r="L55" s="8">
        <f t="shared" si="6"/>
        <v>0</v>
      </c>
      <c r="M55" s="3"/>
      <c r="N55" s="7">
        <f t="shared" si="7"/>
        <v>0</v>
      </c>
      <c r="O55" s="12"/>
      <c r="P55" s="8">
        <v>325.70999999999998</v>
      </c>
      <c r="Q55" s="3"/>
      <c r="R55" s="7">
        <f t="shared" si="8"/>
        <v>2.9810414331535841E-5</v>
      </c>
      <c r="S55" s="3"/>
      <c r="T55" s="8"/>
      <c r="U55" s="3"/>
      <c r="V55" s="7">
        <f t="shared" si="9"/>
        <v>0</v>
      </c>
      <c r="W55" s="3"/>
      <c r="X55" s="8">
        <f t="shared" si="10"/>
        <v>325.70999999999998</v>
      </c>
      <c r="Y55" s="3"/>
      <c r="Z55" s="7">
        <f t="shared" si="11"/>
        <v>0</v>
      </c>
    </row>
    <row r="56" spans="1:26" s="68" customFormat="1" ht="15" customHeight="1" outlineLevel="1" collapsed="1" x14ac:dyDescent="0.3">
      <c r="A56" s="25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SUM(OSRRefD22_8x_0)</f>
        <v>1158.52</v>
      </c>
      <c r="E56" s="2"/>
      <c r="F56" s="6">
        <f t="shared" si="4"/>
        <v>6.724526937696739E-4</v>
      </c>
      <c r="G56" s="2"/>
      <c r="H56" s="2">
        <f>SUM(OSRRefH22_8x_0)</f>
        <v>923.26</v>
      </c>
      <c r="I56" s="2"/>
      <c r="J56" s="6">
        <f t="shared" si="5"/>
        <v>1.0239581996675236E-2</v>
      </c>
      <c r="K56" s="2"/>
      <c r="L56" s="2">
        <f t="shared" si="6"/>
        <v>235.26</v>
      </c>
      <c r="M56" s="2"/>
      <c r="N56" s="6">
        <f t="shared" si="7"/>
        <v>0.25481446179841</v>
      </c>
      <c r="O56" s="14"/>
      <c r="P56" s="2">
        <f>SUM(OSRRefP22_8x_0)</f>
        <v>10777.89</v>
      </c>
      <c r="Q56" s="2"/>
      <c r="R56" s="6">
        <f t="shared" si="8"/>
        <v>9.8643998194626148E-4</v>
      </c>
      <c r="S56" s="2"/>
      <c r="T56" s="2">
        <f>SUM(OSRRefT22_8x_0)</f>
        <v>5477.18</v>
      </c>
      <c r="U56" s="2"/>
      <c r="V56" s="6">
        <f t="shared" si="9"/>
        <v>5.8183945094517388E-3</v>
      </c>
      <c r="W56" s="2"/>
      <c r="X56" s="2">
        <f t="shared" si="10"/>
        <v>5300.7099999999991</v>
      </c>
      <c r="Y56" s="2"/>
      <c r="Z56" s="6">
        <f t="shared" si="11"/>
        <v>0.96778086533581131</v>
      </c>
    </row>
    <row r="57" spans="1:26" s="69" customFormat="1" ht="15" hidden="1" customHeight="1" outlineLevel="2" x14ac:dyDescent="0.3">
      <c r="A57" s="26"/>
      <c r="B57" s="12" t="str">
        <f>CONCATENATE("          ","6351"," - ","EQUIPMENT RENTAL")</f>
        <v xml:space="preserve">          6351 - EQUIPMENT RENTAL</v>
      </c>
      <c r="C57" s="12"/>
      <c r="D57" s="8">
        <v>1158.52</v>
      </c>
      <c r="E57" s="3"/>
      <c r="F57" s="7">
        <f t="shared" ref="F57:F91" si="12">IF(D$12=0,0,D57/D$12)</f>
        <v>6.724526937696739E-4</v>
      </c>
      <c r="G57" s="3"/>
      <c r="H57" s="8">
        <v>923.26</v>
      </c>
      <c r="I57" s="3"/>
      <c r="J57" s="7">
        <f t="shared" ref="J57:J91" si="13">IF(H$12=0,0,H57/H$12)</f>
        <v>1.0239581996675236E-2</v>
      </c>
      <c r="K57" s="3"/>
      <c r="L57" s="8">
        <f t="shared" ref="L57:L91" si="14">+D57-H57</f>
        <v>235.26</v>
      </c>
      <c r="M57" s="3"/>
      <c r="N57" s="7">
        <f t="shared" ref="N57:N91" si="15">IF(H57=0,0,L57/H57)</f>
        <v>0.25481446179841</v>
      </c>
      <c r="O57" s="12"/>
      <c r="P57" s="8">
        <v>10777.89</v>
      </c>
      <c r="Q57" s="3"/>
      <c r="R57" s="7">
        <f t="shared" ref="R57:R91" si="16">IF(P$12=0,0,P57/P$12)</f>
        <v>9.8643998194626148E-4</v>
      </c>
      <c r="S57" s="3"/>
      <c r="T57" s="8">
        <v>5477.18</v>
      </c>
      <c r="U57" s="3"/>
      <c r="V57" s="7">
        <f t="shared" ref="V57:V91" si="17">IF(T$12=0,0,T57/T$12)</f>
        <v>5.8183945094517388E-3</v>
      </c>
      <c r="W57" s="3"/>
      <c r="X57" s="8">
        <f t="shared" ref="X57:X91" si="18">+P57-T57</f>
        <v>5300.7099999999991</v>
      </c>
      <c r="Y57" s="3"/>
      <c r="Z57" s="7">
        <f t="shared" ref="Z57:Z91" si="19">IF(T57=0,0,X57/T57)</f>
        <v>0.96778086533581131</v>
      </c>
    </row>
    <row r="58" spans="1:26" s="68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SUM(OSRRefD22_9x_0)</f>
        <v>5021.28</v>
      </c>
      <c r="E58" s="2"/>
      <c r="F58" s="6">
        <f t="shared" si="12"/>
        <v>2.9145575925938164E-3</v>
      </c>
      <c r="G58" s="2"/>
      <c r="H58" s="2">
        <f>SUM(OSRRefH22_9x_0)</f>
        <v>19</v>
      </c>
      <c r="I58" s="2"/>
      <c r="J58" s="6">
        <f t="shared" si="13"/>
        <v>2.1072293604924885E-4</v>
      </c>
      <c r="K58" s="2"/>
      <c r="L58" s="2">
        <f t="shared" si="14"/>
        <v>5002.28</v>
      </c>
      <c r="M58" s="2"/>
      <c r="N58" s="6">
        <f t="shared" si="15"/>
        <v>263.27789473684209</v>
      </c>
      <c r="O58" s="14"/>
      <c r="P58" s="2">
        <f>SUM(OSRRefP22_9x_0)</f>
        <v>19503.71</v>
      </c>
      <c r="Q58" s="2"/>
      <c r="R58" s="6">
        <f t="shared" si="16"/>
        <v>1.7850654757364493E-3</v>
      </c>
      <c r="S58" s="2"/>
      <c r="T58" s="2">
        <f>SUM(OSRRefT22_9x_0)</f>
        <v>7613.75</v>
      </c>
      <c r="U58" s="2"/>
      <c r="V58" s="6">
        <f t="shared" si="17"/>
        <v>8.088067435493845E-3</v>
      </c>
      <c r="W58" s="2"/>
      <c r="X58" s="2">
        <f t="shared" si="18"/>
        <v>11889.96</v>
      </c>
      <c r="Y58" s="2"/>
      <c r="Z58" s="6">
        <f t="shared" si="19"/>
        <v>1.5616430799540304</v>
      </c>
    </row>
    <row r="59" spans="1:26" s="69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8">
        <v>5021.28</v>
      </c>
      <c r="E59" s="3"/>
      <c r="F59" s="7">
        <f t="shared" si="12"/>
        <v>2.9145575925938164E-3</v>
      </c>
      <c r="G59" s="3"/>
      <c r="H59" s="8">
        <v>19</v>
      </c>
      <c r="I59" s="3"/>
      <c r="J59" s="7">
        <f t="shared" si="13"/>
        <v>2.1072293604924885E-4</v>
      </c>
      <c r="K59" s="3"/>
      <c r="L59" s="8">
        <f t="shared" si="14"/>
        <v>5002.28</v>
      </c>
      <c r="M59" s="3"/>
      <c r="N59" s="7">
        <f t="shared" si="15"/>
        <v>263.27789473684209</v>
      </c>
      <c r="O59" s="12"/>
      <c r="P59" s="8">
        <v>19503.71</v>
      </c>
      <c r="Q59" s="3"/>
      <c r="R59" s="7">
        <f t="shared" si="16"/>
        <v>1.7850654757364493E-3</v>
      </c>
      <c r="S59" s="3"/>
      <c r="T59" s="8">
        <v>7613.75</v>
      </c>
      <c r="U59" s="3"/>
      <c r="V59" s="7">
        <f t="shared" si="17"/>
        <v>8.088067435493845E-3</v>
      </c>
      <c r="W59" s="3"/>
      <c r="X59" s="8">
        <f t="shared" si="18"/>
        <v>11889.96</v>
      </c>
      <c r="Y59" s="3"/>
      <c r="Z59" s="7">
        <f t="shared" si="19"/>
        <v>1.5616430799540304</v>
      </c>
    </row>
    <row r="60" spans="1:26" s="68" customFormat="1" ht="15" customHeight="1" outlineLevel="1" collapsed="1" x14ac:dyDescent="0.3">
      <c r="A60" s="25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SUM(OSRRefD22_10x_0)</f>
        <v>5.21</v>
      </c>
      <c r="E60" s="2"/>
      <c r="F60" s="6">
        <f t="shared" si="12"/>
        <v>3.0240984484860003E-6</v>
      </c>
      <c r="G60" s="2"/>
      <c r="H60" s="2">
        <f>SUM(OSRRefH22_10x_0)</f>
        <v>5.9</v>
      </c>
      <c r="I60" s="2"/>
      <c r="J60" s="6">
        <f t="shared" si="13"/>
        <v>6.5435016983714117E-5</v>
      </c>
      <c r="K60" s="2"/>
      <c r="L60" s="2">
        <f t="shared" si="14"/>
        <v>-0.69000000000000039</v>
      </c>
      <c r="M60" s="2"/>
      <c r="N60" s="6">
        <f t="shared" si="15"/>
        <v>-0.11694915254237294</v>
      </c>
      <c r="O60" s="14"/>
      <c r="P60" s="2">
        <f>SUM(OSRRefP22_10x_0)</f>
        <v>52.11</v>
      </c>
      <c r="Q60" s="2"/>
      <c r="R60" s="6">
        <f t="shared" si="16"/>
        <v>4.7693368051835459E-6</v>
      </c>
      <c r="S60" s="2"/>
      <c r="T60" s="2">
        <f>SUM(OSRRefT22_10x_0)</f>
        <v>59</v>
      </c>
      <c r="U60" s="2"/>
      <c r="V60" s="6">
        <f t="shared" si="17"/>
        <v>6.2675551297867253E-5</v>
      </c>
      <c r="W60" s="2"/>
      <c r="X60" s="2">
        <f t="shared" si="18"/>
        <v>-6.8900000000000006</v>
      </c>
      <c r="Y60" s="2"/>
      <c r="Z60" s="6">
        <f t="shared" si="19"/>
        <v>-0.11677966101694916</v>
      </c>
    </row>
    <row r="61" spans="1:26" s="69" customFormat="1" ht="15" hidden="1" customHeight="1" outlineLevel="2" x14ac:dyDescent="0.3">
      <c r="A61" s="26"/>
      <c r="B61" s="12" t="str">
        <f>CONCATENATE("          ","6314"," - ","LIABILITY INSURANCE")</f>
        <v xml:space="preserve">          6314 - LIABILITY INSURANCE</v>
      </c>
      <c r="C61" s="12"/>
      <c r="D61" s="8">
        <v>5.21</v>
      </c>
      <c r="E61" s="3"/>
      <c r="F61" s="7">
        <f t="shared" si="12"/>
        <v>3.0240984484860003E-6</v>
      </c>
      <c r="G61" s="3"/>
      <c r="H61" s="8">
        <v>5.9</v>
      </c>
      <c r="I61" s="3"/>
      <c r="J61" s="7">
        <f t="shared" si="13"/>
        <v>6.5435016983714117E-5</v>
      </c>
      <c r="K61" s="3"/>
      <c r="L61" s="8">
        <f t="shared" si="14"/>
        <v>-0.69000000000000039</v>
      </c>
      <c r="M61" s="3"/>
      <c r="N61" s="7">
        <f t="shared" si="15"/>
        <v>-0.11694915254237294</v>
      </c>
      <c r="O61" s="12"/>
      <c r="P61" s="8">
        <v>52.11</v>
      </c>
      <c r="Q61" s="3"/>
      <c r="R61" s="7">
        <f t="shared" si="16"/>
        <v>4.7693368051835459E-6</v>
      </c>
      <c r="S61" s="3"/>
      <c r="T61" s="8">
        <v>59</v>
      </c>
      <c r="U61" s="3"/>
      <c r="V61" s="7">
        <f t="shared" si="17"/>
        <v>6.2675551297867253E-5</v>
      </c>
      <c r="W61" s="3"/>
      <c r="X61" s="8">
        <f t="shared" si="18"/>
        <v>-6.8900000000000006</v>
      </c>
      <c r="Y61" s="3"/>
      <c r="Z61" s="7">
        <f t="shared" si="19"/>
        <v>-0.11677966101694916</v>
      </c>
    </row>
    <row r="62" spans="1:26" s="68" customFormat="1" ht="15" customHeight="1" outlineLevel="1" collapsed="1" x14ac:dyDescent="0.3">
      <c r="A62" s="25"/>
      <c r="B62" s="14" t="str">
        <f>CONCATENATE("     ","R/H Commissions                                   ")</f>
        <v xml:space="preserve">     R/H Commissions                                   </v>
      </c>
      <c r="C62" s="14"/>
      <c r="D62" s="2">
        <f>SUM(OSRRefD22_11x_0)</f>
        <v>135508.24</v>
      </c>
      <c r="E62" s="2"/>
      <c r="F62" s="6">
        <f t="shared" si="12"/>
        <v>7.8654560142239649E-2</v>
      </c>
      <c r="G62" s="2"/>
      <c r="H62" s="2">
        <f>SUM(OSRRefH22_11x_0)</f>
        <v>6627.19</v>
      </c>
      <c r="I62" s="2"/>
      <c r="J62" s="6">
        <f t="shared" si="13"/>
        <v>7.3500049187169542E-2</v>
      </c>
      <c r="K62" s="2"/>
      <c r="L62" s="2">
        <f t="shared" si="14"/>
        <v>128881.04999999999</v>
      </c>
      <c r="M62" s="2"/>
      <c r="N62" s="6">
        <f t="shared" si="15"/>
        <v>19.447314774436826</v>
      </c>
      <c r="O62" s="14"/>
      <c r="P62" s="2">
        <f>SUM(OSRRefP22_11x_0)</f>
        <v>856200.41</v>
      </c>
      <c r="Q62" s="2"/>
      <c r="R62" s="6">
        <f t="shared" si="16"/>
        <v>7.8363234082253735E-2</v>
      </c>
      <c r="S62" s="2"/>
      <c r="T62" s="2">
        <f>SUM(OSRRefT22_11x_0)</f>
        <v>65639.789999999994</v>
      </c>
      <c r="U62" s="2"/>
      <c r="V62" s="6">
        <f t="shared" si="17"/>
        <v>6.9728983480105658E-2</v>
      </c>
      <c r="W62" s="2"/>
      <c r="X62" s="2">
        <f t="shared" si="18"/>
        <v>790560.62</v>
      </c>
      <c r="Y62" s="2"/>
      <c r="Z62" s="6">
        <f t="shared" si="19"/>
        <v>12.043923662766137</v>
      </c>
    </row>
    <row r="63" spans="1:26" s="69" customFormat="1" ht="15" hidden="1" customHeight="1" outlineLevel="2" x14ac:dyDescent="0.3">
      <c r="A63" s="26"/>
      <c r="B63" s="12" t="str">
        <f>CONCATENATE("          ","6387"," - ","COMMISSION DUE HOUSING")</f>
        <v xml:space="preserve">          6387 - COMMISSION DUE HOUSING</v>
      </c>
      <c r="C63" s="12"/>
      <c r="D63" s="8">
        <v>135508.24</v>
      </c>
      <c r="E63" s="3"/>
      <c r="F63" s="7">
        <f t="shared" si="12"/>
        <v>7.8654560142239649E-2</v>
      </c>
      <c r="G63" s="3"/>
      <c r="H63" s="8">
        <v>6627.19</v>
      </c>
      <c r="I63" s="3"/>
      <c r="J63" s="7">
        <f t="shared" si="13"/>
        <v>7.3500049187169542E-2</v>
      </c>
      <c r="K63" s="3"/>
      <c r="L63" s="8">
        <f t="shared" si="14"/>
        <v>128881.04999999999</v>
      </c>
      <c r="M63" s="3"/>
      <c r="N63" s="7">
        <f t="shared" si="15"/>
        <v>19.447314774436826</v>
      </c>
      <c r="O63" s="12"/>
      <c r="P63" s="8">
        <v>856200.41</v>
      </c>
      <c r="Q63" s="3"/>
      <c r="R63" s="7">
        <f t="shared" si="16"/>
        <v>7.8363234082253735E-2</v>
      </c>
      <c r="S63" s="3"/>
      <c r="T63" s="8">
        <v>65639.789999999994</v>
      </c>
      <c r="U63" s="3"/>
      <c r="V63" s="7">
        <f t="shared" si="17"/>
        <v>6.9728983480105658E-2</v>
      </c>
      <c r="W63" s="3"/>
      <c r="X63" s="8">
        <f t="shared" si="18"/>
        <v>790560.62</v>
      </c>
      <c r="Y63" s="3"/>
      <c r="Z63" s="7">
        <f t="shared" si="19"/>
        <v>12.043923662766137</v>
      </c>
    </row>
    <row r="64" spans="1:26" s="68" customFormat="1" ht="15" customHeight="1" outlineLevel="1" collapsed="1" x14ac:dyDescent="0.3">
      <c r="A64" s="25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SUM(OSRRefD22_12x_0)</f>
        <v>4051.82</v>
      </c>
      <c r="E64" s="2"/>
      <c r="F64" s="6">
        <f t="shared" si="12"/>
        <v>2.3518431047110456E-3</v>
      </c>
      <c r="G64" s="2"/>
      <c r="H64" s="2">
        <f>SUM(OSRRefH22_12x_0)</f>
        <v>3560.8900000000003</v>
      </c>
      <c r="I64" s="2"/>
      <c r="J64" s="6">
        <f t="shared" si="13"/>
        <v>3.9492694513074203E-2</v>
      </c>
      <c r="K64" s="2"/>
      <c r="L64" s="2">
        <f t="shared" si="14"/>
        <v>490.92999999999984</v>
      </c>
      <c r="M64" s="2"/>
      <c r="N64" s="6">
        <f t="shared" si="15"/>
        <v>0.13786721858861123</v>
      </c>
      <c r="O64" s="14"/>
      <c r="P64" s="2">
        <f>SUM(OSRRefP22_12x_0)</f>
        <v>46893.520000000004</v>
      </c>
      <c r="Q64" s="2"/>
      <c r="R64" s="6">
        <f t="shared" si="16"/>
        <v>4.2919015709194158E-3</v>
      </c>
      <c r="S64" s="2"/>
      <c r="T64" s="2">
        <f>SUM(OSRRefT22_12x_0)</f>
        <v>22561.98</v>
      </c>
      <c r="U64" s="2"/>
      <c r="V64" s="6">
        <f t="shared" si="17"/>
        <v>2.3967534489346697E-2</v>
      </c>
      <c r="W64" s="2"/>
      <c r="X64" s="2">
        <f t="shared" si="18"/>
        <v>24331.540000000005</v>
      </c>
      <c r="Y64" s="2"/>
      <c r="Z64" s="6">
        <f t="shared" si="19"/>
        <v>1.0784310596853648</v>
      </c>
    </row>
    <row r="65" spans="1:26" s="69" customFormat="1" ht="15" hidden="1" customHeight="1" outlineLevel="2" x14ac:dyDescent="0.3">
      <c r="A65" s="26"/>
      <c r="B65" s="12" t="str">
        <f>CONCATENATE("          ","6371"," - ","COMPUTER SOFTWARE MAINTENANCE")</f>
        <v xml:space="preserve">          6371 - COMPUTER SOFTWARE MAINTENANCE</v>
      </c>
      <c r="C65" s="12"/>
      <c r="D65" s="8">
        <v>3500</v>
      </c>
      <c r="E65" s="3"/>
      <c r="F65" s="7">
        <f t="shared" si="12"/>
        <v>2.0315440632823418E-3</v>
      </c>
      <c r="G65" s="3"/>
      <c r="H65" s="8">
        <v>3500</v>
      </c>
      <c r="I65" s="3"/>
      <c r="J65" s="7">
        <f t="shared" si="13"/>
        <v>3.8817382956440577E-2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>
        <v>35000</v>
      </c>
      <c r="Q65" s="3"/>
      <c r="R65" s="7">
        <f t="shared" si="16"/>
        <v>3.2033542157248918E-3</v>
      </c>
      <c r="S65" s="3"/>
      <c r="T65" s="8">
        <v>17500</v>
      </c>
      <c r="U65" s="3"/>
      <c r="V65" s="7">
        <f t="shared" si="17"/>
        <v>1.8590205893435203E-2</v>
      </c>
      <c r="W65" s="3"/>
      <c r="X65" s="8">
        <f t="shared" si="18"/>
        <v>17500</v>
      </c>
      <c r="Y65" s="3"/>
      <c r="Z65" s="7">
        <f t="shared" si="19"/>
        <v>1</v>
      </c>
    </row>
    <row r="66" spans="1:26" s="69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8">
        <v>4.67</v>
      </c>
      <c r="E66" s="3"/>
      <c r="F66" s="7">
        <f t="shared" si="12"/>
        <v>2.710660221579582E-6</v>
      </c>
      <c r="G66" s="3"/>
      <c r="H66" s="8">
        <v>12.34</v>
      </c>
      <c r="I66" s="3"/>
      <c r="J66" s="7">
        <f t="shared" si="13"/>
        <v>1.3685900162356478E-4</v>
      </c>
      <c r="K66" s="3"/>
      <c r="L66" s="8">
        <f t="shared" si="14"/>
        <v>-7.67</v>
      </c>
      <c r="M66" s="3"/>
      <c r="N66" s="7">
        <f t="shared" si="15"/>
        <v>-0.62155591572123181</v>
      </c>
      <c r="O66" s="12"/>
      <c r="P66" s="8">
        <v>4485.87</v>
      </c>
      <c r="Q66" s="3"/>
      <c r="R66" s="7">
        <f t="shared" si="16"/>
        <v>4.105665878769663E-4</v>
      </c>
      <c r="S66" s="3"/>
      <c r="T66" s="8">
        <v>3239.41</v>
      </c>
      <c r="U66" s="3"/>
      <c r="V66" s="7">
        <f t="shared" si="17"/>
        <v>3.4412170784715959E-3</v>
      </c>
      <c r="W66" s="3"/>
      <c r="X66" s="8">
        <f t="shared" si="18"/>
        <v>1246.46</v>
      </c>
      <c r="Y66" s="3"/>
      <c r="Z66" s="7">
        <f t="shared" si="19"/>
        <v>0.38477994449606567</v>
      </c>
    </row>
    <row r="67" spans="1:26" s="69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8">
        <v>547.15</v>
      </c>
      <c r="E67" s="3"/>
      <c r="F67" s="7">
        <f t="shared" si="12"/>
        <v>3.1758838120712381E-4</v>
      </c>
      <c r="G67" s="3"/>
      <c r="H67" s="8">
        <v>48.55</v>
      </c>
      <c r="I67" s="3"/>
      <c r="J67" s="7">
        <f t="shared" si="13"/>
        <v>5.3845255501005422E-4</v>
      </c>
      <c r="K67" s="3"/>
      <c r="L67" s="8">
        <f t="shared" si="14"/>
        <v>498.59999999999997</v>
      </c>
      <c r="M67" s="3"/>
      <c r="N67" s="7">
        <f t="shared" si="15"/>
        <v>10.269824922760041</v>
      </c>
      <c r="O67" s="12"/>
      <c r="P67" s="8">
        <v>7407.65</v>
      </c>
      <c r="Q67" s="3"/>
      <c r="R67" s="7">
        <f t="shared" si="16"/>
        <v>6.7798076731755694E-4</v>
      </c>
      <c r="S67" s="3"/>
      <c r="T67" s="8">
        <v>1822.57</v>
      </c>
      <c r="U67" s="3"/>
      <c r="V67" s="7">
        <f t="shared" si="17"/>
        <v>1.936111517439897E-3</v>
      </c>
      <c r="W67" s="3"/>
      <c r="X67" s="8">
        <f t="shared" si="18"/>
        <v>5585.08</v>
      </c>
      <c r="Y67" s="3"/>
      <c r="Z67" s="7">
        <f t="shared" si="19"/>
        <v>3.0643980752453954</v>
      </c>
    </row>
    <row r="68" spans="1:26" s="68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SUM(OSRRefD22_13x_0)</f>
        <v>20131.740000000002</v>
      </c>
      <c r="E68" s="2"/>
      <c r="F68" s="6">
        <f t="shared" si="12"/>
        <v>1.1685290537298188E-2</v>
      </c>
      <c r="G68" s="2"/>
      <c r="H68" s="2">
        <f>SUM(OSRRefH22_13x_0)</f>
        <v>13150.170000000002</v>
      </c>
      <c r="I68" s="2"/>
      <c r="J68" s="6">
        <f t="shared" si="13"/>
        <v>0.14584433852351322</v>
      </c>
      <c r="K68" s="2"/>
      <c r="L68" s="2">
        <f t="shared" si="14"/>
        <v>6981.57</v>
      </c>
      <c r="M68" s="2"/>
      <c r="N68" s="6">
        <f t="shared" si="15"/>
        <v>0.53091100723412687</v>
      </c>
      <c r="O68" s="14"/>
      <c r="P68" s="2">
        <f>SUM(OSRRefP22_13x_0)</f>
        <v>175626.04</v>
      </c>
      <c r="Q68" s="2"/>
      <c r="R68" s="6">
        <f t="shared" si="16"/>
        <v>1.6074069017859099E-2</v>
      </c>
      <c r="S68" s="2"/>
      <c r="T68" s="2">
        <f>SUM(OSRRefT22_13x_0)</f>
        <v>117385.32</v>
      </c>
      <c r="U68" s="2"/>
      <c r="V68" s="6">
        <f t="shared" si="17"/>
        <v>0.1246981295809587</v>
      </c>
      <c r="W68" s="2"/>
      <c r="X68" s="2">
        <f t="shared" si="18"/>
        <v>58240.72</v>
      </c>
      <c r="Y68" s="2"/>
      <c r="Z68" s="6">
        <f t="shared" si="19"/>
        <v>0.49614994447346566</v>
      </c>
    </row>
    <row r="69" spans="1:26" s="69" customFormat="1" ht="15" hidden="1" customHeight="1" outlineLevel="2" x14ac:dyDescent="0.3">
      <c r="A69" s="26"/>
      <c r="B69" s="12" t="str">
        <f>CONCATENATE("          ","6282"," - ","JANITORIAL/EXTERMINATOR EXPENS")</f>
        <v xml:space="preserve">          6282 - JANITORIAL/EXTERMINATOR EXPENS</v>
      </c>
      <c r="C69" s="12"/>
      <c r="D69" s="8">
        <v>914.2</v>
      </c>
      <c r="E69" s="3"/>
      <c r="F69" s="7">
        <f t="shared" si="12"/>
        <v>5.3063930932934769E-4</v>
      </c>
      <c r="G69" s="3"/>
      <c r="H69" s="8">
        <v>2346.96</v>
      </c>
      <c r="I69" s="3"/>
      <c r="J69" s="7">
        <f t="shared" si="13"/>
        <v>2.6029384315270795E-2</v>
      </c>
      <c r="K69" s="3"/>
      <c r="L69" s="8">
        <f t="shared" si="14"/>
        <v>-1432.76</v>
      </c>
      <c r="M69" s="3"/>
      <c r="N69" s="7">
        <f t="shared" si="15"/>
        <v>-0.61047482701026001</v>
      </c>
      <c r="O69" s="12"/>
      <c r="P69" s="8">
        <v>16883.169999999998</v>
      </c>
      <c r="Q69" s="3"/>
      <c r="R69" s="7">
        <f t="shared" si="16"/>
        <v>1.5452221084085718E-3</v>
      </c>
      <c r="S69" s="3"/>
      <c r="T69" s="8">
        <v>14441.55</v>
      </c>
      <c r="U69" s="3"/>
      <c r="V69" s="7">
        <f t="shared" si="17"/>
        <v>1.5341222166876523E-2</v>
      </c>
      <c r="W69" s="3"/>
      <c r="X69" s="8">
        <f t="shared" si="18"/>
        <v>2441.619999999999</v>
      </c>
      <c r="Y69" s="3"/>
      <c r="Z69" s="7">
        <f t="shared" si="19"/>
        <v>0.16906910961773489</v>
      </c>
    </row>
    <row r="70" spans="1:26" s="69" customFormat="1" ht="15" hidden="1" customHeight="1" outlineLevel="2" x14ac:dyDescent="0.3">
      <c r="A70" s="26"/>
      <c r="B70" s="12" t="str">
        <f>CONCATENATE("          ","6284"," - ","TRASH REMOVAL EXPENSE")</f>
        <v xml:space="preserve">          6284 - TRASH REMOVAL EXPENSE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/>
      <c r="Q70" s="3"/>
      <c r="R70" s="7">
        <f t="shared" si="16"/>
        <v>0</v>
      </c>
      <c r="S70" s="3"/>
      <c r="T70" s="8">
        <v>282.75</v>
      </c>
      <c r="U70" s="3"/>
      <c r="V70" s="7">
        <f t="shared" si="17"/>
        <v>3.0036461236393166E-4</v>
      </c>
      <c r="W70" s="3"/>
      <c r="X70" s="8">
        <f t="shared" si="18"/>
        <v>-282.75</v>
      </c>
      <c r="Y70" s="3"/>
      <c r="Z70" s="7">
        <f t="shared" si="19"/>
        <v>-1</v>
      </c>
    </row>
    <row r="71" spans="1:26" s="69" customFormat="1" ht="15" hidden="1" customHeight="1" outlineLevel="2" x14ac:dyDescent="0.3">
      <c r="A71" s="26"/>
      <c r="B71" s="12" t="str">
        <f>CONCATENATE("          ","6285"," - ","JANITORIAL SERVICES")</f>
        <v xml:space="preserve">          6285 - JANITORIAL SERVICES</v>
      </c>
      <c r="C71" s="12"/>
      <c r="D71" s="8">
        <v>14445.32</v>
      </c>
      <c r="E71" s="3"/>
      <c r="F71" s="7">
        <f t="shared" si="12"/>
        <v>8.3846583109181937E-3</v>
      </c>
      <c r="G71" s="3"/>
      <c r="H71" s="8">
        <v>8897.19</v>
      </c>
      <c r="I71" s="3"/>
      <c r="J71" s="7">
        <f t="shared" si="13"/>
        <v>9.867589470463245E-2</v>
      </c>
      <c r="K71" s="3"/>
      <c r="L71" s="8">
        <f t="shared" si="14"/>
        <v>5548.1299999999992</v>
      </c>
      <c r="M71" s="3"/>
      <c r="N71" s="7">
        <f t="shared" si="15"/>
        <v>0.62358227710097225</v>
      </c>
      <c r="O71" s="12"/>
      <c r="P71" s="8">
        <v>129485.71</v>
      </c>
      <c r="Q71" s="3"/>
      <c r="R71" s="7">
        <f t="shared" si="16"/>
        <v>1.1851102714418024E-2</v>
      </c>
      <c r="S71" s="3"/>
      <c r="T71" s="8">
        <v>88073.35</v>
      </c>
      <c r="U71" s="3"/>
      <c r="V71" s="7">
        <f t="shared" si="17"/>
        <v>9.3560097727118943E-2</v>
      </c>
      <c r="W71" s="3"/>
      <c r="X71" s="8">
        <f t="shared" si="18"/>
        <v>41412.36</v>
      </c>
      <c r="Y71" s="3"/>
      <c r="Z71" s="7">
        <f t="shared" si="19"/>
        <v>0.47020307505051184</v>
      </c>
    </row>
    <row r="72" spans="1:26" s="69" customFormat="1" ht="15" hidden="1" customHeight="1" outlineLevel="2" x14ac:dyDescent="0.3">
      <c r="A72" s="26"/>
      <c r="B72" s="12" t="str">
        <f>CONCATENATE("          ","6286"," - ","LAUNDRY EXPENSE")</f>
        <v xml:space="preserve">          6286 - LAUNDRY EXPENSE</v>
      </c>
      <c r="C72" s="12"/>
      <c r="D72" s="8">
        <v>4772.22</v>
      </c>
      <c r="E72" s="3"/>
      <c r="F72" s="7">
        <f t="shared" si="12"/>
        <v>2.7699929170506453E-3</v>
      </c>
      <c r="G72" s="3"/>
      <c r="H72" s="8">
        <v>1906.02</v>
      </c>
      <c r="I72" s="3"/>
      <c r="J72" s="7">
        <f t="shared" si="13"/>
        <v>2.1139059503609961E-2</v>
      </c>
      <c r="K72" s="3"/>
      <c r="L72" s="8">
        <f t="shared" si="14"/>
        <v>2866.2000000000003</v>
      </c>
      <c r="M72" s="3"/>
      <c r="N72" s="7">
        <f t="shared" si="15"/>
        <v>1.5037617653539839</v>
      </c>
      <c r="O72" s="12"/>
      <c r="P72" s="8">
        <v>29257.16</v>
      </c>
      <c r="Q72" s="3"/>
      <c r="R72" s="7">
        <f t="shared" si="16"/>
        <v>2.677744195032505E-3</v>
      </c>
      <c r="S72" s="3"/>
      <c r="T72" s="8">
        <v>14587.67</v>
      </c>
      <c r="U72" s="3"/>
      <c r="V72" s="7">
        <f t="shared" si="17"/>
        <v>1.5496445074599309E-2</v>
      </c>
      <c r="W72" s="3"/>
      <c r="X72" s="8">
        <f t="shared" si="18"/>
        <v>14669.49</v>
      </c>
      <c r="Y72" s="3"/>
      <c r="Z72" s="7">
        <f t="shared" si="19"/>
        <v>1.005608846375055</v>
      </c>
    </row>
    <row r="73" spans="1:26" s="68" customFormat="1" ht="15" customHeight="1" outlineLevel="1" collapsed="1" x14ac:dyDescent="0.3">
      <c r="A73" s="2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SUM(OSRRefD22_14x_0)</f>
        <v>0</v>
      </c>
      <c r="E73" s="2"/>
      <c r="F73" s="6">
        <f t="shared" si="12"/>
        <v>0</v>
      </c>
      <c r="G73" s="2"/>
      <c r="H73" s="2">
        <f>SUM(OSRRefH22_14x_0)</f>
        <v>0</v>
      </c>
      <c r="I73" s="2"/>
      <c r="J73" s="6">
        <f t="shared" si="13"/>
        <v>0</v>
      </c>
      <c r="K73" s="2"/>
      <c r="L73" s="2">
        <f t="shared" si="14"/>
        <v>0</v>
      </c>
      <c r="M73" s="2"/>
      <c r="N73" s="6">
        <f t="shared" si="15"/>
        <v>0</v>
      </c>
      <c r="O73" s="14"/>
      <c r="P73" s="2">
        <f>SUM(OSRRefP22_14x_0)</f>
        <v>0</v>
      </c>
      <c r="Q73" s="2"/>
      <c r="R73" s="6">
        <f t="shared" si="16"/>
        <v>0</v>
      </c>
      <c r="S73" s="2"/>
      <c r="T73" s="2">
        <f>SUM(OSRRefT22_14x_0)</f>
        <v>795</v>
      </c>
      <c r="U73" s="2"/>
      <c r="V73" s="6">
        <f t="shared" si="17"/>
        <v>8.4452649630177069E-4</v>
      </c>
      <c r="W73" s="2"/>
      <c r="X73" s="2">
        <f t="shared" si="18"/>
        <v>-795</v>
      </c>
      <c r="Y73" s="2"/>
      <c r="Z73" s="6">
        <f t="shared" si="19"/>
        <v>-1</v>
      </c>
    </row>
    <row r="74" spans="1:26" s="69" customFormat="1" ht="15" hidden="1" customHeight="1" outlineLevel="2" x14ac:dyDescent="0.3">
      <c r="A74" s="26"/>
      <c r="B74" s="12" t="str">
        <f>CONCATENATE("          ","6258"," - ","MEMBERSHIP DUES")</f>
        <v xml:space="preserve">          6258 - MEMBERSHIP DUES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795</v>
      </c>
      <c r="U74" s="3"/>
      <c r="V74" s="7">
        <f t="shared" si="17"/>
        <v>8.4452649630177069E-4</v>
      </c>
      <c r="W74" s="3"/>
      <c r="X74" s="8">
        <f t="shared" si="18"/>
        <v>-795</v>
      </c>
      <c r="Y74" s="3"/>
      <c r="Z74" s="7">
        <f t="shared" si="19"/>
        <v>-1</v>
      </c>
    </row>
    <row r="75" spans="1:26" s="68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SUM(OSRRefD22_15x_0)</f>
        <v>41614.460000000006</v>
      </c>
      <c r="E75" s="2"/>
      <c r="F75" s="6">
        <f t="shared" si="12"/>
        <v>2.4154745474200143E-2</v>
      </c>
      <c r="G75" s="2"/>
      <c r="H75" s="2">
        <f>SUM(OSRRefH22_15x_0)</f>
        <v>13276.58</v>
      </c>
      <c r="I75" s="2"/>
      <c r="J75" s="6">
        <f t="shared" si="13"/>
        <v>0.14724631148909137</v>
      </c>
      <c r="K75" s="2"/>
      <c r="L75" s="2">
        <f t="shared" si="14"/>
        <v>28337.880000000005</v>
      </c>
      <c r="M75" s="2"/>
      <c r="N75" s="6">
        <f t="shared" si="15"/>
        <v>2.1344261850566943</v>
      </c>
      <c r="O75" s="14"/>
      <c r="P75" s="2">
        <f>SUM(OSRRefP22_15x_0)</f>
        <v>309175.7</v>
      </c>
      <c r="Q75" s="2"/>
      <c r="R75" s="6">
        <f t="shared" si="16"/>
        <v>2.8297122342705556E-2</v>
      </c>
      <c r="S75" s="2"/>
      <c r="T75" s="2">
        <f>SUM(OSRRefT22_15x_0)</f>
        <v>133337.16</v>
      </c>
      <c r="U75" s="2"/>
      <c r="V75" s="6">
        <f t="shared" si="17"/>
        <v>0.14164372900833785</v>
      </c>
      <c r="W75" s="2"/>
      <c r="X75" s="2">
        <f t="shared" si="18"/>
        <v>175838.54</v>
      </c>
      <c r="Y75" s="2"/>
      <c r="Z75" s="6">
        <f t="shared" si="19"/>
        <v>1.3187512018405072</v>
      </c>
    </row>
    <row r="76" spans="1:26" s="69" customFormat="1" ht="15" hidden="1" customHeight="1" outlineLevel="2" x14ac:dyDescent="0.3">
      <c r="A76" s="26"/>
      <c r="B76" s="12" t="str">
        <f>CONCATENATE("          ","6234"," - ","EXPENDABLE SUPPLIES &amp; EQUIPMEN")</f>
        <v xml:space="preserve">          6234 - EXPENDABLE SUPPLIES &amp; EQUIPMEN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>
        <v>336.98</v>
      </c>
      <c r="Q76" s="3"/>
      <c r="R76" s="7">
        <f t="shared" si="16"/>
        <v>3.0841894388999262E-5</v>
      </c>
      <c r="S76" s="3"/>
      <c r="T76" s="8"/>
      <c r="U76" s="3"/>
      <c r="V76" s="7">
        <f t="shared" si="17"/>
        <v>0</v>
      </c>
      <c r="W76" s="3"/>
      <c r="X76" s="8">
        <f t="shared" si="18"/>
        <v>336.98</v>
      </c>
      <c r="Y76" s="3"/>
      <c r="Z76" s="7">
        <f t="shared" si="19"/>
        <v>0</v>
      </c>
    </row>
    <row r="77" spans="1:26" s="69" customFormat="1" ht="15" hidden="1" customHeight="1" outlineLevel="2" x14ac:dyDescent="0.3">
      <c r="A77" s="26"/>
      <c r="B77" s="12" t="str">
        <f>CONCATENATE("          ","6235"," - ","COVID-19 EXPENSES")</f>
        <v xml:space="preserve">          6235 - COVID-19 EXPENSES</v>
      </c>
      <c r="C77" s="12"/>
      <c r="D77" s="8"/>
      <c r="E77" s="3"/>
      <c r="F77" s="7">
        <f t="shared" si="12"/>
        <v>0</v>
      </c>
      <c r="G77" s="3"/>
      <c r="H77" s="8">
        <v>2921.2</v>
      </c>
      <c r="I77" s="3"/>
      <c r="J77" s="7">
        <f t="shared" si="13"/>
        <v>3.2398096883529771E-2</v>
      </c>
      <c r="K77" s="3"/>
      <c r="L77" s="8">
        <f t="shared" si="14"/>
        <v>-2921.2</v>
      </c>
      <c r="M77" s="3"/>
      <c r="N77" s="7">
        <f t="shared" si="15"/>
        <v>-1</v>
      </c>
      <c r="O77" s="12"/>
      <c r="P77" s="8">
        <v>158.76</v>
      </c>
      <c r="Q77" s="3"/>
      <c r="R77" s="7">
        <f t="shared" si="16"/>
        <v>1.4530414722528109E-5</v>
      </c>
      <c r="S77" s="3"/>
      <c r="T77" s="8">
        <v>56490.75</v>
      </c>
      <c r="U77" s="3"/>
      <c r="V77" s="7">
        <f t="shared" si="17"/>
        <v>6.0009981347118553E-2</v>
      </c>
      <c r="W77" s="3"/>
      <c r="X77" s="8">
        <f t="shared" si="18"/>
        <v>-56331.99</v>
      </c>
      <c r="Y77" s="3"/>
      <c r="Z77" s="7">
        <f t="shared" si="19"/>
        <v>-0.99718962839048864</v>
      </c>
    </row>
    <row r="78" spans="1:26" s="69" customFormat="1" ht="15" hidden="1" customHeight="1" outlineLevel="2" x14ac:dyDescent="0.3">
      <c r="A78" s="26"/>
      <c r="B78" s="12" t="str">
        <f>CONCATENATE("          ","6237"," - ","JANITORIAL SUPPLIES")</f>
        <v xml:space="preserve">          6237 - JANITORIAL SUPPLIES</v>
      </c>
      <c r="C78" s="12"/>
      <c r="D78" s="8">
        <v>22954.52</v>
      </c>
      <c r="E78" s="3"/>
      <c r="F78" s="7">
        <f t="shared" si="12"/>
        <v>1.3323748237570224E-2</v>
      </c>
      <c r="G78" s="3"/>
      <c r="H78" s="8">
        <v>1902.43</v>
      </c>
      <c r="I78" s="3"/>
      <c r="J78" s="7">
        <f t="shared" si="13"/>
        <v>2.1099243959377501E-2</v>
      </c>
      <c r="K78" s="3"/>
      <c r="L78" s="8">
        <f t="shared" si="14"/>
        <v>21052.09</v>
      </c>
      <c r="M78" s="3"/>
      <c r="N78" s="7">
        <f t="shared" si="15"/>
        <v>11.065894671551646</v>
      </c>
      <c r="O78" s="12"/>
      <c r="P78" s="8">
        <v>71900.320000000007</v>
      </c>
      <c r="Q78" s="3"/>
      <c r="R78" s="7">
        <f t="shared" si="16"/>
        <v>6.5806340909705359E-3</v>
      </c>
      <c r="S78" s="3"/>
      <c r="T78" s="8">
        <v>21741.72</v>
      </c>
      <c r="U78" s="3"/>
      <c r="V78" s="7">
        <f t="shared" si="17"/>
        <v>2.3096174358709601E-2</v>
      </c>
      <c r="W78" s="3"/>
      <c r="X78" s="8">
        <f t="shared" si="18"/>
        <v>50158.600000000006</v>
      </c>
      <c r="Y78" s="3"/>
      <c r="Z78" s="7">
        <f t="shared" si="19"/>
        <v>2.3070207876837712</v>
      </c>
    </row>
    <row r="79" spans="1:26" s="69" customFormat="1" ht="15" hidden="1" customHeight="1" outlineLevel="2" x14ac:dyDescent="0.3">
      <c r="A79" s="26"/>
      <c r="B79" s="12" t="str">
        <f>CONCATENATE("          ","6239"," - ","KITCHEN SUPPLIES")</f>
        <v xml:space="preserve">          6239 - KITCHEN SUPPLIES</v>
      </c>
      <c r="C79" s="12"/>
      <c r="D79" s="8">
        <v>6379.92</v>
      </c>
      <c r="E79" s="3"/>
      <c r="F79" s="7">
        <f t="shared" si="12"/>
        <v>3.7031681714903655E-3</v>
      </c>
      <c r="G79" s="3"/>
      <c r="H79" s="8">
        <v>160.30000000000001</v>
      </c>
      <c r="I79" s="3"/>
      <c r="J79" s="7">
        <f t="shared" si="13"/>
        <v>1.7778361394049785E-3</v>
      </c>
      <c r="K79" s="3"/>
      <c r="L79" s="8">
        <f t="shared" si="14"/>
        <v>6219.62</v>
      </c>
      <c r="M79" s="3"/>
      <c r="N79" s="7">
        <f t="shared" si="15"/>
        <v>38.799875233936369</v>
      </c>
      <c r="O79" s="12"/>
      <c r="P79" s="8">
        <v>35697.85</v>
      </c>
      <c r="Q79" s="3"/>
      <c r="R79" s="7">
        <f t="shared" si="16"/>
        <v>3.2672245225661379E-3</v>
      </c>
      <c r="S79" s="3"/>
      <c r="T79" s="8">
        <v>7247.38</v>
      </c>
      <c r="U79" s="3"/>
      <c r="V79" s="7">
        <f t="shared" si="17"/>
        <v>7.6988735078836815E-3</v>
      </c>
      <c r="W79" s="3"/>
      <c r="X79" s="8">
        <f t="shared" si="18"/>
        <v>28450.469999999998</v>
      </c>
      <c r="Y79" s="3"/>
      <c r="Z79" s="7">
        <f t="shared" si="19"/>
        <v>3.9256213969738027</v>
      </c>
    </row>
    <row r="80" spans="1:26" s="69" customFormat="1" ht="15" hidden="1" customHeight="1" outlineLevel="2" x14ac:dyDescent="0.3">
      <c r="A80" s="26"/>
      <c r="B80" s="12" t="str">
        <f>CONCATENATE("          ","6241"," - ","OFFICE EXPENSE")</f>
        <v xml:space="preserve">          6241 - OFFICE EXPENSE</v>
      </c>
      <c r="C80" s="12"/>
      <c r="D80" s="8">
        <v>4.41</v>
      </c>
      <c r="E80" s="3"/>
      <c r="F80" s="7">
        <f t="shared" si="12"/>
        <v>2.5597455197357509E-6</v>
      </c>
      <c r="G80" s="3"/>
      <c r="H80" s="8">
        <v>1258.28</v>
      </c>
      <c r="I80" s="3"/>
      <c r="J80" s="7">
        <f t="shared" si="13"/>
        <v>1.3955181893265728E-2</v>
      </c>
      <c r="K80" s="3"/>
      <c r="L80" s="8">
        <f t="shared" si="14"/>
        <v>-1253.8699999999999</v>
      </c>
      <c r="M80" s="3"/>
      <c r="N80" s="7">
        <f t="shared" si="15"/>
        <v>-0.99649521569126098</v>
      </c>
      <c r="O80" s="12"/>
      <c r="P80" s="8">
        <v>16961.34</v>
      </c>
      <c r="Q80" s="3"/>
      <c r="R80" s="7">
        <f t="shared" si="16"/>
        <v>1.5523765712383783E-3</v>
      </c>
      <c r="S80" s="3"/>
      <c r="T80" s="8">
        <v>7980.8</v>
      </c>
      <c r="U80" s="3"/>
      <c r="V80" s="7">
        <f t="shared" si="17"/>
        <v>8.4779837253901522E-3</v>
      </c>
      <c r="W80" s="3"/>
      <c r="X80" s="8">
        <f t="shared" si="18"/>
        <v>8980.5400000000009</v>
      </c>
      <c r="Y80" s="3"/>
      <c r="Z80" s="7">
        <f t="shared" si="19"/>
        <v>1.1252681435445069</v>
      </c>
    </row>
    <row r="81" spans="1:26" s="69" customFormat="1" ht="15" hidden="1" customHeight="1" outlineLevel="2" x14ac:dyDescent="0.3">
      <c r="A81" s="26"/>
      <c r="B81" s="12" t="str">
        <f>CONCATENATE("          ","6243"," - ","PAPER SUPPLIES")</f>
        <v xml:space="preserve">          6243 - PAPER SUPPLIES</v>
      </c>
      <c r="C81" s="12"/>
      <c r="D81" s="8">
        <v>12275.61</v>
      </c>
      <c r="E81" s="3"/>
      <c r="F81" s="7">
        <f t="shared" si="12"/>
        <v>7.1252693196198142E-3</v>
      </c>
      <c r="G81" s="3"/>
      <c r="H81" s="8">
        <v>7034.37</v>
      </c>
      <c r="I81" s="3"/>
      <c r="J81" s="7">
        <f t="shared" si="13"/>
        <v>7.8015952613513406E-2</v>
      </c>
      <c r="K81" s="3"/>
      <c r="L81" s="8">
        <f t="shared" si="14"/>
        <v>5241.2400000000007</v>
      </c>
      <c r="M81" s="3"/>
      <c r="N81" s="7">
        <f t="shared" si="15"/>
        <v>0.74509017865139315</v>
      </c>
      <c r="O81" s="12"/>
      <c r="P81" s="8">
        <v>175883.51</v>
      </c>
      <c r="Q81" s="3"/>
      <c r="R81" s="7">
        <f t="shared" si="16"/>
        <v>1.6097633806714032E-2</v>
      </c>
      <c r="S81" s="3"/>
      <c r="T81" s="8">
        <v>35375.919999999998</v>
      </c>
      <c r="U81" s="3"/>
      <c r="V81" s="7">
        <f t="shared" si="17"/>
        <v>3.7579750655410984E-2</v>
      </c>
      <c r="W81" s="3"/>
      <c r="X81" s="8">
        <f t="shared" si="18"/>
        <v>140507.59000000003</v>
      </c>
      <c r="Y81" s="3"/>
      <c r="Z81" s="7">
        <f t="shared" si="19"/>
        <v>3.9718427110870906</v>
      </c>
    </row>
    <row r="82" spans="1:26" s="69" customFormat="1" ht="15" hidden="1" customHeight="1" outlineLevel="2" x14ac:dyDescent="0.3">
      <c r="A82" s="26"/>
      <c r="B82" s="12" t="str">
        <f>CONCATENATE("          ","6247"," - ","STORE SUPPLIES")</f>
        <v xml:space="preserve">          6247 - STORE SUPPLIES</v>
      </c>
      <c r="C82" s="12"/>
      <c r="D82" s="8"/>
      <c r="E82" s="3"/>
      <c r="F82" s="7">
        <f t="shared" si="12"/>
        <v>0</v>
      </c>
      <c r="G82" s="3"/>
      <c r="H82" s="8"/>
      <c r="I82" s="3"/>
      <c r="J82" s="7">
        <f t="shared" si="13"/>
        <v>0</v>
      </c>
      <c r="K82" s="3"/>
      <c r="L82" s="8">
        <f t="shared" si="14"/>
        <v>0</v>
      </c>
      <c r="M82" s="3"/>
      <c r="N82" s="7">
        <f t="shared" si="15"/>
        <v>0</v>
      </c>
      <c r="O82" s="12"/>
      <c r="P82" s="8">
        <v>1693.55</v>
      </c>
      <c r="Q82" s="3"/>
      <c r="R82" s="7">
        <f t="shared" si="16"/>
        <v>1.5500115805831114E-4</v>
      </c>
      <c r="S82" s="3"/>
      <c r="T82" s="8"/>
      <c r="U82" s="3"/>
      <c r="V82" s="7">
        <f t="shared" si="17"/>
        <v>0</v>
      </c>
      <c r="W82" s="3"/>
      <c r="X82" s="8">
        <f t="shared" si="18"/>
        <v>1693.55</v>
      </c>
      <c r="Y82" s="3"/>
      <c r="Z82" s="7">
        <f t="shared" si="19"/>
        <v>0</v>
      </c>
    </row>
    <row r="83" spans="1:26" s="69" customFormat="1" ht="15" hidden="1" customHeight="1" outlineLevel="2" x14ac:dyDescent="0.3">
      <c r="A83" s="26"/>
      <c r="B83" s="12" t="str">
        <f>CONCATENATE("          ","6248"," - ","UNIFORMS")</f>
        <v xml:space="preserve">          6248 - UNIFORMS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6543.39</v>
      </c>
      <c r="Q83" s="3"/>
      <c r="R83" s="7">
        <f t="shared" si="16"/>
        <v>5.9887988404663144E-4</v>
      </c>
      <c r="S83" s="3"/>
      <c r="T83" s="8">
        <v>4500.59</v>
      </c>
      <c r="U83" s="3"/>
      <c r="V83" s="7">
        <f t="shared" si="17"/>
        <v>4.7809654138248883E-3</v>
      </c>
      <c r="W83" s="3"/>
      <c r="X83" s="8">
        <f t="shared" si="18"/>
        <v>2042.8000000000002</v>
      </c>
      <c r="Y83" s="3"/>
      <c r="Z83" s="7">
        <f t="shared" si="19"/>
        <v>0.4538960447408007</v>
      </c>
    </row>
    <row r="84" spans="1:26" s="68" customFormat="1" ht="15" customHeight="1" outlineLevel="1" collapsed="1" x14ac:dyDescent="0.3">
      <c r="A84" s="25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SUM(OSRRefD22_16x_0)</f>
        <v>1184</v>
      </c>
      <c r="E84" s="2"/>
      <c r="F84" s="6">
        <f t="shared" si="12"/>
        <v>6.8724233455036941E-4</v>
      </c>
      <c r="G84" s="2"/>
      <c r="H84" s="2">
        <f>SUM(OSRRefH22_16x_0)</f>
        <v>248</v>
      </c>
      <c r="I84" s="2"/>
      <c r="J84" s="6">
        <f t="shared" si="13"/>
        <v>2.7504888494849322E-3</v>
      </c>
      <c r="K84" s="2"/>
      <c r="L84" s="2">
        <f t="shared" si="14"/>
        <v>936</v>
      </c>
      <c r="M84" s="2"/>
      <c r="N84" s="6">
        <f t="shared" si="15"/>
        <v>3.774193548387097</v>
      </c>
      <c r="O84" s="14"/>
      <c r="P84" s="2">
        <f>SUM(OSRRefP22_16x_0)</f>
        <v>7671.85</v>
      </c>
      <c r="Q84" s="2"/>
      <c r="R84" s="6">
        <f t="shared" si="16"/>
        <v>7.0216151542597173E-4</v>
      </c>
      <c r="S84" s="2"/>
      <c r="T84" s="2">
        <f>SUM(OSRRefT22_16x_0)</f>
        <v>4775.32</v>
      </c>
      <c r="U84" s="2"/>
      <c r="V84" s="6">
        <f t="shared" si="17"/>
        <v>5.0728104004022275E-3</v>
      </c>
      <c r="W84" s="2"/>
      <c r="X84" s="2">
        <f t="shared" si="18"/>
        <v>2896.5300000000007</v>
      </c>
      <c r="Y84" s="2"/>
      <c r="Z84" s="6">
        <f t="shared" si="19"/>
        <v>0.60656249214712332</v>
      </c>
    </row>
    <row r="85" spans="1:26" s="69" customFormat="1" ht="15" hidden="1" customHeight="1" outlineLevel="2" x14ac:dyDescent="0.3">
      <c r="A85" s="26"/>
      <c r="B85" s="12" t="str">
        <f>CONCATENATE("          ","6309"," - ","TELEPHONE")</f>
        <v xml:space="preserve">          6309 - TELEPHONE</v>
      </c>
      <c r="C85" s="12"/>
      <c r="D85" s="8">
        <v>1184</v>
      </c>
      <c r="E85" s="3"/>
      <c r="F85" s="7">
        <f t="shared" si="12"/>
        <v>6.8724233455036941E-4</v>
      </c>
      <c r="G85" s="3"/>
      <c r="H85" s="8">
        <v>248</v>
      </c>
      <c r="I85" s="3"/>
      <c r="J85" s="7">
        <f t="shared" si="13"/>
        <v>2.7504888494849322E-3</v>
      </c>
      <c r="K85" s="3"/>
      <c r="L85" s="8">
        <f t="shared" si="14"/>
        <v>936</v>
      </c>
      <c r="M85" s="3"/>
      <c r="N85" s="7">
        <f t="shared" si="15"/>
        <v>3.774193548387097</v>
      </c>
      <c r="O85" s="12"/>
      <c r="P85" s="8">
        <v>7671.85</v>
      </c>
      <c r="Q85" s="3"/>
      <c r="R85" s="7">
        <f t="shared" si="16"/>
        <v>7.0216151542597173E-4</v>
      </c>
      <c r="S85" s="3"/>
      <c r="T85" s="8">
        <v>4775.32</v>
      </c>
      <c r="U85" s="3"/>
      <c r="V85" s="7">
        <f t="shared" si="17"/>
        <v>5.0728104004022275E-3</v>
      </c>
      <c r="W85" s="3"/>
      <c r="X85" s="8">
        <f t="shared" si="18"/>
        <v>2896.5300000000007</v>
      </c>
      <c r="Y85" s="3"/>
      <c r="Z85" s="7">
        <f t="shared" si="19"/>
        <v>0.60656249214712332</v>
      </c>
    </row>
    <row r="86" spans="1:26" s="68" customFormat="1" ht="15" customHeight="1" outlineLevel="1" collapsed="1" x14ac:dyDescent="0.3">
      <c r="A86" s="25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SUM(OSRRefD22_17x_0)</f>
        <v>936</v>
      </c>
      <c r="E86" s="2"/>
      <c r="F86" s="6">
        <f t="shared" si="12"/>
        <v>5.4329292663779201E-4</v>
      </c>
      <c r="G86" s="2"/>
      <c r="H86" s="2">
        <f>SUM(OSRRefH22_17x_0)</f>
        <v>0</v>
      </c>
      <c r="I86" s="2"/>
      <c r="J86" s="6">
        <f t="shared" si="13"/>
        <v>0</v>
      </c>
      <c r="K86" s="2"/>
      <c r="L86" s="2">
        <f t="shared" si="14"/>
        <v>936</v>
      </c>
      <c r="M86" s="2"/>
      <c r="N86" s="6">
        <f t="shared" si="15"/>
        <v>0</v>
      </c>
      <c r="O86" s="14"/>
      <c r="P86" s="2">
        <f>SUM(OSRRefP22_17x_0)</f>
        <v>8794.9699999999993</v>
      </c>
      <c r="Q86" s="2"/>
      <c r="R86" s="6">
        <f t="shared" si="16"/>
        <v>8.0495440647639852E-4</v>
      </c>
      <c r="S86" s="2"/>
      <c r="T86" s="2">
        <f>SUM(OSRRefT22_17x_0)</f>
        <v>786.23</v>
      </c>
      <c r="U86" s="2"/>
      <c r="V86" s="6">
        <f t="shared" si="17"/>
        <v>8.3521014740546053E-4</v>
      </c>
      <c r="W86" s="2"/>
      <c r="X86" s="2">
        <f t="shared" si="18"/>
        <v>8008.74</v>
      </c>
      <c r="Y86" s="2"/>
      <c r="Z86" s="6">
        <f t="shared" si="19"/>
        <v>10.186255930198541</v>
      </c>
    </row>
    <row r="87" spans="1:26" s="69" customFormat="1" ht="15" hidden="1" customHeight="1" outlineLevel="2" x14ac:dyDescent="0.3">
      <c r="A87" s="26"/>
      <c r="B87" s="12" t="str">
        <f>CONCATENATE("          ","6376"," - ","TRAINING")</f>
        <v xml:space="preserve">          6376 - TRAINING</v>
      </c>
      <c r="C87" s="12"/>
      <c r="D87" s="8">
        <v>936</v>
      </c>
      <c r="E87" s="3"/>
      <c r="F87" s="7">
        <f t="shared" si="12"/>
        <v>5.4329292663779201E-4</v>
      </c>
      <c r="G87" s="3"/>
      <c r="H87" s="8"/>
      <c r="I87" s="3"/>
      <c r="J87" s="7">
        <f t="shared" si="13"/>
        <v>0</v>
      </c>
      <c r="K87" s="3"/>
      <c r="L87" s="8">
        <f t="shared" si="14"/>
        <v>936</v>
      </c>
      <c r="M87" s="3"/>
      <c r="N87" s="7">
        <f t="shared" si="15"/>
        <v>0</v>
      </c>
      <c r="O87" s="12"/>
      <c r="P87" s="8">
        <v>8794.9699999999993</v>
      </c>
      <c r="Q87" s="3"/>
      <c r="R87" s="7">
        <f t="shared" si="16"/>
        <v>8.0495440647639852E-4</v>
      </c>
      <c r="S87" s="3"/>
      <c r="T87" s="8">
        <v>786.23</v>
      </c>
      <c r="U87" s="3"/>
      <c r="V87" s="7">
        <f t="shared" si="17"/>
        <v>8.3521014740546053E-4</v>
      </c>
      <c r="W87" s="3"/>
      <c r="X87" s="8">
        <f t="shared" si="18"/>
        <v>8008.74</v>
      </c>
      <c r="Y87" s="3"/>
      <c r="Z87" s="7">
        <f t="shared" si="19"/>
        <v>10.186255930198541</v>
      </c>
    </row>
    <row r="88" spans="1:26" s="68" customFormat="1" ht="15" customHeight="1" outlineLevel="1" collapsed="1" x14ac:dyDescent="0.3">
      <c r="A88" s="25"/>
      <c r="B88" s="14" t="str">
        <f>CONCATENATE("     ","Travel                                            ")</f>
        <v xml:space="preserve">     Travel                                            </v>
      </c>
      <c r="C88" s="14"/>
      <c r="D88" s="2">
        <f>SUM(OSRRefD22_18x_0)</f>
        <v>0</v>
      </c>
      <c r="E88" s="2"/>
      <c r="F88" s="6">
        <f t="shared" si="12"/>
        <v>0</v>
      </c>
      <c r="G88" s="2"/>
      <c r="H88" s="2">
        <f>SUM(OSRRefH22_18x_0)</f>
        <v>160.30000000000001</v>
      </c>
      <c r="I88" s="2"/>
      <c r="J88" s="6">
        <f t="shared" si="13"/>
        <v>1.7778361394049785E-3</v>
      </c>
      <c r="K88" s="2"/>
      <c r="L88" s="2">
        <f t="shared" si="14"/>
        <v>-160.30000000000001</v>
      </c>
      <c r="M88" s="2"/>
      <c r="N88" s="6">
        <f t="shared" si="15"/>
        <v>-1</v>
      </c>
      <c r="O88" s="14"/>
      <c r="P88" s="2">
        <f>SUM(OSRRefP22_18x_0)</f>
        <v>834.04</v>
      </c>
      <c r="Q88" s="2"/>
      <c r="R88" s="6">
        <f t="shared" si="16"/>
        <v>7.633501571666253E-5</v>
      </c>
      <c r="S88" s="2"/>
      <c r="T88" s="2">
        <f>SUM(OSRRefT22_18x_0)</f>
        <v>160.30000000000001</v>
      </c>
      <c r="U88" s="2"/>
      <c r="V88" s="6">
        <f t="shared" si="17"/>
        <v>1.7028628598386646E-4</v>
      </c>
      <c r="W88" s="2"/>
      <c r="X88" s="2">
        <f t="shared" si="18"/>
        <v>673.74</v>
      </c>
      <c r="Y88" s="2"/>
      <c r="Z88" s="6">
        <f t="shared" si="19"/>
        <v>4.2029943855271368</v>
      </c>
    </row>
    <row r="89" spans="1:26" s="69" customFormat="1" ht="15" hidden="1" customHeight="1" outlineLevel="2" x14ac:dyDescent="0.3">
      <c r="A89" s="26"/>
      <c r="B89" s="12" t="str">
        <f>CONCATENATE("          ","6292"," - ","TRAVEL/CONFERENCE")</f>
        <v xml:space="preserve">          6292 - TRAVEL/CONFERENCE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595</v>
      </c>
      <c r="Q89" s="3"/>
      <c r="R89" s="7">
        <f t="shared" si="16"/>
        <v>5.4457021667323159E-5</v>
      </c>
      <c r="S89" s="3"/>
      <c r="T89" s="8"/>
      <c r="U89" s="3"/>
      <c r="V89" s="7">
        <f t="shared" si="17"/>
        <v>0</v>
      </c>
      <c r="W89" s="3"/>
      <c r="X89" s="8">
        <f t="shared" si="18"/>
        <v>595</v>
      </c>
      <c r="Y89" s="3"/>
      <c r="Z89" s="7">
        <f t="shared" si="19"/>
        <v>0</v>
      </c>
    </row>
    <row r="90" spans="1:26" s="69" customFormat="1" ht="15" hidden="1" customHeight="1" outlineLevel="2" x14ac:dyDescent="0.3">
      <c r="A90" s="26"/>
      <c r="B90" s="12" t="str">
        <f>CONCATENATE("          ","6294"," - ","TRAVEL OPERATIONAL")</f>
        <v xml:space="preserve">          6294 - TRAVEL OPERATIONAL</v>
      </c>
      <c r="C90" s="12"/>
      <c r="D90" s="8"/>
      <c r="E90" s="3"/>
      <c r="F90" s="7">
        <f t="shared" si="12"/>
        <v>0</v>
      </c>
      <c r="G90" s="3"/>
      <c r="H90" s="8">
        <v>160.30000000000001</v>
      </c>
      <c r="I90" s="3"/>
      <c r="J90" s="7">
        <f t="shared" si="13"/>
        <v>1.7778361394049785E-3</v>
      </c>
      <c r="K90" s="3"/>
      <c r="L90" s="8">
        <f t="shared" si="14"/>
        <v>-160.30000000000001</v>
      </c>
      <c r="M90" s="3"/>
      <c r="N90" s="7">
        <f t="shared" si="15"/>
        <v>-1</v>
      </c>
      <c r="O90" s="12"/>
      <c r="P90" s="8"/>
      <c r="Q90" s="3"/>
      <c r="R90" s="7">
        <f t="shared" si="16"/>
        <v>0</v>
      </c>
      <c r="S90" s="3"/>
      <c r="T90" s="8">
        <v>160.30000000000001</v>
      </c>
      <c r="U90" s="3"/>
      <c r="V90" s="7">
        <f t="shared" si="17"/>
        <v>1.7028628598386646E-4</v>
      </c>
      <c r="W90" s="3"/>
      <c r="X90" s="8">
        <f t="shared" si="18"/>
        <v>-160.30000000000001</v>
      </c>
      <c r="Y90" s="3"/>
      <c r="Z90" s="7">
        <f t="shared" si="19"/>
        <v>-1</v>
      </c>
    </row>
    <row r="91" spans="1:26" s="69" customFormat="1" ht="15" hidden="1" customHeight="1" outlineLevel="2" x14ac:dyDescent="0.3">
      <c r="A91" s="26"/>
      <c r="B91" s="12" t="str">
        <f>CONCATENATE("          ","6298"," - ","VEHICLE MILEAGE")</f>
        <v xml:space="preserve">          6298 - VEHICLE MILEAGE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239.04</v>
      </c>
      <c r="Q91" s="3"/>
      <c r="R91" s="7">
        <f t="shared" si="16"/>
        <v>2.1877994049339374E-5</v>
      </c>
      <c r="S91" s="3"/>
      <c r="T91" s="8"/>
      <c r="U91" s="3"/>
      <c r="V91" s="7">
        <f t="shared" si="17"/>
        <v>0</v>
      </c>
      <c r="W91" s="3"/>
      <c r="X91" s="8">
        <f t="shared" si="18"/>
        <v>239.04</v>
      </c>
      <c r="Y91" s="3"/>
      <c r="Z91" s="7">
        <f t="shared" si="19"/>
        <v>0</v>
      </c>
    </row>
    <row r="92" spans="1:26" s="64" customFormat="1" ht="15" customHeight="1" x14ac:dyDescent="0.3">
      <c r="A92" s="36"/>
      <c r="B92" s="36"/>
      <c r="C92" s="36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2" customFormat="1" ht="15" customHeight="1" x14ac:dyDescent="0.3">
      <c r="A93" s="11"/>
      <c r="B93" s="27" t="s">
        <v>290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2" customFormat="1" ht="15" customHeight="1" x14ac:dyDescent="0.3">
      <c r="A95" s="11"/>
      <c r="B95" s="28" t="s">
        <v>291</v>
      </c>
      <c r="C95" s="28"/>
      <c r="D95" s="21">
        <f>+D23-D25+D93</f>
        <v>755595.65000000014</v>
      </c>
      <c r="E95" s="15"/>
      <c r="F95" s="23">
        <f>IF(D$12=0,0,D95/D$12)</f>
        <v>0.43857881628556072</v>
      </c>
      <c r="G95" s="15"/>
      <c r="H95" s="21">
        <f>+H23-H25+H93</f>
        <v>-202722.22999999998</v>
      </c>
      <c r="I95" s="15"/>
      <c r="J95" s="23">
        <f>IF(H$12=0,0,H95/H$12)</f>
        <v>-2.2483275530553217</v>
      </c>
      <c r="K95" s="16"/>
      <c r="L95" s="21">
        <f>+D95-H95</f>
        <v>958317.88000000012</v>
      </c>
      <c r="M95" s="16"/>
      <c r="N95" s="23">
        <f>IF(H95=0,0,L95/H95)</f>
        <v>-4.7272461436518345</v>
      </c>
      <c r="O95" s="27"/>
      <c r="P95" s="21">
        <f>+P23-P25+P93</f>
        <v>3578994.6400000034</v>
      </c>
      <c r="Q95" s="15"/>
      <c r="R95" s="23">
        <f>IF(P$12=0,0,P95/P$12)</f>
        <v>0.32756535908859435</v>
      </c>
      <c r="S95" s="15"/>
      <c r="T95" s="21">
        <f>+T23-T25+T93</f>
        <v>-1741881.1899999992</v>
      </c>
      <c r="U95" s="15"/>
      <c r="V95" s="23">
        <f>IF(T$12=0,0,T95/T$12)</f>
        <v>-1.8503959979429663</v>
      </c>
      <c r="W95" s="16"/>
      <c r="X95" s="21">
        <f>+P95-T95</f>
        <v>5320875.8300000029</v>
      </c>
      <c r="Y95" s="16"/>
      <c r="Z95" s="23">
        <f>IF(T95=0,0,X95/T95)</f>
        <v>-3.0546720755392078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2" customFormat="1" ht="15" customHeight="1" x14ac:dyDescent="0.3">
      <c r="A97" s="48"/>
      <c r="B97" s="11" t="s">
        <v>292</v>
      </c>
      <c r="C97" s="11"/>
      <c r="D97" s="5">
        <v>139363.31</v>
      </c>
      <c r="E97" s="5"/>
      <c r="F97" s="13">
        <f>IF(D$12=0,0,D97/D$12)</f>
        <v>8.0892201448536177E-2</v>
      </c>
      <c r="G97" s="5"/>
      <c r="H97" s="5">
        <v>21512.41</v>
      </c>
      <c r="I97" s="5"/>
      <c r="J97" s="13">
        <f>IF(H$12=0,0,H97/H$12)</f>
        <v>0.23858727351027481</v>
      </c>
      <c r="K97" s="5"/>
      <c r="L97" s="5">
        <f>+D97-H97</f>
        <v>117850.9</v>
      </c>
      <c r="M97" s="5"/>
      <c r="N97" s="13">
        <f>IF(H97=0,0,L97/H97)</f>
        <v>5.4782750979550867</v>
      </c>
      <c r="O97" s="11"/>
      <c r="P97" s="5">
        <v>1237745.04</v>
      </c>
      <c r="Q97" s="5"/>
      <c r="R97" s="13">
        <f>IF(P$12=0,0,P97/P$12)</f>
        <v>0.11328387976790213</v>
      </c>
      <c r="S97" s="5"/>
      <c r="T97" s="5">
        <v>196935.47</v>
      </c>
      <c r="U97" s="5"/>
      <c r="V97" s="13">
        <f>IF(T$12=0,0,T97/T$12)</f>
        <v>0.20920405342973894</v>
      </c>
      <c r="W97" s="5"/>
      <c r="X97" s="5">
        <f>+P97-T97</f>
        <v>1040809.5700000001</v>
      </c>
      <c r="Y97" s="5"/>
      <c r="Z97" s="13">
        <f>IF(T97=0,0,X97/T97)</f>
        <v>5.2850284918201886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2" customFormat="1" ht="15" customHeight="1" x14ac:dyDescent="0.3">
      <c r="A99" s="11"/>
      <c r="B99" s="28" t="s">
        <v>293</v>
      </c>
      <c r="C99" s="28"/>
      <c r="D99" s="34">
        <f>+D95-D97</f>
        <v>616232.34000000008</v>
      </c>
      <c r="E99" s="15"/>
      <c r="F99" s="30">
        <f>IF(D$12=0,0,D99/D$12)</f>
        <v>0.35768661483702452</v>
      </c>
      <c r="G99" s="15"/>
      <c r="H99" s="34">
        <f>+H95-H97</f>
        <v>-224234.63999999998</v>
      </c>
      <c r="I99" s="15"/>
      <c r="J99" s="30">
        <f>IF(H$12=0,0,H99/H$12)</f>
        <v>-2.4869148265655965</v>
      </c>
      <c r="K99" s="16"/>
      <c r="L99" s="34">
        <f>D99-H99</f>
        <v>840466.9800000001</v>
      </c>
      <c r="M99" s="16"/>
      <c r="N99" s="30">
        <f>IF(H99=0,0,L99/H99)</f>
        <v>-3.7481585360763181</v>
      </c>
      <c r="O99" s="27"/>
      <c r="P99" s="34">
        <f>+P95-P97</f>
        <v>2341249.6000000034</v>
      </c>
      <c r="Q99" s="15"/>
      <c r="R99" s="30">
        <f>IF(P$12=0,0,P99/P$12)</f>
        <v>0.21428147932069222</v>
      </c>
      <c r="S99" s="15"/>
      <c r="T99" s="34">
        <f>+T95-T97</f>
        <v>-1938816.6599999992</v>
      </c>
      <c r="U99" s="15"/>
      <c r="V99" s="30">
        <f>IF(T$12=0,0,T99/T$12)</f>
        <v>-2.0596000513727053</v>
      </c>
      <c r="W99" s="16"/>
      <c r="X99" s="34">
        <f>P99-T99</f>
        <v>4280066.2600000026</v>
      </c>
      <c r="Y99" s="16"/>
      <c r="Z99" s="30">
        <f>IF(T99=0,0,X99/T99)</f>
        <v>-2.2075662687982081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2" customFormat="1" ht="15" customHeight="1" x14ac:dyDescent="0.3">
      <c r="A102" s="11"/>
      <c r="B102" s="28" t="s">
        <v>296</v>
      </c>
      <c r="C102" s="28"/>
      <c r="D102" s="29">
        <f>SUM(D99:D101)</f>
        <v>616232.34000000008</v>
      </c>
      <c r="E102" s="15"/>
      <c r="F102" s="35">
        <f>IF(D$12=0,0,D102/D$12)</f>
        <v>0.35768661483702452</v>
      </c>
      <c r="G102" s="15"/>
      <c r="H102" s="29">
        <f>SUM(H99:H101)</f>
        <v>-224234.63999999998</v>
      </c>
      <c r="I102" s="15"/>
      <c r="J102" s="35">
        <f>IF(H$12=0,0,H102/H$12)</f>
        <v>-2.4869148265655965</v>
      </c>
      <c r="K102" s="16"/>
      <c r="L102" s="29">
        <f>+D102-H102</f>
        <v>840466.9800000001</v>
      </c>
      <c r="M102" s="16"/>
      <c r="N102" s="35">
        <f>IF(H102=0,0,L102/H102)</f>
        <v>-3.7481585360763181</v>
      </c>
      <c r="O102" s="27"/>
      <c r="P102" s="29">
        <f>SUM(P99:P101)</f>
        <v>2341249.6000000034</v>
      </c>
      <c r="Q102" s="15"/>
      <c r="R102" s="35">
        <f>IF(P$12=0,0,P102/P$12)</f>
        <v>0.21428147932069222</v>
      </c>
      <c r="S102" s="15"/>
      <c r="T102" s="29">
        <f>SUM(T99:T101)</f>
        <v>-1938816.6599999992</v>
      </c>
      <c r="U102" s="15"/>
      <c r="V102" s="35">
        <f>IF(T$12=0,0,T102/T$12)</f>
        <v>-2.0596000513727053</v>
      </c>
      <c r="W102" s="16"/>
      <c r="X102" s="29">
        <f>+P102-T102</f>
        <v>4280066.2600000026</v>
      </c>
      <c r="Y102" s="16"/>
      <c r="Z102" s="35">
        <f>IF(T102=0,0,X102/T102)</f>
        <v>-2.2075662687982081</v>
      </c>
    </row>
    <row r="103" spans="1:26" ht="15" customHeight="1" x14ac:dyDescent="0.3">
      <c r="A103" s="10"/>
      <c r="C103" s="10"/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3">
      <c r="A104" s="10"/>
      <c r="B104" s="56">
        <v>44694.890790081015</v>
      </c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3">
      <c r="A105" s="10"/>
      <c r="B105" s="52" t="s">
        <v>297</v>
      </c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3">
      <c r="A106" s="10"/>
      <c r="B106" s="58"/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  <row r="107" spans="1:26" ht="15" customHeight="1" x14ac:dyDescent="0.3">
      <c r="D107" s="18"/>
      <c r="E107" s="18"/>
      <c r="G107" s="18"/>
      <c r="H107" s="18"/>
      <c r="I107" s="18"/>
      <c r="J107" s="40"/>
      <c r="K107" s="18"/>
      <c r="L107" s="18"/>
      <c r="M107" s="18"/>
      <c r="P107" s="18"/>
      <c r="Q107" s="18"/>
      <c r="R107" s="40"/>
      <c r="S107" s="18"/>
      <c r="T107" s="18"/>
      <c r="U107" s="18"/>
      <c r="V107" s="40"/>
      <c r="W107" s="18"/>
      <c r="X10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FD6B2-25CF-D2EA-5CDE-667462AA5975}">
  <sheetPr>
    <tabColor rgb="FF92D050"/>
    <outlinePr summaryBelow="0" summaryRight="0"/>
  </sheetPr>
  <dimension ref="A2:Z6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","430"," - ","Res Hall Management")</f>
        <v>Department 430 - Res Hall Management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x14ac:dyDescent="0.3">
      <c r="A12" s="11"/>
      <c r="B12" s="27" t="s">
        <v>286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2" customFormat="1" ht="15" customHeight="1" x14ac:dyDescent="0.3">
      <c r="A14" s="11"/>
      <c r="B14" s="27" t="s">
        <v>287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x14ac:dyDescent="0.3">
      <c r="A16" s="11"/>
      <c r="B16" s="28" t="s">
        <v>288</v>
      </c>
      <c r="C16" s="28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7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2" customFormat="1" ht="15" customHeight="1" x14ac:dyDescent="0.3">
      <c r="A18" s="11"/>
      <c r="B18" s="27" t="s">
        <v>289</v>
      </c>
      <c r="C18" s="11"/>
      <c r="D18" s="22" cm="1">
        <f t="array" ref="D18">SUM(OSRRefD22x_0)</f>
        <v>20612.510000000002</v>
      </c>
      <c r="E18" s="22"/>
      <c r="F18" s="32">
        <f t="shared" ref="F18:F44" si="0">IF(D$12=0,0,D18/D$12)</f>
        <v>0</v>
      </c>
      <c r="G18" s="22"/>
      <c r="H18" s="22" cm="1">
        <f t="array" ref="H18">SUM(OSRRefH22x_0)</f>
        <v>18741.91</v>
      </c>
      <c r="I18" s="22"/>
      <c r="J18" s="32">
        <f t="shared" ref="J18:J44" si="1">IF(H$12=0,0,H18/H$12)</f>
        <v>0</v>
      </c>
      <c r="K18" s="5"/>
      <c r="L18" s="22">
        <f t="shared" ref="L18:L44" si="2">+D18-H18</f>
        <v>1870.6000000000022</v>
      </c>
      <c r="M18" s="5"/>
      <c r="N18" s="32">
        <f t="shared" ref="N18:N44" si="3">IF(H18=0,0,L18/H18)</f>
        <v>9.9808397329834694E-2</v>
      </c>
      <c r="O18" s="11"/>
      <c r="P18" s="22" cm="1">
        <f t="array" ref="P18">SUM(OSRRefP22x_0)</f>
        <v>202289.12</v>
      </c>
      <c r="Q18" s="22"/>
      <c r="R18" s="32">
        <f t="shared" ref="R18:R44" si="4">IF(P$12=0,0,P18/P$12)</f>
        <v>0</v>
      </c>
      <c r="S18" s="22"/>
      <c r="T18" s="22" cm="1">
        <f t="array" ref="T18">SUM(OSRRefT22x_0)</f>
        <v>172019.20000000001</v>
      </c>
      <c r="U18" s="22"/>
      <c r="V18" s="32">
        <f t="shared" ref="V18:V44" si="5">IF(T$12=0,0,T18/T$12)</f>
        <v>0</v>
      </c>
      <c r="W18" s="5"/>
      <c r="X18" s="22">
        <f t="shared" ref="X18:X44" si="6">+P18-T18</f>
        <v>30269.919999999984</v>
      </c>
      <c r="Y18" s="5"/>
      <c r="Z18" s="32">
        <f t="shared" ref="Z18:Z44" si="7">IF(T18=0,0,X18/T18)</f>
        <v>0.17596826400773857</v>
      </c>
    </row>
    <row r="19" spans="1:26" s="68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6490.3200000000006</v>
      </c>
      <c r="E19" s="2"/>
      <c r="F19" s="6">
        <f t="shared" si="0"/>
        <v>0</v>
      </c>
      <c r="G19" s="2"/>
      <c r="H19" s="2">
        <f>SUM(OSRRefH22_0x_0)</f>
        <v>6282.49</v>
      </c>
      <c r="I19" s="2"/>
      <c r="J19" s="6">
        <f t="shared" si="1"/>
        <v>0</v>
      </c>
      <c r="K19" s="2"/>
      <c r="L19" s="2">
        <f t="shared" si="2"/>
        <v>207.83000000000084</v>
      </c>
      <c r="M19" s="2"/>
      <c r="N19" s="6">
        <f t="shared" si="3"/>
        <v>3.3080832599813266E-2</v>
      </c>
      <c r="O19" s="14"/>
      <c r="P19" s="2">
        <f>SUM(OSRRefP22_0x_0)</f>
        <v>60688.069999999992</v>
      </c>
      <c r="Q19" s="2"/>
      <c r="R19" s="6">
        <f t="shared" si="4"/>
        <v>0</v>
      </c>
      <c r="S19" s="2"/>
      <c r="T19" s="2">
        <f>SUM(OSRRefT22_0x_0)</f>
        <v>57962.799999999996</v>
      </c>
      <c r="U19" s="2"/>
      <c r="V19" s="6">
        <f t="shared" si="5"/>
        <v>0</v>
      </c>
      <c r="W19" s="2"/>
      <c r="X19" s="2">
        <f t="shared" si="6"/>
        <v>2725.2699999999968</v>
      </c>
      <c r="Y19" s="2"/>
      <c r="Z19" s="6">
        <f t="shared" si="7"/>
        <v>4.7017569889653311E-2</v>
      </c>
    </row>
    <row r="20" spans="1:26" s="69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1080.71</v>
      </c>
      <c r="E20" s="3"/>
      <c r="F20" s="7">
        <f t="shared" si="0"/>
        <v>0</v>
      </c>
      <c r="G20" s="3"/>
      <c r="H20" s="8">
        <v>1039.5899999999999</v>
      </c>
      <c r="I20" s="3"/>
      <c r="J20" s="7">
        <f t="shared" si="1"/>
        <v>0</v>
      </c>
      <c r="K20" s="3"/>
      <c r="L20" s="8">
        <f t="shared" si="2"/>
        <v>41.120000000000118</v>
      </c>
      <c r="M20" s="3"/>
      <c r="N20" s="7">
        <f t="shared" si="3"/>
        <v>3.95540549639763E-2</v>
      </c>
      <c r="O20" s="12"/>
      <c r="P20" s="8">
        <v>7792.71</v>
      </c>
      <c r="Q20" s="3"/>
      <c r="R20" s="7">
        <f t="shared" si="4"/>
        <v>0</v>
      </c>
      <c r="S20" s="3"/>
      <c r="T20" s="8">
        <v>7785.54</v>
      </c>
      <c r="U20" s="3"/>
      <c r="V20" s="7">
        <f t="shared" si="5"/>
        <v>0</v>
      </c>
      <c r="W20" s="3"/>
      <c r="X20" s="8">
        <f t="shared" si="6"/>
        <v>7.1700000000000728</v>
      </c>
      <c r="Y20" s="3"/>
      <c r="Z20" s="7">
        <f t="shared" si="7"/>
        <v>9.2093804668655908E-4</v>
      </c>
    </row>
    <row r="21" spans="1:26" s="69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338.15</v>
      </c>
      <c r="E21" s="3"/>
      <c r="F21" s="7">
        <f t="shared" si="0"/>
        <v>0</v>
      </c>
      <c r="G21" s="3"/>
      <c r="H21" s="8">
        <v>387.58</v>
      </c>
      <c r="I21" s="3"/>
      <c r="J21" s="7">
        <f t="shared" si="1"/>
        <v>0</v>
      </c>
      <c r="K21" s="3"/>
      <c r="L21" s="8">
        <f t="shared" si="2"/>
        <v>-49.430000000000007</v>
      </c>
      <c r="M21" s="3"/>
      <c r="N21" s="7">
        <f t="shared" si="3"/>
        <v>-0.12753496052427887</v>
      </c>
      <c r="O21" s="12"/>
      <c r="P21" s="8">
        <v>3488.44</v>
      </c>
      <c r="Q21" s="3"/>
      <c r="R21" s="7">
        <f t="shared" si="4"/>
        <v>0</v>
      </c>
      <c r="S21" s="3"/>
      <c r="T21" s="8">
        <v>4161.09</v>
      </c>
      <c r="U21" s="3"/>
      <c r="V21" s="7">
        <f t="shared" si="5"/>
        <v>0</v>
      </c>
      <c r="W21" s="3"/>
      <c r="X21" s="8">
        <f t="shared" si="6"/>
        <v>-672.65000000000009</v>
      </c>
      <c r="Y21" s="3"/>
      <c r="Z21" s="7">
        <f t="shared" si="7"/>
        <v>-0.16165235551261811</v>
      </c>
    </row>
    <row r="22" spans="1:26" s="69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2467.5700000000002</v>
      </c>
      <c r="E22" s="3"/>
      <c r="F22" s="7">
        <f t="shared" si="0"/>
        <v>0</v>
      </c>
      <c r="G22" s="3"/>
      <c r="H22" s="8">
        <v>2691.73</v>
      </c>
      <c r="I22" s="3"/>
      <c r="J22" s="7">
        <f t="shared" si="1"/>
        <v>0</v>
      </c>
      <c r="K22" s="3"/>
      <c r="L22" s="8">
        <f t="shared" si="2"/>
        <v>-224.15999999999985</v>
      </c>
      <c r="M22" s="3"/>
      <c r="N22" s="7">
        <f t="shared" si="3"/>
        <v>-8.3277297500120681E-2</v>
      </c>
      <c r="O22" s="12"/>
      <c r="P22" s="8">
        <v>26009.41</v>
      </c>
      <c r="Q22" s="3"/>
      <c r="R22" s="7">
        <f t="shared" si="4"/>
        <v>0</v>
      </c>
      <c r="S22" s="3"/>
      <c r="T22" s="8">
        <v>27194.32</v>
      </c>
      <c r="U22" s="3"/>
      <c r="V22" s="7">
        <f t="shared" si="5"/>
        <v>0</v>
      </c>
      <c r="W22" s="3"/>
      <c r="X22" s="8">
        <f t="shared" si="6"/>
        <v>-1184.9099999999999</v>
      </c>
      <c r="Y22" s="3"/>
      <c r="Z22" s="7">
        <f t="shared" si="7"/>
        <v>-4.3571966498886526E-2</v>
      </c>
    </row>
    <row r="23" spans="1:26" s="69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24.42</v>
      </c>
      <c r="E23" s="3"/>
      <c r="F23" s="7">
        <f t="shared" si="0"/>
        <v>0</v>
      </c>
      <c r="G23" s="3"/>
      <c r="H23" s="8">
        <v>23.49</v>
      </c>
      <c r="I23" s="3"/>
      <c r="J23" s="7">
        <f t="shared" si="1"/>
        <v>0</v>
      </c>
      <c r="K23" s="3"/>
      <c r="L23" s="8">
        <f t="shared" si="2"/>
        <v>0.93000000000000327</v>
      </c>
      <c r="M23" s="3"/>
      <c r="N23" s="7">
        <f t="shared" si="3"/>
        <v>3.9591315453384561E-2</v>
      </c>
      <c r="O23" s="12"/>
      <c r="P23" s="8">
        <v>251.93</v>
      </c>
      <c r="Q23" s="3"/>
      <c r="R23" s="7">
        <f t="shared" si="4"/>
        <v>0</v>
      </c>
      <c r="S23" s="3"/>
      <c r="T23" s="8">
        <v>252.17</v>
      </c>
      <c r="U23" s="3"/>
      <c r="V23" s="7">
        <f t="shared" si="5"/>
        <v>0</v>
      </c>
      <c r="W23" s="3"/>
      <c r="X23" s="8">
        <f t="shared" si="6"/>
        <v>-0.23999999999998067</v>
      </c>
      <c r="Y23" s="3"/>
      <c r="Z23" s="7">
        <f t="shared" si="7"/>
        <v>-9.5173890629329696E-4</v>
      </c>
    </row>
    <row r="24" spans="1:26" s="69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919.39</v>
      </c>
      <c r="E24" s="3"/>
      <c r="F24" s="7">
        <f t="shared" si="0"/>
        <v>0</v>
      </c>
      <c r="G24" s="3"/>
      <c r="H24" s="8">
        <v>692.57</v>
      </c>
      <c r="I24" s="3"/>
      <c r="J24" s="7">
        <f t="shared" si="1"/>
        <v>0</v>
      </c>
      <c r="K24" s="3"/>
      <c r="L24" s="8">
        <f t="shared" si="2"/>
        <v>226.81999999999994</v>
      </c>
      <c r="M24" s="3"/>
      <c r="N24" s="7">
        <f t="shared" si="3"/>
        <v>0.32750480095874773</v>
      </c>
      <c r="O24" s="12"/>
      <c r="P24" s="8">
        <v>7515.67</v>
      </c>
      <c r="Q24" s="3"/>
      <c r="R24" s="7">
        <f t="shared" si="4"/>
        <v>0</v>
      </c>
      <c r="S24" s="3"/>
      <c r="T24" s="8">
        <v>7618.28</v>
      </c>
      <c r="U24" s="3"/>
      <c r="V24" s="7">
        <f t="shared" si="5"/>
        <v>0</v>
      </c>
      <c r="W24" s="3"/>
      <c r="X24" s="8">
        <f t="shared" si="6"/>
        <v>-102.60999999999967</v>
      </c>
      <c r="Y24" s="3"/>
      <c r="Z24" s="7">
        <f t="shared" si="7"/>
        <v>-1.3468919493638942E-2</v>
      </c>
    </row>
    <row r="25" spans="1:26" s="69" customFormat="1" ht="15" hidden="1" customHeight="1" outlineLevel="2" x14ac:dyDescent="0.3">
      <c r="A25" s="26"/>
      <c r="B25" s="12" t="str">
        <f>CONCATENATE("          ","6118"," - ","VACATION")</f>
        <v xml:space="preserve">          6118 - VACATION</v>
      </c>
      <c r="C25" s="12"/>
      <c r="D25" s="8">
        <v>860.74</v>
      </c>
      <c r="E25" s="3"/>
      <c r="F25" s="7">
        <f t="shared" si="0"/>
        <v>0</v>
      </c>
      <c r="G25" s="3"/>
      <c r="H25" s="8">
        <v>827.64</v>
      </c>
      <c r="I25" s="3"/>
      <c r="J25" s="7">
        <f t="shared" si="1"/>
        <v>0</v>
      </c>
      <c r="K25" s="3"/>
      <c r="L25" s="8">
        <f t="shared" si="2"/>
        <v>33.100000000000023</v>
      </c>
      <c r="M25" s="3"/>
      <c r="N25" s="7">
        <f t="shared" si="3"/>
        <v>3.9993233773138105E-2</v>
      </c>
      <c r="O25" s="12"/>
      <c r="P25" s="8">
        <v>9236.7900000000009</v>
      </c>
      <c r="Q25" s="3"/>
      <c r="R25" s="7">
        <f t="shared" si="4"/>
        <v>0</v>
      </c>
      <c r="S25" s="3"/>
      <c r="T25" s="8">
        <v>6237.54</v>
      </c>
      <c r="U25" s="3"/>
      <c r="V25" s="7">
        <f t="shared" si="5"/>
        <v>0</v>
      </c>
      <c r="W25" s="3"/>
      <c r="X25" s="8">
        <f t="shared" si="6"/>
        <v>2999.2500000000009</v>
      </c>
      <c r="Y25" s="3"/>
      <c r="Z25" s="7">
        <f t="shared" si="7"/>
        <v>0.48083859983262645</v>
      </c>
    </row>
    <row r="26" spans="1:26" s="69" customFormat="1" ht="15" hidden="1" customHeight="1" outlineLevel="2" x14ac:dyDescent="0.3">
      <c r="A26" s="26"/>
      <c r="B26" s="12" t="str">
        <f>CONCATENATE("          ","6119"," - ","SICK LEAVE")</f>
        <v xml:space="preserve">          6119 - SICK LEAVE</v>
      </c>
      <c r="C26" s="12"/>
      <c r="D26" s="8">
        <v>644.66999999999996</v>
      </c>
      <c r="E26" s="3"/>
      <c r="F26" s="7">
        <f t="shared" si="0"/>
        <v>0</v>
      </c>
      <c r="G26" s="3"/>
      <c r="H26" s="8">
        <v>619.89</v>
      </c>
      <c r="I26" s="3"/>
      <c r="J26" s="7">
        <f t="shared" si="1"/>
        <v>0</v>
      </c>
      <c r="K26" s="3"/>
      <c r="L26" s="8">
        <f t="shared" si="2"/>
        <v>24.779999999999973</v>
      </c>
      <c r="M26" s="3"/>
      <c r="N26" s="7">
        <f t="shared" si="3"/>
        <v>3.9974834244785325E-2</v>
      </c>
      <c r="O26" s="12"/>
      <c r="P26" s="8">
        <v>5398.09</v>
      </c>
      <c r="Q26" s="3"/>
      <c r="R26" s="7">
        <f t="shared" si="4"/>
        <v>0</v>
      </c>
      <c r="S26" s="3"/>
      <c r="T26" s="8">
        <v>4545.8599999999997</v>
      </c>
      <c r="U26" s="3"/>
      <c r="V26" s="7">
        <f t="shared" si="5"/>
        <v>0</v>
      </c>
      <c r="W26" s="3"/>
      <c r="X26" s="8">
        <f t="shared" si="6"/>
        <v>852.23000000000047</v>
      </c>
      <c r="Y26" s="3"/>
      <c r="Z26" s="7">
        <f t="shared" si="7"/>
        <v>0.18747387733014226</v>
      </c>
    </row>
    <row r="27" spans="1:26" s="69" customFormat="1" ht="15" hidden="1" customHeight="1" outlineLevel="2" x14ac:dyDescent="0.3">
      <c r="A27" s="26"/>
      <c r="B27" s="12" t="str">
        <f>CONCATENATE("          ","6156"," - ","EMPLOYEE MEALS")</f>
        <v xml:space="preserve">          6156 - EMPLOYEE MEALS</v>
      </c>
      <c r="C27" s="12"/>
      <c r="D27" s="8">
        <v>154.66999999999999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154.66999999999999</v>
      </c>
      <c r="M27" s="3"/>
      <c r="N27" s="7">
        <f t="shared" si="3"/>
        <v>0</v>
      </c>
      <c r="O27" s="12"/>
      <c r="P27" s="8">
        <v>995.03</v>
      </c>
      <c r="Q27" s="3"/>
      <c r="R27" s="7">
        <f t="shared" si="4"/>
        <v>0</v>
      </c>
      <c r="S27" s="3"/>
      <c r="T27" s="8">
        <v>168</v>
      </c>
      <c r="U27" s="3"/>
      <c r="V27" s="7">
        <f t="shared" si="5"/>
        <v>0</v>
      </c>
      <c r="W27" s="3"/>
      <c r="X27" s="8">
        <f t="shared" si="6"/>
        <v>827.03</v>
      </c>
      <c r="Y27" s="3"/>
      <c r="Z27" s="7">
        <f t="shared" si="7"/>
        <v>4.9227976190476186</v>
      </c>
    </row>
    <row r="28" spans="1:26" s="68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10250.19</v>
      </c>
      <c r="E28" s="2"/>
      <c r="F28" s="6">
        <f t="shared" si="0"/>
        <v>0</v>
      </c>
      <c r="G28" s="2"/>
      <c r="H28" s="2">
        <f>SUM(OSRRefH22_1x_0)</f>
        <v>8959.42</v>
      </c>
      <c r="I28" s="2"/>
      <c r="J28" s="6">
        <f t="shared" si="1"/>
        <v>0</v>
      </c>
      <c r="K28" s="2"/>
      <c r="L28" s="2">
        <f t="shared" si="2"/>
        <v>1290.7700000000004</v>
      </c>
      <c r="M28" s="2"/>
      <c r="N28" s="6">
        <f t="shared" si="3"/>
        <v>0.1440684776469906</v>
      </c>
      <c r="O28" s="14"/>
      <c r="P28" s="2">
        <f>SUM(OSRRefP22_1x_0)</f>
        <v>94415.56</v>
      </c>
      <c r="Q28" s="2"/>
      <c r="R28" s="6">
        <f t="shared" si="4"/>
        <v>0</v>
      </c>
      <c r="S28" s="2"/>
      <c r="T28" s="2">
        <f>SUM(OSRRefT22_1x_0)</f>
        <v>91164.32</v>
      </c>
      <c r="U28" s="2"/>
      <c r="V28" s="6">
        <f t="shared" si="5"/>
        <v>0</v>
      </c>
      <c r="W28" s="2"/>
      <c r="X28" s="2">
        <f t="shared" si="6"/>
        <v>3251.2399999999907</v>
      </c>
      <c r="Y28" s="2"/>
      <c r="Z28" s="6">
        <f t="shared" si="7"/>
        <v>3.5663513971255313E-2</v>
      </c>
    </row>
    <row r="29" spans="1:26" s="69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>
        <v>10250.19</v>
      </c>
      <c r="E29" s="3"/>
      <c r="F29" s="7">
        <f t="shared" si="0"/>
        <v>0</v>
      </c>
      <c r="G29" s="3"/>
      <c r="H29" s="8">
        <v>8959.42</v>
      </c>
      <c r="I29" s="3"/>
      <c r="J29" s="7">
        <f t="shared" si="1"/>
        <v>0</v>
      </c>
      <c r="K29" s="3"/>
      <c r="L29" s="8">
        <f t="shared" si="2"/>
        <v>1290.7700000000004</v>
      </c>
      <c r="M29" s="3"/>
      <c r="N29" s="7">
        <f t="shared" si="3"/>
        <v>0.1440684776469906</v>
      </c>
      <c r="O29" s="12"/>
      <c r="P29" s="8">
        <v>94415.56</v>
      </c>
      <c r="Q29" s="3"/>
      <c r="R29" s="7">
        <f t="shared" si="4"/>
        <v>0</v>
      </c>
      <c r="S29" s="3"/>
      <c r="T29" s="8">
        <v>91164.32</v>
      </c>
      <c r="U29" s="3"/>
      <c r="V29" s="7">
        <f t="shared" si="5"/>
        <v>0</v>
      </c>
      <c r="W29" s="3"/>
      <c r="X29" s="8">
        <f t="shared" si="6"/>
        <v>3251.2399999999907</v>
      </c>
      <c r="Y29" s="3"/>
      <c r="Z29" s="7">
        <f t="shared" si="7"/>
        <v>3.5663513971255313E-2</v>
      </c>
    </row>
    <row r="30" spans="1:26" s="68" customFormat="1" ht="15" customHeight="1" outlineLevel="1" collapsed="1" x14ac:dyDescent="0.3">
      <c r="A30" s="25"/>
      <c r="B30" s="14" t="str">
        <f>CONCATENATE("     ","Advertising/Promo                                 ")</f>
        <v xml:space="preserve">     Advertising/Promo                                 </v>
      </c>
      <c r="C30" s="14"/>
      <c r="D30" s="2">
        <f>SUM(OSRRefD22_2x_0)</f>
        <v>0</v>
      </c>
      <c r="E30" s="2"/>
      <c r="F30" s="6">
        <f t="shared" si="0"/>
        <v>0</v>
      </c>
      <c r="G30" s="2"/>
      <c r="H30" s="2">
        <f>SUM(OSRRefH22_2x_0)</f>
        <v>0</v>
      </c>
      <c r="I30" s="2"/>
      <c r="J30" s="6">
        <f t="shared" si="1"/>
        <v>0</v>
      </c>
      <c r="K30" s="2"/>
      <c r="L30" s="2">
        <f t="shared" si="2"/>
        <v>0</v>
      </c>
      <c r="M30" s="2"/>
      <c r="N30" s="6">
        <f t="shared" si="3"/>
        <v>0</v>
      </c>
      <c r="O30" s="14"/>
      <c r="P30" s="2">
        <f>SUM(OSRRefP22_2x_0)</f>
        <v>45</v>
      </c>
      <c r="Q30" s="2"/>
      <c r="R30" s="6">
        <f t="shared" si="4"/>
        <v>0</v>
      </c>
      <c r="S30" s="2"/>
      <c r="T30" s="2">
        <f>SUM(OSRRefT22_2x_0)</f>
        <v>0</v>
      </c>
      <c r="U30" s="2"/>
      <c r="V30" s="6">
        <f t="shared" si="5"/>
        <v>0</v>
      </c>
      <c r="W30" s="2"/>
      <c r="X30" s="2">
        <f t="shared" si="6"/>
        <v>45</v>
      </c>
      <c r="Y30" s="2"/>
      <c r="Z30" s="6">
        <f t="shared" si="7"/>
        <v>0</v>
      </c>
    </row>
    <row r="31" spans="1:26" s="69" customFormat="1" ht="15" hidden="1" customHeight="1" outlineLevel="2" x14ac:dyDescent="0.3">
      <c r="A31" s="26"/>
      <c r="B31" s="12" t="str">
        <f>CONCATENATE("          ","6362"," - ","ADVERTISING EXPENSE")</f>
        <v xml:space="preserve">          6362 - ADVERTISING EXPENSE</v>
      </c>
      <c r="C31" s="12"/>
      <c r="D31" s="8"/>
      <c r="E31" s="3"/>
      <c r="F31" s="7">
        <f t="shared" si="0"/>
        <v>0</v>
      </c>
      <c r="G31" s="3"/>
      <c r="H31" s="8"/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>
        <v>45</v>
      </c>
      <c r="Q31" s="3"/>
      <c r="R31" s="7">
        <f t="shared" si="4"/>
        <v>0</v>
      </c>
      <c r="S31" s="3"/>
      <c r="T31" s="8"/>
      <c r="U31" s="3"/>
      <c r="V31" s="7">
        <f t="shared" si="5"/>
        <v>0</v>
      </c>
      <c r="W31" s="3"/>
      <c r="X31" s="8">
        <f t="shared" si="6"/>
        <v>45</v>
      </c>
      <c r="Y31" s="3"/>
      <c r="Z31" s="7">
        <f t="shared" si="7"/>
        <v>0</v>
      </c>
    </row>
    <row r="32" spans="1:26" s="68" customFormat="1" ht="15" customHeight="1" outlineLevel="1" collapsed="1" x14ac:dyDescent="0.3">
      <c r="A32" s="25"/>
      <c r="B32" s="14" t="str">
        <f>CONCATENATE("     ","General                                           ")</f>
        <v xml:space="preserve">     General                                           </v>
      </c>
      <c r="C32" s="14"/>
      <c r="D32" s="2">
        <f>SUM(OSRRefD22_3x_0)</f>
        <v>222</v>
      </c>
      <c r="E32" s="2"/>
      <c r="F32" s="6">
        <f t="shared" si="0"/>
        <v>0</v>
      </c>
      <c r="G32" s="2"/>
      <c r="H32" s="2">
        <f>SUM(OSRRefH22_3x_0)</f>
        <v>0</v>
      </c>
      <c r="I32" s="2"/>
      <c r="J32" s="6">
        <f t="shared" si="1"/>
        <v>0</v>
      </c>
      <c r="K32" s="2"/>
      <c r="L32" s="2">
        <f t="shared" si="2"/>
        <v>222</v>
      </c>
      <c r="M32" s="2"/>
      <c r="N32" s="6">
        <f t="shared" si="3"/>
        <v>0</v>
      </c>
      <c r="O32" s="14"/>
      <c r="P32" s="2">
        <f>SUM(OSRRefP22_3x_0)</f>
        <v>752</v>
      </c>
      <c r="Q32" s="2"/>
      <c r="R32" s="6">
        <f t="shared" si="4"/>
        <v>0</v>
      </c>
      <c r="S32" s="2"/>
      <c r="T32" s="2">
        <f>SUM(OSRRefT22_3x_0)</f>
        <v>1.65</v>
      </c>
      <c r="U32" s="2"/>
      <c r="V32" s="6">
        <f t="shared" si="5"/>
        <v>0</v>
      </c>
      <c r="W32" s="2"/>
      <c r="X32" s="2">
        <f t="shared" si="6"/>
        <v>750.35</v>
      </c>
      <c r="Y32" s="2"/>
      <c r="Z32" s="6">
        <f t="shared" si="7"/>
        <v>454.75757575757581</v>
      </c>
    </row>
    <row r="33" spans="1:26" s="69" customFormat="1" ht="15" hidden="1" customHeight="1" outlineLevel="2" x14ac:dyDescent="0.3">
      <c r="A33" s="26"/>
      <c r="B33" s="12" t="str">
        <f>CONCATENATE("          ","6279"," - ","GENERAL EXPENSE")</f>
        <v xml:space="preserve">          6279 - GENERAL EXPENSE</v>
      </c>
      <c r="C33" s="12"/>
      <c r="D33" s="8">
        <v>222</v>
      </c>
      <c r="E33" s="3"/>
      <c r="F33" s="7">
        <f t="shared" si="0"/>
        <v>0</v>
      </c>
      <c r="G33" s="3"/>
      <c r="H33" s="8"/>
      <c r="I33" s="3"/>
      <c r="J33" s="7">
        <f t="shared" si="1"/>
        <v>0</v>
      </c>
      <c r="K33" s="3"/>
      <c r="L33" s="8">
        <f t="shared" si="2"/>
        <v>222</v>
      </c>
      <c r="M33" s="3"/>
      <c r="N33" s="7">
        <f t="shared" si="3"/>
        <v>0</v>
      </c>
      <c r="O33" s="12"/>
      <c r="P33" s="8">
        <v>752</v>
      </c>
      <c r="Q33" s="3"/>
      <c r="R33" s="7">
        <f t="shared" si="4"/>
        <v>0</v>
      </c>
      <c r="S33" s="3"/>
      <c r="T33" s="8">
        <v>1.65</v>
      </c>
      <c r="U33" s="3"/>
      <c r="V33" s="7">
        <f t="shared" si="5"/>
        <v>0</v>
      </c>
      <c r="W33" s="3"/>
      <c r="X33" s="8">
        <f t="shared" si="6"/>
        <v>750.35</v>
      </c>
      <c r="Y33" s="3"/>
      <c r="Z33" s="7">
        <f t="shared" si="7"/>
        <v>454.75757575757581</v>
      </c>
    </row>
    <row r="34" spans="1:26" s="68" customFormat="1" ht="15" customHeight="1" outlineLevel="1" collapsed="1" x14ac:dyDescent="0.3">
      <c r="A34" s="25"/>
      <c r="B34" s="14" t="str">
        <f>CONCATENATE("     ","Repair and Maintenance                            ")</f>
        <v xml:space="preserve">     Repair and Maintenance                            </v>
      </c>
      <c r="C34" s="14"/>
      <c r="D34" s="2">
        <f>SUM(OSRRefD22_4x_0)</f>
        <v>3500</v>
      </c>
      <c r="E34" s="2"/>
      <c r="F34" s="6">
        <f t="shared" si="0"/>
        <v>0</v>
      </c>
      <c r="G34" s="2"/>
      <c r="H34" s="2">
        <f>SUM(OSRRefH22_4x_0)</f>
        <v>3500</v>
      </c>
      <c r="I34" s="2"/>
      <c r="J34" s="6">
        <f t="shared" si="1"/>
        <v>0</v>
      </c>
      <c r="K34" s="2"/>
      <c r="L34" s="2">
        <f t="shared" si="2"/>
        <v>0</v>
      </c>
      <c r="M34" s="2"/>
      <c r="N34" s="6">
        <f t="shared" si="3"/>
        <v>0</v>
      </c>
      <c r="O34" s="14"/>
      <c r="P34" s="2">
        <f>SUM(OSRRefP22_4x_0)</f>
        <v>35000</v>
      </c>
      <c r="Q34" s="2"/>
      <c r="R34" s="6">
        <f t="shared" si="4"/>
        <v>0</v>
      </c>
      <c r="S34" s="2"/>
      <c r="T34" s="2">
        <f>SUM(OSRRefT22_4x_0)</f>
        <v>17500</v>
      </c>
      <c r="U34" s="2"/>
      <c r="V34" s="6">
        <f t="shared" si="5"/>
        <v>0</v>
      </c>
      <c r="W34" s="2"/>
      <c r="X34" s="2">
        <f t="shared" si="6"/>
        <v>17500</v>
      </c>
      <c r="Y34" s="2"/>
      <c r="Z34" s="6">
        <f t="shared" si="7"/>
        <v>1</v>
      </c>
    </row>
    <row r="35" spans="1:26" s="69" customFormat="1" ht="15" hidden="1" customHeight="1" outlineLevel="2" x14ac:dyDescent="0.3">
      <c r="A35" s="26"/>
      <c r="B35" s="12" t="str">
        <f>CONCATENATE("          ","6371"," - ","COMPUTER SOFTWARE MAINTENANCE")</f>
        <v xml:space="preserve">          6371 - COMPUTER SOFTWARE MAINTENANCE</v>
      </c>
      <c r="C35" s="12"/>
      <c r="D35" s="8">
        <v>3500</v>
      </c>
      <c r="E35" s="3"/>
      <c r="F35" s="7">
        <f t="shared" si="0"/>
        <v>0</v>
      </c>
      <c r="G35" s="3"/>
      <c r="H35" s="8">
        <v>3500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>
        <v>35000</v>
      </c>
      <c r="Q35" s="3"/>
      <c r="R35" s="7">
        <f t="shared" si="4"/>
        <v>0</v>
      </c>
      <c r="S35" s="3"/>
      <c r="T35" s="8">
        <v>17500</v>
      </c>
      <c r="U35" s="3"/>
      <c r="V35" s="7">
        <f t="shared" si="5"/>
        <v>0</v>
      </c>
      <c r="W35" s="3"/>
      <c r="X35" s="8">
        <f t="shared" si="6"/>
        <v>17500</v>
      </c>
      <c r="Y35" s="3"/>
      <c r="Z35" s="7">
        <f t="shared" si="7"/>
        <v>1</v>
      </c>
    </row>
    <row r="36" spans="1:26" s="68" customFormat="1" ht="15" customHeight="1" outlineLevel="1" collapsed="1" x14ac:dyDescent="0.3">
      <c r="A36" s="25"/>
      <c r="B36" s="14" t="str">
        <f>CONCATENATE("     ","Supplies                                          ")</f>
        <v xml:space="preserve">     Supplies                                          </v>
      </c>
      <c r="C36" s="14"/>
      <c r="D36" s="2">
        <f>SUM(OSRRefD22_5x_0)</f>
        <v>0</v>
      </c>
      <c r="E36" s="2"/>
      <c r="F36" s="6">
        <f t="shared" si="0"/>
        <v>0</v>
      </c>
      <c r="G36" s="2"/>
      <c r="H36" s="2">
        <f>SUM(OSRRefH22_5x_0)</f>
        <v>0</v>
      </c>
      <c r="I36" s="2"/>
      <c r="J36" s="6">
        <f t="shared" si="1"/>
        <v>0</v>
      </c>
      <c r="K36" s="2"/>
      <c r="L36" s="2">
        <f t="shared" si="2"/>
        <v>0</v>
      </c>
      <c r="M36" s="2"/>
      <c r="N36" s="6">
        <f t="shared" si="3"/>
        <v>0</v>
      </c>
      <c r="O36" s="14"/>
      <c r="P36" s="2">
        <f>SUM(OSRRefP22_5x_0)</f>
        <v>2371.52</v>
      </c>
      <c r="Q36" s="2"/>
      <c r="R36" s="6">
        <f t="shared" si="4"/>
        <v>0</v>
      </c>
      <c r="S36" s="2"/>
      <c r="T36" s="2">
        <f>SUM(OSRRefT22_5x_0)</f>
        <v>4939.2</v>
      </c>
      <c r="U36" s="2"/>
      <c r="V36" s="6">
        <f t="shared" si="5"/>
        <v>0</v>
      </c>
      <c r="W36" s="2"/>
      <c r="X36" s="2">
        <f t="shared" si="6"/>
        <v>-2567.6799999999998</v>
      </c>
      <c r="Y36" s="2"/>
      <c r="Z36" s="6">
        <f t="shared" si="7"/>
        <v>-0.51985746679624234</v>
      </c>
    </row>
    <row r="37" spans="1:26" s="69" customFormat="1" ht="15" hidden="1" customHeight="1" outlineLevel="2" x14ac:dyDescent="0.3">
      <c r="A37" s="26"/>
      <c r="B37" s="12" t="str">
        <f>CONCATENATE("          ","6235"," - ","COVID-19 EXPENSES")</f>
        <v xml:space="preserve">          6235 - COVID-19 EXPENSES</v>
      </c>
      <c r="C37" s="12"/>
      <c r="D37" s="8"/>
      <c r="E37" s="3"/>
      <c r="F37" s="7">
        <f t="shared" si="0"/>
        <v>0</v>
      </c>
      <c r="G37" s="3"/>
      <c r="H37" s="8"/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4939.2</v>
      </c>
      <c r="U37" s="3"/>
      <c r="V37" s="7">
        <f t="shared" si="5"/>
        <v>0</v>
      </c>
      <c r="W37" s="3"/>
      <c r="X37" s="8">
        <f t="shared" si="6"/>
        <v>-4939.2</v>
      </c>
      <c r="Y37" s="3"/>
      <c r="Z37" s="7">
        <f t="shared" si="7"/>
        <v>-1</v>
      </c>
    </row>
    <row r="38" spans="1:26" s="69" customFormat="1" ht="15" hidden="1" customHeight="1" outlineLevel="2" x14ac:dyDescent="0.3">
      <c r="A38" s="26"/>
      <c r="B38" s="12" t="str">
        <f>CONCATENATE("          ","6241"," - ","OFFICE EXPENSE")</f>
        <v xml:space="preserve">          6241 - OFFICE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2371.52</v>
      </c>
      <c r="Q38" s="3"/>
      <c r="R38" s="7">
        <f t="shared" si="4"/>
        <v>0</v>
      </c>
      <c r="S38" s="3"/>
      <c r="T38" s="8"/>
      <c r="U38" s="3"/>
      <c r="V38" s="7">
        <f t="shared" si="5"/>
        <v>0</v>
      </c>
      <c r="W38" s="3"/>
      <c r="X38" s="8">
        <f t="shared" si="6"/>
        <v>2371.52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","Telephone/Data Lines                              ")</f>
        <v xml:space="preserve">     Telephone/Data Lines                              </v>
      </c>
      <c r="C39" s="14"/>
      <c r="D39" s="2">
        <f>SUM(OSRRefD22_6x_0)</f>
        <v>150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150</v>
      </c>
      <c r="M39" s="2"/>
      <c r="N39" s="6">
        <f t="shared" si="3"/>
        <v>0</v>
      </c>
      <c r="O39" s="14"/>
      <c r="P39" s="2">
        <f>SUM(OSRRefP22_6x_0)</f>
        <v>808</v>
      </c>
      <c r="Q39" s="2"/>
      <c r="R39" s="6">
        <f t="shared" si="4"/>
        <v>0</v>
      </c>
      <c r="S39" s="2"/>
      <c r="T39" s="2">
        <f>SUM(OSRRefT22_6x_0)</f>
        <v>400</v>
      </c>
      <c r="U39" s="2"/>
      <c r="V39" s="6">
        <f t="shared" si="5"/>
        <v>0</v>
      </c>
      <c r="W39" s="2"/>
      <c r="X39" s="2">
        <f t="shared" si="6"/>
        <v>408</v>
      </c>
      <c r="Y39" s="2"/>
      <c r="Z39" s="6">
        <f t="shared" si="7"/>
        <v>1.02</v>
      </c>
    </row>
    <row r="40" spans="1:26" s="69" customFormat="1" ht="15" hidden="1" customHeight="1" outlineLevel="2" x14ac:dyDescent="0.3">
      <c r="A40" s="26"/>
      <c r="B40" s="12" t="str">
        <f>CONCATENATE("          ","6309"," - ","TELEPHONE")</f>
        <v xml:space="preserve">          6309 - TELEPHONE</v>
      </c>
      <c r="C40" s="12"/>
      <c r="D40" s="8">
        <v>150</v>
      </c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150</v>
      </c>
      <c r="M40" s="3"/>
      <c r="N40" s="7">
        <f t="shared" si="3"/>
        <v>0</v>
      </c>
      <c r="O40" s="12"/>
      <c r="P40" s="8">
        <v>808</v>
      </c>
      <c r="Q40" s="3"/>
      <c r="R40" s="7">
        <f t="shared" si="4"/>
        <v>0</v>
      </c>
      <c r="S40" s="3"/>
      <c r="T40" s="8">
        <v>400</v>
      </c>
      <c r="U40" s="3"/>
      <c r="V40" s="7">
        <f t="shared" si="5"/>
        <v>0</v>
      </c>
      <c r="W40" s="3"/>
      <c r="X40" s="8">
        <f t="shared" si="6"/>
        <v>408</v>
      </c>
      <c r="Y40" s="3"/>
      <c r="Z40" s="7">
        <f t="shared" si="7"/>
        <v>1.02</v>
      </c>
    </row>
    <row r="41" spans="1:26" s="68" customFormat="1" ht="15" customHeight="1" outlineLevel="1" collapsed="1" x14ac:dyDescent="0.3">
      <c r="A41" s="25"/>
      <c r="B41" s="14" t="str">
        <f>CONCATENATE("     ","Training                                          ")</f>
        <v xml:space="preserve">     Training                                          </v>
      </c>
      <c r="C41" s="14"/>
      <c r="D41" s="2">
        <f>SUM(OSRRefD22_7x_0)</f>
        <v>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SUM(OSRRefP22_7x_0)</f>
        <v>7613.97</v>
      </c>
      <c r="Q41" s="2"/>
      <c r="R41" s="6">
        <f t="shared" si="4"/>
        <v>0</v>
      </c>
      <c r="S41" s="2"/>
      <c r="T41" s="2">
        <f>SUM(OSRRefT22_7x_0)</f>
        <v>51.23</v>
      </c>
      <c r="U41" s="2"/>
      <c r="V41" s="6">
        <f t="shared" si="5"/>
        <v>0</v>
      </c>
      <c r="W41" s="2"/>
      <c r="X41" s="2">
        <f t="shared" si="6"/>
        <v>7562.7400000000007</v>
      </c>
      <c r="Y41" s="2"/>
      <c r="Z41" s="6">
        <f t="shared" si="7"/>
        <v>147.6232676166309</v>
      </c>
    </row>
    <row r="42" spans="1:26" s="69" customFormat="1" ht="15" hidden="1" customHeight="1" outlineLevel="2" x14ac:dyDescent="0.3">
      <c r="A42" s="26"/>
      <c r="B42" s="12" t="str">
        <f>CONCATENATE("          ","6376"," - ","TRAINING")</f>
        <v xml:space="preserve">          6376 - TRAINING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7613.97</v>
      </c>
      <c r="Q42" s="3"/>
      <c r="R42" s="7">
        <f t="shared" si="4"/>
        <v>0</v>
      </c>
      <c r="S42" s="3"/>
      <c r="T42" s="8">
        <v>51.23</v>
      </c>
      <c r="U42" s="3"/>
      <c r="V42" s="7">
        <f t="shared" si="5"/>
        <v>0</v>
      </c>
      <c r="W42" s="3"/>
      <c r="X42" s="8">
        <f t="shared" si="6"/>
        <v>7562.7400000000007</v>
      </c>
      <c r="Y42" s="3"/>
      <c r="Z42" s="7">
        <f t="shared" si="7"/>
        <v>147.6232676166309</v>
      </c>
    </row>
    <row r="43" spans="1:26" s="68" customFormat="1" ht="15" customHeight="1" outlineLevel="1" collapsed="1" x14ac:dyDescent="0.3">
      <c r="A43" s="25"/>
      <c r="B43" s="14" t="str">
        <f>CONCATENATE("     ","Travel                                            ")</f>
        <v xml:space="preserve">     Travel                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595</v>
      </c>
      <c r="Q43" s="2"/>
      <c r="R43" s="6">
        <f t="shared" si="4"/>
        <v>0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595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","6292"," - ","TRAVEL/CONFERENCE")</f>
        <v xml:space="preserve">          6292 - TRAVEL/CONFERENCE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595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595</v>
      </c>
      <c r="Y44" s="3"/>
      <c r="Z44" s="7">
        <f t="shared" si="7"/>
        <v>0</v>
      </c>
    </row>
    <row r="45" spans="1:26" s="64" customFormat="1" ht="15" customHeight="1" x14ac:dyDescent="0.3">
      <c r="A45" s="36"/>
      <c r="B45" s="36"/>
      <c r="C45" s="36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O45" s="3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62" customFormat="1" ht="15" customHeight="1" x14ac:dyDescent="0.3">
      <c r="A46" s="11"/>
      <c r="B46" s="27" t="s">
        <v>290</v>
      </c>
      <c r="C46" s="11"/>
      <c r="D46" s="5">
        <f>SUM(0)</f>
        <v>0</v>
      </c>
      <c r="E46" s="5"/>
      <c r="F46" s="13">
        <f>IF(D$12=0,0,D46/D$12)</f>
        <v>0</v>
      </c>
      <c r="G46" s="5"/>
      <c r="H46" s="5">
        <f>SUM(0)</f>
        <v>0</v>
      </c>
      <c r="I46" s="5"/>
      <c r="J46" s="13">
        <f>IF(H$12=0,0,H46/H$12)</f>
        <v>0</v>
      </c>
      <c r="K46" s="5"/>
      <c r="L46" s="5">
        <f>+D46-H46</f>
        <v>0</v>
      </c>
      <c r="M46" s="5"/>
      <c r="N46" s="13">
        <f>IF(H46=0,0,L46/H46)</f>
        <v>0</v>
      </c>
      <c r="O46" s="11"/>
      <c r="P46" s="5">
        <f>SUM(0)</f>
        <v>0</v>
      </c>
      <c r="Q46" s="5"/>
      <c r="R46" s="13">
        <f>IF(P$12=0,0,P46/P$12)</f>
        <v>0</v>
      </c>
      <c r="S46" s="5"/>
      <c r="T46" s="5">
        <f>SUM(0)</f>
        <v>0</v>
      </c>
      <c r="U46" s="5"/>
      <c r="V46" s="13">
        <f>IF(T$12=0,0,T46/T$12)</f>
        <v>0</v>
      </c>
      <c r="W46" s="5"/>
      <c r="X46" s="5">
        <f>+P46-T46</f>
        <v>0</v>
      </c>
      <c r="Y46" s="5"/>
      <c r="Z46" s="13">
        <f>IF(T46=0,0,X46/T46)</f>
        <v>0</v>
      </c>
    </row>
    <row r="47" spans="1:26" ht="15" customHeight="1" x14ac:dyDescent="0.3">
      <c r="A47" s="10"/>
      <c r="B47" s="11"/>
      <c r="C47" s="11"/>
      <c r="D47" s="4"/>
      <c r="E47" s="4"/>
      <c r="F47" s="9"/>
      <c r="G47" s="4"/>
      <c r="H47" s="4"/>
      <c r="I47" s="4"/>
      <c r="J47" s="9"/>
      <c r="K47" s="4"/>
      <c r="L47" s="4"/>
      <c r="M47" s="4"/>
      <c r="N47" s="9"/>
      <c r="O47" s="11"/>
      <c r="P47" s="4"/>
      <c r="Q47" s="4"/>
      <c r="R47" s="9"/>
      <c r="S47" s="4"/>
      <c r="T47" s="4"/>
      <c r="U47" s="4"/>
      <c r="V47" s="9"/>
      <c r="W47" s="4"/>
      <c r="X47" s="4"/>
      <c r="Y47" s="4"/>
      <c r="Z47" s="9"/>
    </row>
    <row r="48" spans="1:26" s="62" customFormat="1" ht="15" customHeight="1" x14ac:dyDescent="0.3">
      <c r="A48" s="11"/>
      <c r="B48" s="28" t="s">
        <v>291</v>
      </c>
      <c r="C48" s="28"/>
      <c r="D48" s="21">
        <f>+D16-D18+D46</f>
        <v>-20612.510000000002</v>
      </c>
      <c r="E48" s="15"/>
      <c r="F48" s="23">
        <f>IF(D$12=0,0,D48/D$12)</f>
        <v>0</v>
      </c>
      <c r="G48" s="15"/>
      <c r="H48" s="21">
        <f>+H16-H18+H46</f>
        <v>-18741.91</v>
      </c>
      <c r="I48" s="15"/>
      <c r="J48" s="23">
        <f>IF(H$12=0,0,H48/H$12)</f>
        <v>0</v>
      </c>
      <c r="K48" s="16"/>
      <c r="L48" s="21">
        <f>+D48-H48</f>
        <v>-1870.6000000000022</v>
      </c>
      <c r="M48" s="16"/>
      <c r="N48" s="23">
        <f>IF(H48=0,0,L48/H48)</f>
        <v>9.9808397329834694E-2</v>
      </c>
      <c r="O48" s="27"/>
      <c r="P48" s="21">
        <f>+P16-P18+P46</f>
        <v>-202289.12</v>
      </c>
      <c r="Q48" s="15"/>
      <c r="R48" s="23">
        <f>IF(P$12=0,0,P48/P$12)</f>
        <v>0</v>
      </c>
      <c r="S48" s="15"/>
      <c r="T48" s="21">
        <f>+T16-T18+T46</f>
        <v>-172019.20000000001</v>
      </c>
      <c r="U48" s="15"/>
      <c r="V48" s="23">
        <f>IF(T$12=0,0,T48/T$12)</f>
        <v>0</v>
      </c>
      <c r="W48" s="16"/>
      <c r="X48" s="21">
        <f>+P48-T48</f>
        <v>-30269.919999999984</v>
      </c>
      <c r="Y48" s="16"/>
      <c r="Z48" s="23">
        <f>IF(T48=0,0,X48/T48)</f>
        <v>0.17596826400773857</v>
      </c>
    </row>
    <row r="49" spans="1:26" ht="15" customHeight="1" x14ac:dyDescent="0.3">
      <c r="A49" s="10"/>
      <c r="B49" s="11"/>
      <c r="C49" s="10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2" customFormat="1" ht="15" customHeight="1" x14ac:dyDescent="0.3">
      <c r="A50" s="48"/>
      <c r="B50" s="11" t="s">
        <v>292</v>
      </c>
      <c r="C50" s="11"/>
      <c r="D50" s="5"/>
      <c r="E50" s="5"/>
      <c r="F50" s="13">
        <f>IF(D$12=0,0,D50/D$12)</f>
        <v>0</v>
      </c>
      <c r="G50" s="5"/>
      <c r="H50" s="5"/>
      <c r="I50" s="5"/>
      <c r="J50" s="13">
        <f>IF(H$12=0,0,H50/H$12)</f>
        <v>0</v>
      </c>
      <c r="K50" s="5"/>
      <c r="L50" s="5">
        <f>+D50-H50</f>
        <v>0</v>
      </c>
      <c r="M50" s="5"/>
      <c r="N50" s="13">
        <f>IF(H50=0,0,L50/H50)</f>
        <v>0</v>
      </c>
      <c r="O50" s="11"/>
      <c r="P50" s="5"/>
      <c r="Q50" s="5"/>
      <c r="R50" s="13">
        <f>IF(P$12=0,0,P50/P$12)</f>
        <v>0</v>
      </c>
      <c r="S50" s="5"/>
      <c r="T50" s="5"/>
      <c r="U50" s="5"/>
      <c r="V50" s="13">
        <f>IF(T$12=0,0,T50/T$12)</f>
        <v>0</v>
      </c>
      <c r="W50" s="5"/>
      <c r="X50" s="5">
        <f>+P50-T50</f>
        <v>0</v>
      </c>
      <c r="Y50" s="5"/>
      <c r="Z50" s="13">
        <f>IF(T50=0,0,X50/T50)</f>
        <v>0</v>
      </c>
    </row>
    <row r="51" spans="1:26" ht="15" customHeight="1" x14ac:dyDescent="0.3">
      <c r="A51" s="10"/>
      <c r="B51" s="11"/>
      <c r="C51" s="11"/>
      <c r="D51" s="4"/>
      <c r="E51" s="4"/>
      <c r="F51" s="9"/>
      <c r="G51" s="4"/>
      <c r="H51" s="4"/>
      <c r="I51" s="4"/>
      <c r="J51" s="9"/>
      <c r="K51" s="4"/>
      <c r="L51" s="4"/>
      <c r="M51" s="4"/>
      <c r="N51" s="9"/>
      <c r="O51" s="11"/>
      <c r="P51" s="4"/>
      <c r="Q51" s="4"/>
      <c r="R51" s="9"/>
      <c r="S51" s="4"/>
      <c r="T51" s="4"/>
      <c r="U51" s="4"/>
      <c r="V51" s="9"/>
      <c r="W51" s="4"/>
      <c r="X51" s="4"/>
      <c r="Y51" s="4"/>
      <c r="Z51" s="9"/>
    </row>
    <row r="52" spans="1:26" s="62" customFormat="1" ht="15" customHeight="1" x14ac:dyDescent="0.3">
      <c r="A52" s="11"/>
      <c r="B52" s="28" t="s">
        <v>293</v>
      </c>
      <c r="C52" s="28"/>
      <c r="D52" s="34">
        <f>+D48-D50</f>
        <v>-20612.510000000002</v>
      </c>
      <c r="E52" s="15"/>
      <c r="F52" s="30">
        <f>IF(D$12=0,0,D52/D$12)</f>
        <v>0</v>
      </c>
      <c r="G52" s="15"/>
      <c r="H52" s="34">
        <f>+H48-H50</f>
        <v>-18741.91</v>
      </c>
      <c r="I52" s="15"/>
      <c r="J52" s="30">
        <f>IF(H$12=0,0,H52/H$12)</f>
        <v>0</v>
      </c>
      <c r="K52" s="16"/>
      <c r="L52" s="34">
        <f>D52-H52</f>
        <v>-1870.6000000000022</v>
      </c>
      <c r="M52" s="16"/>
      <c r="N52" s="30">
        <f>IF(H52=0,0,L52/H52)</f>
        <v>9.9808397329834694E-2</v>
      </c>
      <c r="O52" s="27"/>
      <c r="P52" s="34">
        <f>+P48-P50</f>
        <v>-202289.12</v>
      </c>
      <c r="Q52" s="15"/>
      <c r="R52" s="30">
        <f>IF(P$12=0,0,P52/P$12)</f>
        <v>0</v>
      </c>
      <c r="S52" s="15"/>
      <c r="T52" s="34">
        <f>+T48-T50</f>
        <v>-172019.20000000001</v>
      </c>
      <c r="U52" s="15"/>
      <c r="V52" s="30">
        <f>IF(T$12=0,0,T52/T$12)</f>
        <v>0</v>
      </c>
      <c r="W52" s="16"/>
      <c r="X52" s="34">
        <f>P52-T52</f>
        <v>-30269.919999999984</v>
      </c>
      <c r="Y52" s="16"/>
      <c r="Z52" s="30">
        <f>IF(T52=0,0,X52/T52)</f>
        <v>0.17596826400773857</v>
      </c>
    </row>
    <row r="53" spans="1:26" ht="15" customHeight="1" x14ac:dyDescent="0.3">
      <c r="A53" s="10"/>
      <c r="B53" s="10"/>
      <c r="C53" s="10"/>
      <c r="D53" s="4"/>
      <c r="E53" s="4"/>
      <c r="F53" s="9"/>
      <c r="G53" s="4"/>
      <c r="H53" s="4"/>
      <c r="I53" s="4"/>
      <c r="J53" s="9"/>
      <c r="K53" s="4"/>
      <c r="L53" s="4"/>
      <c r="M53" s="4"/>
      <c r="N53" s="9"/>
      <c r="P53" s="4"/>
      <c r="Q53" s="4"/>
      <c r="R53" s="9"/>
      <c r="S53" s="4"/>
      <c r="T53" s="4"/>
      <c r="U53" s="4"/>
      <c r="V53" s="9"/>
      <c r="W53" s="4"/>
      <c r="X53" s="4"/>
      <c r="Y53" s="4"/>
      <c r="Z53" s="9"/>
    </row>
    <row r="54" spans="1:26" ht="15" customHeight="1" x14ac:dyDescent="0.3">
      <c r="A54" s="10"/>
      <c r="B54" s="10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2" customFormat="1" ht="15" customHeight="1" x14ac:dyDescent="0.3">
      <c r="A55" s="11"/>
      <c r="B55" s="28" t="s">
        <v>296</v>
      </c>
      <c r="C55" s="28"/>
      <c r="D55" s="29">
        <f>SUM(D52:D54)</f>
        <v>-20612.510000000002</v>
      </c>
      <c r="E55" s="15"/>
      <c r="F55" s="35">
        <f>IF(D$12=0,0,D55/D$12)</f>
        <v>0</v>
      </c>
      <c r="G55" s="15"/>
      <c r="H55" s="29">
        <f>SUM(H52:H54)</f>
        <v>-18741.91</v>
      </c>
      <c r="I55" s="15"/>
      <c r="J55" s="35">
        <f>IF(H$12=0,0,H55/H$12)</f>
        <v>0</v>
      </c>
      <c r="K55" s="16"/>
      <c r="L55" s="29">
        <f>+D55-H55</f>
        <v>-1870.6000000000022</v>
      </c>
      <c r="M55" s="16"/>
      <c r="N55" s="35">
        <f>IF(H55=0,0,L55/H55)</f>
        <v>9.9808397329834694E-2</v>
      </c>
      <c r="O55" s="27"/>
      <c r="P55" s="29">
        <f>SUM(P52:P54)</f>
        <v>-202289.12</v>
      </c>
      <c r="Q55" s="15"/>
      <c r="R55" s="35">
        <f>IF(P$12=0,0,P55/P$12)</f>
        <v>0</v>
      </c>
      <c r="S55" s="15"/>
      <c r="T55" s="29">
        <f>SUM(T52:T54)</f>
        <v>-172019.20000000001</v>
      </c>
      <c r="U55" s="15"/>
      <c r="V55" s="35">
        <f>IF(T$12=0,0,T55/T$12)</f>
        <v>0</v>
      </c>
      <c r="W55" s="16"/>
      <c r="X55" s="29">
        <f>+P55-T55</f>
        <v>-30269.919999999984</v>
      </c>
      <c r="Y55" s="16"/>
      <c r="Z55" s="35">
        <f>IF(T55=0,0,X55/T55)</f>
        <v>0.17596826400773857</v>
      </c>
    </row>
    <row r="56" spans="1:26" ht="15" customHeight="1" x14ac:dyDescent="0.3">
      <c r="A56" s="10"/>
      <c r="C56" s="10"/>
      <c r="D56" s="18"/>
      <c r="E56" s="18"/>
      <c r="G56" s="18"/>
      <c r="H56" s="18"/>
      <c r="I56" s="18"/>
      <c r="J56" s="40"/>
      <c r="K56" s="18"/>
      <c r="L56" s="18"/>
      <c r="M56" s="18"/>
      <c r="P56" s="18"/>
      <c r="Q56" s="18"/>
      <c r="R56" s="40"/>
      <c r="S56" s="18"/>
      <c r="T56" s="18"/>
      <c r="U56" s="18"/>
      <c r="V56" s="40"/>
      <c r="W56" s="18"/>
      <c r="X56" s="18"/>
    </row>
    <row r="57" spans="1:26" ht="15" customHeight="1" x14ac:dyDescent="0.3">
      <c r="A57" s="10"/>
      <c r="B57" s="56">
        <v>44694.890829479169</v>
      </c>
      <c r="D57" s="18"/>
      <c r="E57" s="18"/>
      <c r="G57" s="18"/>
      <c r="H57" s="18"/>
      <c r="I57" s="18"/>
      <c r="J57" s="40"/>
      <c r="K57" s="18"/>
      <c r="L57" s="18"/>
      <c r="M57" s="18"/>
      <c r="P57" s="18"/>
      <c r="Q57" s="18"/>
      <c r="R57" s="40"/>
      <c r="S57" s="18"/>
      <c r="T57" s="18"/>
      <c r="U57" s="18"/>
      <c r="V57" s="40"/>
      <c r="W57" s="18"/>
      <c r="X57" s="18"/>
    </row>
    <row r="58" spans="1:26" ht="15" customHeight="1" x14ac:dyDescent="0.3">
      <c r="A58" s="10"/>
      <c r="B58" s="52" t="s">
        <v>297</v>
      </c>
      <c r="D58" s="18"/>
      <c r="E58" s="18"/>
      <c r="G58" s="18"/>
      <c r="H58" s="18"/>
      <c r="I58" s="18"/>
      <c r="J58" s="40"/>
      <c r="K58" s="18"/>
      <c r="L58" s="18"/>
      <c r="M58" s="18"/>
      <c r="P58" s="18"/>
      <c r="Q58" s="18"/>
      <c r="R58" s="40"/>
      <c r="S58" s="18"/>
      <c r="T58" s="18"/>
      <c r="U58" s="18"/>
      <c r="V58" s="40"/>
      <c r="W58" s="18"/>
      <c r="X58" s="18"/>
    </row>
    <row r="59" spans="1:26" ht="15" customHeight="1" x14ac:dyDescent="0.3">
      <c r="A59" s="10"/>
      <c r="B59" s="58"/>
      <c r="D59" s="18"/>
      <c r="E59" s="18"/>
      <c r="G59" s="18"/>
      <c r="H59" s="18"/>
      <c r="I59" s="18"/>
      <c r="J59" s="40"/>
      <c r="K59" s="18"/>
      <c r="L59" s="18"/>
      <c r="M59" s="18"/>
      <c r="P59" s="18"/>
      <c r="Q59" s="18"/>
      <c r="R59" s="40"/>
      <c r="S59" s="18"/>
      <c r="T59" s="18"/>
      <c r="U59" s="18"/>
      <c r="V59" s="40"/>
      <c r="W59" s="18"/>
      <c r="X59" s="18"/>
    </row>
    <row r="60" spans="1:26" ht="15" customHeight="1" x14ac:dyDescent="0.3">
      <c r="D60" s="18"/>
      <c r="E60" s="18"/>
      <c r="G60" s="18"/>
      <c r="H60" s="18"/>
      <c r="I60" s="18"/>
      <c r="J60" s="40"/>
      <c r="K60" s="18"/>
      <c r="L60" s="18"/>
      <c r="M60" s="18"/>
      <c r="P60" s="18"/>
      <c r="Q60" s="18"/>
      <c r="R60" s="40"/>
      <c r="S60" s="18"/>
      <c r="T60" s="18"/>
      <c r="U60" s="18"/>
      <c r="V60" s="40"/>
      <c r="W60" s="18"/>
      <c r="X6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2F89A-BB4D-C8E5-977F-F57BF2FB3198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","433"," - ","Hillside Dining Hall")</f>
        <v>Department 433 - Hillside Dining Hall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557666.16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557666.16</v>
      </c>
      <c r="M12" s="5"/>
      <c r="N12" s="13">
        <f>IF(H12=0,0,L12/H12)</f>
        <v>0</v>
      </c>
      <c r="O12" s="11"/>
      <c r="P12" s="5">
        <f>SUM(OSRRefP13x_0)</f>
        <v>3704223.0599999996</v>
      </c>
      <c r="Q12" s="5"/>
      <c r="R12" s="13"/>
      <c r="S12" s="5"/>
      <c r="T12" s="5">
        <f>SUM(OSRRefT13x_0)</f>
        <v>23641.919999999998</v>
      </c>
      <c r="U12" s="5"/>
      <c r="V12" s="13"/>
      <c r="W12" s="5"/>
      <c r="X12" s="5">
        <f>+P12-T12</f>
        <v>3680581.1399999997</v>
      </c>
      <c r="Y12" s="5"/>
      <c r="Z12" s="13">
        <f>IF(T12=0,0,X12/T12)</f>
        <v>155.68029753928616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--453.18</f>
        <v>453.18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453.18</v>
      </c>
      <c r="M13" s="3"/>
      <c r="N13" s="20">
        <f>IF(H13=0,0,L13/H13)</f>
        <v>0</v>
      </c>
      <c r="O13" s="12"/>
      <c r="P13" s="3">
        <f>--2842.73</f>
        <v>2842.73</v>
      </c>
      <c r="Q13" s="3"/>
      <c r="R13" s="20"/>
      <c r="S13" s="3"/>
      <c r="T13" s="3">
        <f>--217.65</f>
        <v>217.65</v>
      </c>
      <c r="U13" s="3"/>
      <c r="V13" s="20"/>
      <c r="W13" s="3"/>
      <c r="X13" s="3">
        <f>+P13-T13</f>
        <v>2625.08</v>
      </c>
      <c r="Y13" s="3"/>
      <c r="Z13" s="20">
        <f>IF(T13=0,0,X13/T13)</f>
        <v>12.061015391683895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--547359.66</f>
        <v>547359.66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547359.66</v>
      </c>
      <c r="M14" s="3"/>
      <c r="N14" s="20">
        <f>IF(H14=0,0,L14/H14)</f>
        <v>0</v>
      </c>
      <c r="O14" s="12"/>
      <c r="P14" s="3">
        <f>--3624128.82</f>
        <v>3624128.82</v>
      </c>
      <c r="Q14" s="3"/>
      <c r="R14" s="20"/>
      <c r="S14" s="3"/>
      <c r="T14" s="3">
        <f>--16096</f>
        <v>16096</v>
      </c>
      <c r="U14" s="3"/>
      <c r="V14" s="20"/>
      <c r="W14" s="3"/>
      <c r="X14" s="3">
        <f>+P14-T14</f>
        <v>3608032.82</v>
      </c>
      <c r="Y14" s="3"/>
      <c r="Z14" s="20">
        <f>IF(T14=0,0,X14/T14)</f>
        <v>224.15710859840954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--9853.32</f>
        <v>9853.32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9853.32</v>
      </c>
      <c r="M15" s="3"/>
      <c r="N15" s="20">
        <f>IF(H15=0,0,L15/H15)</f>
        <v>0</v>
      </c>
      <c r="O15" s="12"/>
      <c r="P15" s="3">
        <f>--77251.51</f>
        <v>77251.509999999995</v>
      </c>
      <c r="Q15" s="3"/>
      <c r="R15" s="20"/>
      <c r="S15" s="3"/>
      <c r="T15" s="3">
        <f>--7328.27</f>
        <v>7328.27</v>
      </c>
      <c r="U15" s="3"/>
      <c r="V15" s="20"/>
      <c r="W15" s="3"/>
      <c r="X15" s="3">
        <f>+P15-T15</f>
        <v>69923.239999999991</v>
      </c>
      <c r="Y15" s="3"/>
      <c r="Z15" s="20">
        <f>IF(T15=0,0,X15/T15)</f>
        <v>9.5415752967617173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130937.39</v>
      </c>
      <c r="E17" s="5"/>
      <c r="F17" s="13">
        <f>IF(D$12=0,0,D17/D$12)</f>
        <v>0.23479529401604715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130937.39</v>
      </c>
      <c r="M17" s="5"/>
      <c r="N17" s="13">
        <f>IF(H17=0,0,L17/H17)</f>
        <v>0</v>
      </c>
      <c r="O17" s="11"/>
      <c r="P17" s="5">
        <f>SUM(OSRRefP16x_0)</f>
        <v>912081.29</v>
      </c>
      <c r="Q17" s="5"/>
      <c r="R17" s="13">
        <f>IF(P$12=0,0,P17/P$12)</f>
        <v>0.24622742076445045</v>
      </c>
      <c r="S17" s="5"/>
      <c r="T17" s="5">
        <f>SUM(OSRRefT16x_0)</f>
        <v>25322.92</v>
      </c>
      <c r="U17" s="5"/>
      <c r="V17" s="13">
        <f>IF(T$12=0,0,T17/T$12)</f>
        <v>1.0711025162084975</v>
      </c>
      <c r="W17" s="5"/>
      <c r="X17" s="5">
        <f>+P17-T17</f>
        <v>886758.37</v>
      </c>
      <c r="Y17" s="5"/>
      <c r="Z17" s="13">
        <f>IF(T17=0,0,X17/T17)</f>
        <v>35.018014115275811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125475.39</v>
      </c>
      <c r="E18" s="3"/>
      <c r="F18" s="20">
        <f>IF(D$12=0,0,D18/D$12)</f>
        <v>0.22500090376651147</v>
      </c>
      <c r="G18" s="3"/>
      <c r="H18" s="3"/>
      <c r="I18" s="3"/>
      <c r="J18" s="20">
        <f>IF(H$12=0,0,H18/H$12)</f>
        <v>0</v>
      </c>
      <c r="K18" s="3"/>
      <c r="L18" s="3">
        <f>+D18-H18</f>
        <v>125475.39</v>
      </c>
      <c r="M18" s="3"/>
      <c r="N18" s="20">
        <f>IF(H18=0,0,L18/H18)</f>
        <v>0</v>
      </c>
      <c r="O18" s="12"/>
      <c r="P18" s="3">
        <v>932399.29</v>
      </c>
      <c r="Q18" s="3"/>
      <c r="R18" s="20">
        <f>IF(P$12=0,0,P18/P$12)</f>
        <v>0.25171251161100439</v>
      </c>
      <c r="S18" s="3"/>
      <c r="T18" s="3">
        <v>14410.92</v>
      </c>
      <c r="U18" s="3"/>
      <c r="V18" s="20">
        <f>IF(T$12=0,0,T18/T$12)</f>
        <v>0.60954947821496741</v>
      </c>
      <c r="W18" s="3"/>
      <c r="X18" s="3">
        <f>+P18-T18</f>
        <v>917988.37</v>
      </c>
      <c r="Y18" s="3"/>
      <c r="Z18" s="20">
        <f>IF(T18=0,0,X18/T18)</f>
        <v>63.700885856003644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5462</v>
      </c>
      <c r="E19" s="3"/>
      <c r="F19" s="20">
        <f>IF(D$12=0,0,D19/D$12)</f>
        <v>9.7943902495356717E-3</v>
      </c>
      <c r="G19" s="3"/>
      <c r="H19" s="3"/>
      <c r="I19" s="3"/>
      <c r="J19" s="20">
        <f>IF(H$12=0,0,H19/H$12)</f>
        <v>0</v>
      </c>
      <c r="K19" s="3"/>
      <c r="L19" s="3">
        <f>+D19-H19</f>
        <v>5462</v>
      </c>
      <c r="M19" s="3"/>
      <c r="N19" s="20">
        <f>IF(H19=0,0,L19/H19)</f>
        <v>0</v>
      </c>
      <c r="O19" s="12"/>
      <c r="P19" s="3">
        <v>-20318</v>
      </c>
      <c r="Q19" s="3"/>
      <c r="R19" s="20">
        <f>IF(P$12=0,0,P19/P$12)</f>
        <v>-5.4850908465539335E-3</v>
      </c>
      <c r="S19" s="3"/>
      <c r="T19" s="3">
        <v>10912</v>
      </c>
      <c r="U19" s="3"/>
      <c r="V19" s="20">
        <f>IF(T$12=0,0,T19/T$12)</f>
        <v>0.46155303799353015</v>
      </c>
      <c r="W19" s="3"/>
      <c r="X19" s="3">
        <f>+P19-T19</f>
        <v>-31230</v>
      </c>
      <c r="Y19" s="3"/>
      <c r="Z19" s="20">
        <f>IF(T19=0,0,X19/T19)</f>
        <v>-2.8619868035190614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1">
        <f>D12-D17</f>
        <v>426728.77</v>
      </c>
      <c r="E21" s="15"/>
      <c r="F21" s="23">
        <f>IF(D$12=0,0,D21/D$12)</f>
        <v>0.76520470598395285</v>
      </c>
      <c r="G21" s="15"/>
      <c r="H21" s="21">
        <f>H12-H17</f>
        <v>0</v>
      </c>
      <c r="I21" s="15"/>
      <c r="J21" s="23">
        <f>IF(H$12=0,0,H21/H$12)</f>
        <v>0</v>
      </c>
      <c r="K21" s="16"/>
      <c r="L21" s="21">
        <f>+D21-H21</f>
        <v>426728.77</v>
      </c>
      <c r="M21" s="16"/>
      <c r="N21" s="23">
        <f>IF(H21=0,0,L21/H21)</f>
        <v>0</v>
      </c>
      <c r="O21" s="27"/>
      <c r="P21" s="21">
        <f>P12-P17</f>
        <v>2792141.7699999996</v>
      </c>
      <c r="Q21" s="15"/>
      <c r="R21" s="23">
        <f>IF(P$12=0,0,P21/P$12)</f>
        <v>0.75377257923554952</v>
      </c>
      <c r="S21" s="15"/>
      <c r="T21" s="21">
        <f>T12-T17</f>
        <v>-1681</v>
      </c>
      <c r="U21" s="15"/>
      <c r="V21" s="23">
        <f>IF(T$12=0,0,T21/T$12)</f>
        <v>-7.110251620849746E-2</v>
      </c>
      <c r="W21" s="16"/>
      <c r="X21" s="21">
        <f>+P21-T21</f>
        <v>2793822.7699999996</v>
      </c>
      <c r="Y21" s="16"/>
      <c r="Z21" s="23">
        <f>IF(T21=0,0,X21/T21)</f>
        <v>-1662.0004580606778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2" cm="1">
        <f t="array" ref="D23">SUM(OSRRefD22x_0)</f>
        <v>192317.94999999995</v>
      </c>
      <c r="E23" s="22"/>
      <c r="F23" s="32">
        <f t="shared" ref="F23:F54" si="0">IF(D$12=0,0,D23/D$12)</f>
        <v>0.34486214835054713</v>
      </c>
      <c r="G23" s="22"/>
      <c r="H23" s="22" cm="1">
        <f t="array" ref="H23">SUM(OSRRefH22x_0)</f>
        <v>52820.52</v>
      </c>
      <c r="I23" s="22"/>
      <c r="J23" s="32">
        <f t="shared" ref="J23:J54" si="1">IF(H$12=0,0,H23/H$12)</f>
        <v>0</v>
      </c>
      <c r="K23" s="5"/>
      <c r="L23" s="22">
        <f t="shared" ref="L23:L54" si="2">+D23-H23</f>
        <v>139497.42999999996</v>
      </c>
      <c r="M23" s="5"/>
      <c r="N23" s="32">
        <f t="shared" ref="N23:N54" si="3">IF(H23=0,0,L23/H23)</f>
        <v>2.6409704031690708</v>
      </c>
      <c r="O23" s="11"/>
      <c r="P23" s="22" cm="1">
        <f t="array" ref="P23">SUM(OSRRefP22x_0)</f>
        <v>1454664.6799999997</v>
      </c>
      <c r="Q23" s="22"/>
      <c r="R23" s="32">
        <f t="shared" ref="R23:R54" si="4">IF(P$12=0,0,P23/P$12)</f>
        <v>0.3927043961548039</v>
      </c>
      <c r="S23" s="22"/>
      <c r="T23" s="22" cm="1">
        <f t="array" ref="T23">SUM(OSRRefT22x_0)</f>
        <v>515181.00999999995</v>
      </c>
      <c r="U23" s="22"/>
      <c r="V23" s="32">
        <f t="shared" ref="V23:V54" si="5">IF(T$12=0,0,T23/T$12)</f>
        <v>21.790997093298682</v>
      </c>
      <c r="W23" s="5"/>
      <c r="X23" s="22">
        <f t="shared" ref="X23:X54" si="6">+P23-T23</f>
        <v>939483.66999999969</v>
      </c>
      <c r="Y23" s="5"/>
      <c r="Z23" s="32">
        <f t="shared" ref="Z23:Z54" si="7">IF(T23=0,0,X23/T23)</f>
        <v>1.8235991850708935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28253.299999999996</v>
      </c>
      <c r="E24" s="2"/>
      <c r="F24" s="6">
        <f t="shared" si="0"/>
        <v>5.0663465037935944E-2</v>
      </c>
      <c r="G24" s="2"/>
      <c r="H24" s="2">
        <f>SUM(OSRRefH22_0x_0)</f>
        <v>22096.129999999997</v>
      </c>
      <c r="I24" s="2"/>
      <c r="J24" s="6">
        <f t="shared" si="1"/>
        <v>0</v>
      </c>
      <c r="K24" s="2"/>
      <c r="L24" s="2">
        <f t="shared" si="2"/>
        <v>6157.1699999999983</v>
      </c>
      <c r="M24" s="2"/>
      <c r="N24" s="6">
        <f t="shared" si="3"/>
        <v>0.27865377330781449</v>
      </c>
      <c r="O24" s="14"/>
      <c r="P24" s="2">
        <f>SUM(OSRRefP22_0x_0)</f>
        <v>265930.88</v>
      </c>
      <c r="Q24" s="2"/>
      <c r="R24" s="6">
        <f t="shared" si="4"/>
        <v>7.1791270582932998E-2</v>
      </c>
      <c r="S24" s="2"/>
      <c r="T24" s="2">
        <f>SUM(OSRRefT22_0x_0)</f>
        <v>209767.46</v>
      </c>
      <c r="U24" s="2"/>
      <c r="V24" s="6">
        <f t="shared" si="5"/>
        <v>8.8726913888550509</v>
      </c>
      <c r="W24" s="2"/>
      <c r="X24" s="2">
        <f t="shared" si="6"/>
        <v>56163.420000000013</v>
      </c>
      <c r="Y24" s="2"/>
      <c r="Z24" s="6">
        <f t="shared" si="7"/>
        <v>0.26774133604897543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4901.26</v>
      </c>
      <c r="E25" s="3"/>
      <c r="F25" s="7">
        <f t="shared" si="0"/>
        <v>8.7888782780005878E-3</v>
      </c>
      <c r="G25" s="3"/>
      <c r="H25" s="8">
        <v>2727.29</v>
      </c>
      <c r="I25" s="3"/>
      <c r="J25" s="7">
        <f t="shared" si="1"/>
        <v>0</v>
      </c>
      <c r="K25" s="3"/>
      <c r="L25" s="8">
        <f t="shared" si="2"/>
        <v>2173.9700000000003</v>
      </c>
      <c r="M25" s="3"/>
      <c r="N25" s="7">
        <f t="shared" si="3"/>
        <v>0.79711728492386225</v>
      </c>
      <c r="O25" s="12"/>
      <c r="P25" s="8">
        <v>35375.75</v>
      </c>
      <c r="Q25" s="3"/>
      <c r="R25" s="7">
        <f t="shared" si="4"/>
        <v>9.5501133238990212E-3</v>
      </c>
      <c r="S25" s="3"/>
      <c r="T25" s="8">
        <v>20703.87</v>
      </c>
      <c r="U25" s="3"/>
      <c r="V25" s="7">
        <f t="shared" si="5"/>
        <v>0.87572709830673656</v>
      </c>
      <c r="W25" s="3"/>
      <c r="X25" s="8">
        <f t="shared" si="6"/>
        <v>14671.880000000001</v>
      </c>
      <c r="Y25" s="3"/>
      <c r="Z25" s="7">
        <f t="shared" si="7"/>
        <v>0.70865398594562279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2359.66</v>
      </c>
      <c r="E26" s="3"/>
      <c r="F26" s="7">
        <f t="shared" si="0"/>
        <v>4.2313128700511423E-3</v>
      </c>
      <c r="G26" s="3"/>
      <c r="H26" s="8">
        <v>1035.1199999999999</v>
      </c>
      <c r="I26" s="3"/>
      <c r="J26" s="7">
        <f t="shared" si="1"/>
        <v>0</v>
      </c>
      <c r="K26" s="3"/>
      <c r="L26" s="8">
        <f t="shared" si="2"/>
        <v>1324.54</v>
      </c>
      <c r="M26" s="3"/>
      <c r="N26" s="7">
        <f t="shared" si="3"/>
        <v>1.2796004328000619</v>
      </c>
      <c r="O26" s="12"/>
      <c r="P26" s="8">
        <v>22419.32</v>
      </c>
      <c r="Q26" s="3"/>
      <c r="R26" s="7">
        <f t="shared" si="4"/>
        <v>6.0523676994765005E-3</v>
      </c>
      <c r="S26" s="3"/>
      <c r="T26" s="8">
        <v>11231.39</v>
      </c>
      <c r="U26" s="3"/>
      <c r="V26" s="7">
        <f t="shared" si="5"/>
        <v>0.47506251607314465</v>
      </c>
      <c r="W26" s="3"/>
      <c r="X26" s="8">
        <f t="shared" si="6"/>
        <v>11187.93</v>
      </c>
      <c r="Y26" s="3"/>
      <c r="Z26" s="7">
        <f t="shared" si="7"/>
        <v>0.99613048785591107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12704.31</v>
      </c>
      <c r="E27" s="3"/>
      <c r="F27" s="7">
        <f t="shared" si="0"/>
        <v>2.2781210177788086E-2</v>
      </c>
      <c r="G27" s="3"/>
      <c r="H27" s="8">
        <v>11992.75</v>
      </c>
      <c r="I27" s="3"/>
      <c r="J27" s="7">
        <f t="shared" si="1"/>
        <v>0</v>
      </c>
      <c r="K27" s="3"/>
      <c r="L27" s="8">
        <f t="shared" si="2"/>
        <v>711.55999999999949</v>
      </c>
      <c r="M27" s="3"/>
      <c r="N27" s="7">
        <f t="shared" si="3"/>
        <v>5.9332513393508535E-2</v>
      </c>
      <c r="O27" s="12"/>
      <c r="P27" s="8">
        <v>133818.54</v>
      </c>
      <c r="Q27" s="3"/>
      <c r="R27" s="7">
        <f t="shared" si="4"/>
        <v>3.612593999671284E-2</v>
      </c>
      <c r="S27" s="3"/>
      <c r="T27" s="8">
        <v>122109.23</v>
      </c>
      <c r="U27" s="3"/>
      <c r="V27" s="7">
        <f t="shared" si="5"/>
        <v>5.1649455712564798</v>
      </c>
      <c r="W27" s="3"/>
      <c r="X27" s="8">
        <f t="shared" si="6"/>
        <v>11709.310000000012</v>
      </c>
      <c r="Y27" s="3"/>
      <c r="Z27" s="7">
        <f t="shared" si="7"/>
        <v>9.5892095953762163E-2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170.41</v>
      </c>
      <c r="E28" s="3"/>
      <c r="F28" s="7">
        <f t="shared" si="0"/>
        <v>3.0557708576041262E-4</v>
      </c>
      <c r="G28" s="3"/>
      <c r="H28" s="8">
        <v>62.73</v>
      </c>
      <c r="I28" s="3"/>
      <c r="J28" s="7">
        <f t="shared" si="1"/>
        <v>0</v>
      </c>
      <c r="K28" s="3"/>
      <c r="L28" s="8">
        <f t="shared" si="2"/>
        <v>107.68</v>
      </c>
      <c r="M28" s="3"/>
      <c r="N28" s="7">
        <f t="shared" si="3"/>
        <v>1.7165630479834213</v>
      </c>
      <c r="O28" s="12"/>
      <c r="P28" s="8">
        <v>1619.16</v>
      </c>
      <c r="Q28" s="3"/>
      <c r="R28" s="7">
        <f t="shared" si="4"/>
        <v>4.3711190545852284E-4</v>
      </c>
      <c r="S28" s="3"/>
      <c r="T28" s="8">
        <v>680.68</v>
      </c>
      <c r="U28" s="3"/>
      <c r="V28" s="7">
        <f t="shared" si="5"/>
        <v>2.8791231845806092E-2</v>
      </c>
      <c r="W28" s="3"/>
      <c r="X28" s="8">
        <f t="shared" si="6"/>
        <v>938.48000000000013</v>
      </c>
      <c r="Y28" s="3"/>
      <c r="Z28" s="7">
        <f t="shared" si="7"/>
        <v>1.3787389081506731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1311.04</v>
      </c>
      <c r="E29" s="3"/>
      <c r="F29" s="7">
        <f t="shared" si="0"/>
        <v>2.3509405698922091E-3</v>
      </c>
      <c r="G29" s="3"/>
      <c r="H29" s="8">
        <v>950.04</v>
      </c>
      <c r="I29" s="3"/>
      <c r="J29" s="7">
        <f t="shared" si="1"/>
        <v>0</v>
      </c>
      <c r="K29" s="3"/>
      <c r="L29" s="8">
        <f t="shared" si="2"/>
        <v>361</v>
      </c>
      <c r="M29" s="3"/>
      <c r="N29" s="7">
        <f t="shared" si="3"/>
        <v>0.37998400067365584</v>
      </c>
      <c r="O29" s="12"/>
      <c r="P29" s="8">
        <v>12202.33</v>
      </c>
      <c r="Q29" s="3"/>
      <c r="R29" s="7">
        <f t="shared" si="4"/>
        <v>3.2941671714553822E-3</v>
      </c>
      <c r="S29" s="3"/>
      <c r="T29" s="8">
        <v>10530.87</v>
      </c>
      <c r="U29" s="3"/>
      <c r="V29" s="7">
        <f t="shared" si="5"/>
        <v>0.4454320968855322</v>
      </c>
      <c r="W29" s="3"/>
      <c r="X29" s="8">
        <f t="shared" si="6"/>
        <v>1671.4599999999991</v>
      </c>
      <c r="Y29" s="3"/>
      <c r="Z29" s="7">
        <f t="shared" si="7"/>
        <v>0.15872002977911598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497.69</v>
      </c>
      <c r="E30" s="3"/>
      <c r="F30" s="7">
        <f t="shared" si="0"/>
        <v>8.9245149822252069E-4</v>
      </c>
      <c r="G30" s="3"/>
      <c r="H30" s="8">
        <v>374.92</v>
      </c>
      <c r="I30" s="3"/>
      <c r="J30" s="7">
        <f t="shared" si="1"/>
        <v>0</v>
      </c>
      <c r="K30" s="3"/>
      <c r="L30" s="8">
        <f t="shared" si="2"/>
        <v>122.76999999999998</v>
      </c>
      <c r="M30" s="3"/>
      <c r="N30" s="7">
        <f t="shared" si="3"/>
        <v>0.32745652405846576</v>
      </c>
      <c r="O30" s="12"/>
      <c r="P30" s="8">
        <v>5260.2</v>
      </c>
      <c r="Q30" s="3"/>
      <c r="R30" s="7">
        <f t="shared" si="4"/>
        <v>1.420054871101634E-3</v>
      </c>
      <c r="S30" s="3"/>
      <c r="T30" s="8">
        <v>4050.02</v>
      </c>
      <c r="U30" s="3"/>
      <c r="V30" s="7">
        <f t="shared" si="5"/>
        <v>0.17130672974107011</v>
      </c>
      <c r="W30" s="3"/>
      <c r="X30" s="8">
        <f t="shared" si="6"/>
        <v>1210.1799999999998</v>
      </c>
      <c r="Y30" s="3"/>
      <c r="Z30" s="7">
        <f t="shared" si="7"/>
        <v>0.29880840094616812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2257.14</v>
      </c>
      <c r="E31" s="3"/>
      <c r="F31" s="7">
        <f t="shared" si="0"/>
        <v>4.0474752852136479E-3</v>
      </c>
      <c r="G31" s="3"/>
      <c r="H31" s="8">
        <v>2442.2399999999998</v>
      </c>
      <c r="I31" s="3"/>
      <c r="J31" s="7">
        <f t="shared" si="1"/>
        <v>0</v>
      </c>
      <c r="K31" s="3"/>
      <c r="L31" s="8">
        <f t="shared" si="2"/>
        <v>-185.09999999999991</v>
      </c>
      <c r="M31" s="3"/>
      <c r="N31" s="7">
        <f t="shared" si="3"/>
        <v>-7.5791077044025129E-2</v>
      </c>
      <c r="O31" s="12"/>
      <c r="P31" s="8">
        <v>22650.799999999999</v>
      </c>
      <c r="Q31" s="3"/>
      <c r="R31" s="7">
        <f t="shared" si="4"/>
        <v>6.114858536623872E-3</v>
      </c>
      <c r="S31" s="3"/>
      <c r="T31" s="8">
        <v>19361.88</v>
      </c>
      <c r="U31" s="3"/>
      <c r="V31" s="7">
        <f t="shared" si="5"/>
        <v>0.81896394201486189</v>
      </c>
      <c r="W31" s="3"/>
      <c r="X31" s="8">
        <f t="shared" si="6"/>
        <v>3288.9199999999983</v>
      </c>
      <c r="Y31" s="3"/>
      <c r="Z31" s="7">
        <f t="shared" si="7"/>
        <v>0.1698657361785115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2227.35</v>
      </c>
      <c r="E32" s="3"/>
      <c r="F32" s="7">
        <f t="shared" si="0"/>
        <v>3.9940562289094246E-3</v>
      </c>
      <c r="G32" s="3"/>
      <c r="H32" s="8">
        <v>1617.93</v>
      </c>
      <c r="I32" s="3"/>
      <c r="J32" s="7">
        <f t="shared" si="1"/>
        <v>0</v>
      </c>
      <c r="K32" s="3"/>
      <c r="L32" s="8">
        <f t="shared" si="2"/>
        <v>609.41999999999985</v>
      </c>
      <c r="M32" s="3"/>
      <c r="N32" s="7">
        <f t="shared" si="3"/>
        <v>0.3766664812445531</v>
      </c>
      <c r="O32" s="12"/>
      <c r="P32" s="8">
        <v>20406.45</v>
      </c>
      <c r="Q32" s="3"/>
      <c r="R32" s="7">
        <f t="shared" si="4"/>
        <v>5.5089689982114635E-3</v>
      </c>
      <c r="S32" s="3"/>
      <c r="T32" s="8">
        <v>12959.45</v>
      </c>
      <c r="U32" s="3"/>
      <c r="V32" s="7">
        <f t="shared" si="5"/>
        <v>0.54815556435348745</v>
      </c>
      <c r="W32" s="3"/>
      <c r="X32" s="8">
        <f t="shared" si="6"/>
        <v>7447</v>
      </c>
      <c r="Y32" s="3"/>
      <c r="Z32" s="7">
        <f t="shared" si="7"/>
        <v>0.57463858419917513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1824.44</v>
      </c>
      <c r="E33" s="3"/>
      <c r="F33" s="7">
        <f t="shared" si="0"/>
        <v>3.271563044097924E-3</v>
      </c>
      <c r="G33" s="3"/>
      <c r="H33" s="8">
        <v>893.11</v>
      </c>
      <c r="I33" s="3"/>
      <c r="J33" s="7">
        <f t="shared" si="1"/>
        <v>0</v>
      </c>
      <c r="K33" s="3"/>
      <c r="L33" s="8">
        <f t="shared" si="2"/>
        <v>931.33</v>
      </c>
      <c r="M33" s="3"/>
      <c r="N33" s="7">
        <f t="shared" si="3"/>
        <v>1.0427942806597172</v>
      </c>
      <c r="O33" s="12"/>
      <c r="P33" s="8">
        <v>12178.33</v>
      </c>
      <c r="Q33" s="3"/>
      <c r="R33" s="7">
        <f t="shared" si="4"/>
        <v>3.2876880799937577E-3</v>
      </c>
      <c r="S33" s="3"/>
      <c r="T33" s="8">
        <v>8140.07</v>
      </c>
      <c r="U33" s="3"/>
      <c r="V33" s="7">
        <f t="shared" si="5"/>
        <v>0.34430663837793207</v>
      </c>
      <c r="W33" s="3"/>
      <c r="X33" s="8">
        <f t="shared" si="6"/>
        <v>4038.26</v>
      </c>
      <c r="Y33" s="3"/>
      <c r="Z33" s="7">
        <f t="shared" si="7"/>
        <v>0.4960964709148693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90812.49</v>
      </c>
      <c r="E34" s="2"/>
      <c r="F34" s="6">
        <f t="shared" si="0"/>
        <v>0.16284382398243422</v>
      </c>
      <c r="G34" s="2"/>
      <c r="H34" s="2">
        <f>SUM(OSRRefH22_1x_0)</f>
        <v>24148.089999999997</v>
      </c>
      <c r="I34" s="2"/>
      <c r="J34" s="6">
        <f t="shared" si="1"/>
        <v>0</v>
      </c>
      <c r="K34" s="2"/>
      <c r="L34" s="2">
        <f t="shared" si="2"/>
        <v>66664.400000000009</v>
      </c>
      <c r="M34" s="2"/>
      <c r="N34" s="6">
        <f t="shared" si="3"/>
        <v>2.7606489788633395</v>
      </c>
      <c r="O34" s="14"/>
      <c r="P34" s="2">
        <f>SUM(OSRRefP22_1x_0)</f>
        <v>698996.71</v>
      </c>
      <c r="Q34" s="2"/>
      <c r="R34" s="6">
        <f t="shared" si="4"/>
        <v>0.18870265064437022</v>
      </c>
      <c r="S34" s="2"/>
      <c r="T34" s="2">
        <f>SUM(OSRRefT22_1x_0)</f>
        <v>224675.76</v>
      </c>
      <c r="U34" s="2"/>
      <c r="V34" s="6">
        <f t="shared" si="5"/>
        <v>9.5032789215089135</v>
      </c>
      <c r="W34" s="2"/>
      <c r="X34" s="2">
        <f t="shared" si="6"/>
        <v>474320.94999999995</v>
      </c>
      <c r="Y34" s="2"/>
      <c r="Z34" s="6">
        <f t="shared" si="7"/>
        <v>2.1111353979619336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12651.33</v>
      </c>
      <c r="E35" s="3"/>
      <c r="F35" s="7">
        <f t="shared" si="0"/>
        <v>2.2686207102830123E-2</v>
      </c>
      <c r="G35" s="3"/>
      <c r="H35" s="8">
        <v>9412.4</v>
      </c>
      <c r="I35" s="3"/>
      <c r="J35" s="7">
        <f t="shared" si="1"/>
        <v>0</v>
      </c>
      <c r="K35" s="3"/>
      <c r="L35" s="8">
        <f t="shared" si="2"/>
        <v>3238.9300000000003</v>
      </c>
      <c r="M35" s="3"/>
      <c r="N35" s="7">
        <f t="shared" si="3"/>
        <v>0.34411308486677156</v>
      </c>
      <c r="O35" s="12"/>
      <c r="P35" s="8">
        <v>127654.94</v>
      </c>
      <c r="Q35" s="3"/>
      <c r="R35" s="7">
        <f t="shared" si="4"/>
        <v>3.4462001324509876E-2</v>
      </c>
      <c r="S35" s="3"/>
      <c r="T35" s="8">
        <v>92568.39</v>
      </c>
      <c r="U35" s="3"/>
      <c r="V35" s="7">
        <f t="shared" si="5"/>
        <v>3.9154345332358798</v>
      </c>
      <c r="W35" s="3"/>
      <c r="X35" s="8">
        <f t="shared" si="6"/>
        <v>35086.550000000003</v>
      </c>
      <c r="Y35" s="3"/>
      <c r="Z35" s="7">
        <f t="shared" si="7"/>
        <v>0.37903381489080673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35891.199999999997</v>
      </c>
      <c r="E36" s="3"/>
      <c r="F36" s="7">
        <f t="shared" si="0"/>
        <v>6.4359652018332963E-2</v>
      </c>
      <c r="G36" s="3"/>
      <c r="H36" s="8">
        <v>17918.689999999999</v>
      </c>
      <c r="I36" s="3"/>
      <c r="J36" s="7">
        <f t="shared" si="1"/>
        <v>0</v>
      </c>
      <c r="K36" s="3"/>
      <c r="L36" s="8">
        <f t="shared" si="2"/>
        <v>17972.509999999998</v>
      </c>
      <c r="M36" s="3"/>
      <c r="N36" s="7">
        <f t="shared" si="3"/>
        <v>1.0030035677831359</v>
      </c>
      <c r="O36" s="12"/>
      <c r="P36" s="8">
        <v>243101.62</v>
      </c>
      <c r="Q36" s="3"/>
      <c r="R36" s="7">
        <f t="shared" si="4"/>
        <v>6.5628234602049057E-2</v>
      </c>
      <c r="S36" s="3"/>
      <c r="T36" s="8">
        <v>132107.37</v>
      </c>
      <c r="U36" s="3"/>
      <c r="V36" s="7">
        <f t="shared" si="5"/>
        <v>5.5878443882730338</v>
      </c>
      <c r="W36" s="3"/>
      <c r="X36" s="8">
        <f t="shared" si="6"/>
        <v>110994.25</v>
      </c>
      <c r="Y36" s="3"/>
      <c r="Z36" s="7">
        <f t="shared" si="7"/>
        <v>0.84018211852979896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8928.9699999999993</v>
      </c>
      <c r="E37" s="3"/>
      <c r="F37" s="7">
        <f t="shared" si="0"/>
        <v>1.6011317595458902E-2</v>
      </c>
      <c r="G37" s="3"/>
      <c r="H37" s="8"/>
      <c r="I37" s="3"/>
      <c r="J37" s="7">
        <f t="shared" si="1"/>
        <v>0</v>
      </c>
      <c r="K37" s="3"/>
      <c r="L37" s="8">
        <f t="shared" si="2"/>
        <v>8928.9699999999993</v>
      </c>
      <c r="M37" s="3"/>
      <c r="N37" s="7">
        <f t="shared" si="3"/>
        <v>0</v>
      </c>
      <c r="O37" s="12"/>
      <c r="P37" s="8">
        <v>102639</v>
      </c>
      <c r="Q37" s="3"/>
      <c r="R37" s="7">
        <f t="shared" si="4"/>
        <v>2.7708644522071522E-2</v>
      </c>
      <c r="S37" s="3"/>
      <c r="T37" s="8"/>
      <c r="U37" s="3"/>
      <c r="V37" s="7">
        <f t="shared" si="5"/>
        <v>0</v>
      </c>
      <c r="W37" s="3"/>
      <c r="X37" s="8">
        <f t="shared" si="6"/>
        <v>102639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","6006"," - ","TEMPORARY PART TIME")</f>
        <v xml:space="preserve">          6006 - TEMPORARY PART TIME</v>
      </c>
      <c r="C38" s="12"/>
      <c r="D38" s="8">
        <v>2590.8000000000002</v>
      </c>
      <c r="E38" s="3"/>
      <c r="F38" s="7">
        <f t="shared" si="0"/>
        <v>4.6457902340712228E-3</v>
      </c>
      <c r="G38" s="3"/>
      <c r="H38" s="8"/>
      <c r="I38" s="3"/>
      <c r="J38" s="7">
        <f t="shared" si="1"/>
        <v>0</v>
      </c>
      <c r="K38" s="3"/>
      <c r="L38" s="8">
        <f t="shared" si="2"/>
        <v>2590.8000000000002</v>
      </c>
      <c r="M38" s="3"/>
      <c r="N38" s="7">
        <f t="shared" si="3"/>
        <v>0</v>
      </c>
      <c r="O38" s="12"/>
      <c r="P38" s="8">
        <v>3969.8</v>
      </c>
      <c r="Q38" s="3"/>
      <c r="R38" s="7">
        <f t="shared" si="4"/>
        <v>1.0716957201816028E-3</v>
      </c>
      <c r="S38" s="3"/>
      <c r="T38" s="8"/>
      <c r="U38" s="3"/>
      <c r="V38" s="7">
        <f t="shared" si="5"/>
        <v>0</v>
      </c>
      <c r="W38" s="3"/>
      <c r="X38" s="8">
        <f t="shared" si="6"/>
        <v>3969.8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","6007"," - ","STUDENT HOURLY")</f>
        <v xml:space="preserve">          6007 - STUDENT HOURLY</v>
      </c>
      <c r="C39" s="12"/>
      <c r="D39" s="8">
        <v>9165.19</v>
      </c>
      <c r="E39" s="3"/>
      <c r="F39" s="7">
        <f t="shared" si="0"/>
        <v>1.6434904352094808E-2</v>
      </c>
      <c r="G39" s="3"/>
      <c r="H39" s="8">
        <v>-3183</v>
      </c>
      <c r="I39" s="3"/>
      <c r="J39" s="7">
        <f t="shared" si="1"/>
        <v>0</v>
      </c>
      <c r="K39" s="3"/>
      <c r="L39" s="8">
        <f t="shared" si="2"/>
        <v>12348.19</v>
      </c>
      <c r="M39" s="3"/>
      <c r="N39" s="7">
        <f t="shared" si="3"/>
        <v>-3.8794187873075718</v>
      </c>
      <c r="O39" s="12"/>
      <c r="P39" s="8">
        <v>144810.25</v>
      </c>
      <c r="Q39" s="3"/>
      <c r="R39" s="7">
        <f t="shared" si="4"/>
        <v>3.9093285597115203E-2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144810.25</v>
      </c>
      <c r="Y39" s="3"/>
      <c r="Z39" s="7">
        <f t="shared" si="7"/>
        <v>0</v>
      </c>
    </row>
    <row r="40" spans="1:26" s="69" customFormat="1" ht="15" hidden="1" customHeight="1" outlineLevel="2" x14ac:dyDescent="0.3">
      <c r="A40" s="26"/>
      <c r="B40" s="12" t="str">
        <f>CONCATENATE("          ","6008"," - ","STUDENT HOURLY-FICA EXEMPT")</f>
        <v xml:space="preserve">          6008 - STUDENT HOURLY-FICA EXEMPT</v>
      </c>
      <c r="C40" s="12"/>
      <c r="D40" s="8">
        <v>21585</v>
      </c>
      <c r="E40" s="3"/>
      <c r="F40" s="7">
        <f t="shared" si="0"/>
        <v>3.8705952679646188E-2</v>
      </c>
      <c r="G40" s="3"/>
      <c r="H40" s="8"/>
      <c r="I40" s="3"/>
      <c r="J40" s="7">
        <f t="shared" si="1"/>
        <v>0</v>
      </c>
      <c r="K40" s="3"/>
      <c r="L40" s="8">
        <f t="shared" si="2"/>
        <v>21585</v>
      </c>
      <c r="M40" s="3"/>
      <c r="N40" s="7">
        <f t="shared" si="3"/>
        <v>0</v>
      </c>
      <c r="O40" s="12"/>
      <c r="P40" s="8">
        <v>76821.100000000006</v>
      </c>
      <c r="Q40" s="3"/>
      <c r="R40" s="7">
        <f t="shared" si="4"/>
        <v>2.0738788878442979E-2</v>
      </c>
      <c r="S40" s="3"/>
      <c r="T40" s="8"/>
      <c r="U40" s="3"/>
      <c r="V40" s="7">
        <f t="shared" si="5"/>
        <v>0</v>
      </c>
      <c r="W40" s="3"/>
      <c r="X40" s="8">
        <f t="shared" si="6"/>
        <v>76821.100000000006</v>
      </c>
      <c r="Y40" s="3"/>
      <c r="Z40" s="7">
        <f t="shared" si="7"/>
        <v>0</v>
      </c>
    </row>
    <row r="41" spans="1:26" s="68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6.96</v>
      </c>
      <c r="E41" s="2"/>
      <c r="F41" s="6">
        <f t="shared" si="0"/>
        <v>1.2480585158690639E-5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6.96</v>
      </c>
      <c r="M41" s="2"/>
      <c r="N41" s="6">
        <f t="shared" si="3"/>
        <v>0</v>
      </c>
      <c r="O41" s="14"/>
      <c r="P41" s="2">
        <f>SUM(OSRRefP22_2x_0)</f>
        <v>1450.34</v>
      </c>
      <c r="Q41" s="2"/>
      <c r="R41" s="6">
        <f t="shared" si="4"/>
        <v>3.9153689626887644E-4</v>
      </c>
      <c r="S41" s="2"/>
      <c r="T41" s="2">
        <f>SUM(OSRRefT22_2x_0)</f>
        <v>204.75</v>
      </c>
      <c r="U41" s="2"/>
      <c r="V41" s="6">
        <f t="shared" si="5"/>
        <v>8.660464124741139E-3</v>
      </c>
      <c r="W41" s="2"/>
      <c r="X41" s="2">
        <f t="shared" si="6"/>
        <v>1245.5899999999999</v>
      </c>
      <c r="Y41" s="2"/>
      <c r="Z41" s="6">
        <f t="shared" si="7"/>
        <v>6.0834676434676433</v>
      </c>
    </row>
    <row r="42" spans="1:26" s="69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8">
        <v>6.96</v>
      </c>
      <c r="E42" s="3"/>
      <c r="F42" s="7">
        <f t="shared" si="0"/>
        <v>1.2480585158690639E-5</v>
      </c>
      <c r="G42" s="3"/>
      <c r="H42" s="8"/>
      <c r="I42" s="3"/>
      <c r="J42" s="7">
        <f t="shared" si="1"/>
        <v>0</v>
      </c>
      <c r="K42" s="3"/>
      <c r="L42" s="8">
        <f t="shared" si="2"/>
        <v>6.96</v>
      </c>
      <c r="M42" s="3"/>
      <c r="N42" s="7">
        <f t="shared" si="3"/>
        <v>0</v>
      </c>
      <c r="O42" s="12"/>
      <c r="P42" s="8">
        <v>1450.34</v>
      </c>
      <c r="Q42" s="3"/>
      <c r="R42" s="7">
        <f t="shared" si="4"/>
        <v>3.9153689626887644E-4</v>
      </c>
      <c r="S42" s="3"/>
      <c r="T42" s="8">
        <v>204.75</v>
      </c>
      <c r="U42" s="3"/>
      <c r="V42" s="7">
        <f t="shared" si="5"/>
        <v>8.660464124741139E-3</v>
      </c>
      <c r="W42" s="3"/>
      <c r="X42" s="8">
        <f t="shared" si="6"/>
        <v>1245.5899999999999</v>
      </c>
      <c r="Y42" s="3"/>
      <c r="Z42" s="7">
        <f t="shared" si="7"/>
        <v>6.0834676434676433</v>
      </c>
    </row>
    <row r="43" spans="1:26" s="68" customFormat="1" ht="15" customHeight="1" outlineLevel="1" collapsed="1" x14ac:dyDescent="0.3">
      <c r="A43" s="25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-23.9</v>
      </c>
      <c r="Q43" s="2"/>
      <c r="R43" s="6">
        <f t="shared" si="4"/>
        <v>-6.4520952472014471E-6</v>
      </c>
      <c r="S43" s="2"/>
      <c r="T43" s="2">
        <f>SUM(OSRRefT22_3x_0)</f>
        <v>0</v>
      </c>
      <c r="U43" s="2"/>
      <c r="V43" s="6">
        <f t="shared" si="5"/>
        <v>0</v>
      </c>
      <c r="W43" s="2"/>
      <c r="X43" s="2">
        <f t="shared" si="6"/>
        <v>-23.9</v>
      </c>
      <c r="Y43" s="2"/>
      <c r="Z43" s="6">
        <f t="shared" si="7"/>
        <v>0</v>
      </c>
    </row>
    <row r="44" spans="1:26" s="69" customFormat="1" ht="15" hidden="1" customHeight="1" outlineLevel="2" x14ac:dyDescent="0.3">
      <c r="A44" s="26"/>
      <c r="B44" s="12" t="str">
        <f>CONCATENATE("          ","6272"," - ","CASH (OVER/SHORT)")</f>
        <v xml:space="preserve">          6272 - CASH (OVER/SHORT)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-23.9</v>
      </c>
      <c r="Q44" s="3"/>
      <c r="R44" s="7">
        <f t="shared" si="4"/>
        <v>-6.4520952472014471E-6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-23.9</v>
      </c>
      <c r="Y44" s="3"/>
      <c r="Z44" s="7">
        <f t="shared" si="7"/>
        <v>0</v>
      </c>
    </row>
    <row r="45" spans="1:26" s="68" customFormat="1" ht="15" customHeight="1" outlineLevel="1" collapsed="1" x14ac:dyDescent="0.3">
      <c r="A45" s="25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120.44</v>
      </c>
      <c r="E45" s="2"/>
      <c r="F45" s="6">
        <f t="shared" si="0"/>
        <v>2.1597150524607766E-4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120.44</v>
      </c>
      <c r="M45" s="2"/>
      <c r="N45" s="6">
        <f t="shared" si="3"/>
        <v>0</v>
      </c>
      <c r="O45" s="14"/>
      <c r="P45" s="2">
        <f>SUM(OSRRefP22_4x_0)</f>
        <v>611.27</v>
      </c>
      <c r="Q45" s="2"/>
      <c r="R45" s="6">
        <f t="shared" si="4"/>
        <v>1.6501975990614346E-4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611.27</v>
      </c>
      <c r="Y45" s="2"/>
      <c r="Z45" s="6">
        <f t="shared" si="7"/>
        <v>0</v>
      </c>
    </row>
    <row r="46" spans="1:26" s="69" customFormat="1" ht="15" hidden="1" customHeight="1" outlineLevel="2" x14ac:dyDescent="0.3">
      <c r="A46" s="26"/>
      <c r="B46" s="12" t="str">
        <f>CONCATENATE("          ","6381"," - ","BANK/CREDIT CARD FEES")</f>
        <v xml:space="preserve">          6381 - BANK/CREDIT CARD FEES</v>
      </c>
      <c r="C46" s="12"/>
      <c r="D46" s="8">
        <v>120.44</v>
      </c>
      <c r="E46" s="3"/>
      <c r="F46" s="7">
        <f t="shared" si="0"/>
        <v>2.1597150524607766E-4</v>
      </c>
      <c r="G46" s="3"/>
      <c r="H46" s="8"/>
      <c r="I46" s="3"/>
      <c r="J46" s="7">
        <f t="shared" si="1"/>
        <v>0</v>
      </c>
      <c r="K46" s="3"/>
      <c r="L46" s="8">
        <f t="shared" si="2"/>
        <v>120.44</v>
      </c>
      <c r="M46" s="3"/>
      <c r="N46" s="7">
        <f t="shared" si="3"/>
        <v>0</v>
      </c>
      <c r="O46" s="12"/>
      <c r="P46" s="8">
        <v>611.27</v>
      </c>
      <c r="Q46" s="3"/>
      <c r="R46" s="7">
        <f t="shared" si="4"/>
        <v>1.6501975990614346E-4</v>
      </c>
      <c r="S46" s="3"/>
      <c r="T46" s="8"/>
      <c r="U46" s="3"/>
      <c r="V46" s="7">
        <f t="shared" si="5"/>
        <v>0</v>
      </c>
      <c r="W46" s="3"/>
      <c r="X46" s="8">
        <f t="shared" si="6"/>
        <v>611.27</v>
      </c>
      <c r="Y46" s="3"/>
      <c r="Z46" s="7">
        <f t="shared" si="7"/>
        <v>0</v>
      </c>
    </row>
    <row r="47" spans="1:26" s="68" customFormat="1" ht="15" customHeight="1" outlineLevel="1" collapsed="1" x14ac:dyDescent="0.3">
      <c r="A47" s="25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4.9045471936113173E-4</v>
      </c>
      <c r="G47" s="2"/>
      <c r="H47" s="2">
        <f>SUM(OSRRefH22_5x_0)</f>
        <v>272.74</v>
      </c>
      <c r="I47" s="2"/>
      <c r="J47" s="6">
        <f t="shared" si="1"/>
        <v>0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2735.1</v>
      </c>
      <c r="Q47" s="2"/>
      <c r="R47" s="6">
        <f t="shared" si="4"/>
        <v>7.3837346069542589E-4</v>
      </c>
      <c r="S47" s="2"/>
      <c r="T47" s="2">
        <f>SUM(OSRRefT22_5x_0)</f>
        <v>2463.1799999999998</v>
      </c>
      <c r="U47" s="2"/>
      <c r="V47" s="6">
        <f t="shared" si="5"/>
        <v>0.1041869695862265</v>
      </c>
      <c r="W47" s="2"/>
      <c r="X47" s="2">
        <f t="shared" si="6"/>
        <v>271.92000000000007</v>
      </c>
      <c r="Y47" s="2"/>
      <c r="Z47" s="6">
        <f t="shared" si="7"/>
        <v>0.11039388108055444</v>
      </c>
    </row>
    <row r="48" spans="1:26" s="69" customFormat="1" ht="15" hidden="1" customHeight="1" outlineLevel="2" x14ac:dyDescent="0.3">
      <c r="A48" s="26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273.51</v>
      </c>
      <c r="E48" s="3"/>
      <c r="F48" s="7">
        <f t="shared" si="0"/>
        <v>4.9045471936113173E-4</v>
      </c>
      <c r="G48" s="3"/>
      <c r="H48" s="8">
        <v>272.74</v>
      </c>
      <c r="I48" s="3"/>
      <c r="J48" s="7">
        <f t="shared" si="1"/>
        <v>0</v>
      </c>
      <c r="K48" s="3"/>
      <c r="L48" s="8">
        <f t="shared" si="2"/>
        <v>0.76999999999998181</v>
      </c>
      <c r="M48" s="3"/>
      <c r="N48" s="7">
        <f t="shared" si="3"/>
        <v>2.8232015839260165E-3</v>
      </c>
      <c r="O48" s="12"/>
      <c r="P48" s="8">
        <v>2735.1</v>
      </c>
      <c r="Q48" s="3"/>
      <c r="R48" s="7">
        <f t="shared" si="4"/>
        <v>7.3837346069542589E-4</v>
      </c>
      <c r="S48" s="3"/>
      <c r="T48" s="8">
        <v>2463.1799999999998</v>
      </c>
      <c r="U48" s="3"/>
      <c r="V48" s="7">
        <f t="shared" si="5"/>
        <v>0.1041869695862265</v>
      </c>
      <c r="W48" s="3"/>
      <c r="X48" s="8">
        <f t="shared" si="6"/>
        <v>271.92000000000007</v>
      </c>
      <c r="Y48" s="3"/>
      <c r="Z48" s="7">
        <f t="shared" si="7"/>
        <v>0.11039388108055444</v>
      </c>
    </row>
    <row r="49" spans="1:26" s="68" customFormat="1" ht="15" customHeight="1" outlineLevel="1" collapsed="1" x14ac:dyDescent="0.3">
      <c r="A49" s="25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4862.92</v>
      </c>
      <c r="E49" s="2"/>
      <c r="F49" s="6">
        <f t="shared" si="0"/>
        <v>8.7201274683764204E-3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4862.92</v>
      </c>
      <c r="M49" s="2"/>
      <c r="N49" s="6">
        <f t="shared" si="3"/>
        <v>0</v>
      </c>
      <c r="O49" s="14"/>
      <c r="P49" s="2">
        <f>SUM(OSRRefP22_6x_0)</f>
        <v>33566.69</v>
      </c>
      <c r="Q49" s="2"/>
      <c r="R49" s="6">
        <f t="shared" si="4"/>
        <v>9.0617356072503919E-3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33566.69</v>
      </c>
      <c r="Y49" s="2"/>
      <c r="Z49" s="6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","6399"," - ","DONATION-ON CAMPUS")</f>
        <v xml:space="preserve">          6399 - DONATION-ON CAMPUS</v>
      </c>
      <c r="C50" s="12"/>
      <c r="D50" s="8">
        <v>4862.92</v>
      </c>
      <c r="E50" s="3"/>
      <c r="F50" s="7">
        <f t="shared" si="0"/>
        <v>8.7201274683764204E-3</v>
      </c>
      <c r="G50" s="3"/>
      <c r="H50" s="8"/>
      <c r="I50" s="3"/>
      <c r="J50" s="7">
        <f t="shared" si="1"/>
        <v>0</v>
      </c>
      <c r="K50" s="3"/>
      <c r="L50" s="8">
        <f t="shared" si="2"/>
        <v>4862.92</v>
      </c>
      <c r="M50" s="3"/>
      <c r="N50" s="7">
        <f t="shared" si="3"/>
        <v>0</v>
      </c>
      <c r="O50" s="12"/>
      <c r="P50" s="8">
        <v>33566.69</v>
      </c>
      <c r="Q50" s="3"/>
      <c r="R50" s="7">
        <f t="shared" si="4"/>
        <v>9.0617356072503919E-3</v>
      </c>
      <c r="S50" s="3"/>
      <c r="T50" s="8"/>
      <c r="U50" s="3"/>
      <c r="V50" s="7">
        <f t="shared" si="5"/>
        <v>0</v>
      </c>
      <c r="W50" s="3"/>
      <c r="X50" s="8">
        <f t="shared" si="6"/>
        <v>33566.69</v>
      </c>
      <c r="Y50" s="3"/>
      <c r="Z50" s="7">
        <f t="shared" si="7"/>
        <v>0</v>
      </c>
    </row>
    <row r="51" spans="1:26" s="68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34.47</v>
      </c>
      <c r="Q51" s="2"/>
      <c r="R51" s="6">
        <f t="shared" si="4"/>
        <v>9.3055951117587408E-6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34.47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34.47</v>
      </c>
      <c r="Q52" s="3"/>
      <c r="R52" s="7">
        <f t="shared" si="4"/>
        <v>9.3055951117587408E-6</v>
      </c>
      <c r="S52" s="3"/>
      <c r="T52" s="8"/>
      <c r="U52" s="3"/>
      <c r="V52" s="7">
        <f t="shared" si="5"/>
        <v>0</v>
      </c>
      <c r="W52" s="3"/>
      <c r="X52" s="8">
        <f t="shared" si="6"/>
        <v>34.47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656.03</v>
      </c>
      <c r="E53" s="2"/>
      <c r="F53" s="6">
        <f t="shared" si="0"/>
        <v>1.1763848105827328E-3</v>
      </c>
      <c r="G53" s="2"/>
      <c r="H53" s="2">
        <f>SUM(OSRRefH22_8x_0)</f>
        <v>364.22</v>
      </c>
      <c r="I53" s="2"/>
      <c r="J53" s="6">
        <f t="shared" si="1"/>
        <v>0</v>
      </c>
      <c r="K53" s="2"/>
      <c r="L53" s="2">
        <f t="shared" si="2"/>
        <v>291.80999999999995</v>
      </c>
      <c r="M53" s="2"/>
      <c r="N53" s="6">
        <f t="shared" si="3"/>
        <v>0.80119158750205899</v>
      </c>
      <c r="O53" s="14"/>
      <c r="P53" s="2">
        <f>SUM(OSRRefP22_8x_0)</f>
        <v>7407.15</v>
      </c>
      <c r="Q53" s="2"/>
      <c r="R53" s="6">
        <f t="shared" si="4"/>
        <v>1.9996500966656151E-3</v>
      </c>
      <c r="S53" s="2"/>
      <c r="T53" s="2">
        <f>SUM(OSRRefT22_8x_0)</f>
        <v>2286.35</v>
      </c>
      <c r="U53" s="2"/>
      <c r="V53" s="6">
        <f t="shared" si="5"/>
        <v>9.67074586158823E-2</v>
      </c>
      <c r="W53" s="2"/>
      <c r="X53" s="2">
        <f t="shared" si="6"/>
        <v>5120.7999999999993</v>
      </c>
      <c r="Y53" s="2"/>
      <c r="Z53" s="6">
        <f t="shared" si="7"/>
        <v>2.2397270759070129</v>
      </c>
    </row>
    <row r="54" spans="1:26" s="69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656.03</v>
      </c>
      <c r="E54" s="3"/>
      <c r="F54" s="7">
        <f t="shared" si="0"/>
        <v>1.1763848105827328E-3</v>
      </c>
      <c r="G54" s="3"/>
      <c r="H54" s="8">
        <v>364.22</v>
      </c>
      <c r="I54" s="3"/>
      <c r="J54" s="7">
        <f t="shared" si="1"/>
        <v>0</v>
      </c>
      <c r="K54" s="3"/>
      <c r="L54" s="8">
        <f t="shared" si="2"/>
        <v>291.80999999999995</v>
      </c>
      <c r="M54" s="3"/>
      <c r="N54" s="7">
        <f t="shared" si="3"/>
        <v>0.80119158750205899</v>
      </c>
      <c r="O54" s="12"/>
      <c r="P54" s="8">
        <v>7407.15</v>
      </c>
      <c r="Q54" s="3"/>
      <c r="R54" s="7">
        <f t="shared" si="4"/>
        <v>1.9996500966656151E-3</v>
      </c>
      <c r="S54" s="3"/>
      <c r="T54" s="8">
        <v>2286.35</v>
      </c>
      <c r="U54" s="3"/>
      <c r="V54" s="7">
        <f t="shared" si="5"/>
        <v>9.67074586158823E-2</v>
      </c>
      <c r="W54" s="3"/>
      <c r="X54" s="8">
        <f t="shared" si="6"/>
        <v>5120.7999999999993</v>
      </c>
      <c r="Y54" s="3"/>
      <c r="Z54" s="7">
        <f t="shared" si="7"/>
        <v>2.2397270759070129</v>
      </c>
    </row>
    <row r="55" spans="1:26" s="68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2134.44</v>
      </c>
      <c r="E55" s="2"/>
      <c r="F55" s="6">
        <f t="shared" ref="F55:F78" si="8">IF(D$12=0,0,D55/D$12)</f>
        <v>3.8274511761660418E-3</v>
      </c>
      <c r="G55" s="2"/>
      <c r="H55" s="2">
        <f>SUM(OSRRefH22_9x_0)</f>
        <v>19</v>
      </c>
      <c r="I55" s="2"/>
      <c r="J55" s="6">
        <f t="shared" ref="J55:J78" si="9">IF(H$12=0,0,H55/H$12)</f>
        <v>0</v>
      </c>
      <c r="K55" s="2"/>
      <c r="L55" s="2">
        <f t="shared" ref="L55:L78" si="10">+D55-H55</f>
        <v>2115.44</v>
      </c>
      <c r="M55" s="2"/>
      <c r="N55" s="6">
        <f t="shared" ref="N55:N78" si="11">IF(H55=0,0,L55/H55)</f>
        <v>111.33894736842106</v>
      </c>
      <c r="O55" s="14"/>
      <c r="P55" s="2">
        <f>SUM(OSRRefP22_9x_0)</f>
        <v>12088.71</v>
      </c>
      <c r="Q55" s="2"/>
      <c r="R55" s="6">
        <f t="shared" ref="R55:R78" si="12">IF(P$12=0,0,P55/P$12)</f>
        <v>3.2634940726274731E-3</v>
      </c>
      <c r="S55" s="2"/>
      <c r="T55" s="2">
        <f>SUM(OSRRefT22_9x_0)</f>
        <v>3847.45</v>
      </c>
      <c r="U55" s="2"/>
      <c r="V55" s="6">
        <f t="shared" ref="V55:V78" si="13">IF(T$12=0,0,T55/T$12)</f>
        <v>0.16273847470932987</v>
      </c>
      <c r="W55" s="2"/>
      <c r="X55" s="2">
        <f t="shared" ref="X55:X78" si="14">+P55-T55</f>
        <v>8241.2599999999984</v>
      </c>
      <c r="Y55" s="2"/>
      <c r="Z55" s="6">
        <f t="shared" ref="Z55:Z78" si="15">IF(T55=0,0,X55/T55)</f>
        <v>2.1420057440642499</v>
      </c>
    </row>
    <row r="56" spans="1:26" s="69" customFormat="1" ht="15" hidden="1" customHeight="1" outlineLevel="2" x14ac:dyDescent="0.3">
      <c r="A56" s="26"/>
      <c r="B56" s="12" t="str">
        <f>CONCATENATE("          ","6279"," - ","GENERAL EXPENSE")</f>
        <v xml:space="preserve">          6279 - GENERAL EXPENSE</v>
      </c>
      <c r="C56" s="12"/>
      <c r="D56" s="8">
        <v>2134.44</v>
      </c>
      <c r="E56" s="3"/>
      <c r="F56" s="7">
        <f t="shared" si="8"/>
        <v>3.8274511761660418E-3</v>
      </c>
      <c r="G56" s="3"/>
      <c r="H56" s="8">
        <v>19</v>
      </c>
      <c r="I56" s="3"/>
      <c r="J56" s="7">
        <f t="shared" si="9"/>
        <v>0</v>
      </c>
      <c r="K56" s="3"/>
      <c r="L56" s="8">
        <f t="shared" si="10"/>
        <v>2115.44</v>
      </c>
      <c r="M56" s="3"/>
      <c r="N56" s="7">
        <f t="shared" si="11"/>
        <v>111.33894736842106</v>
      </c>
      <c r="O56" s="12"/>
      <c r="P56" s="8">
        <v>12088.71</v>
      </c>
      <c r="Q56" s="3"/>
      <c r="R56" s="7">
        <f t="shared" si="12"/>
        <v>3.2634940726274731E-3</v>
      </c>
      <c r="S56" s="3"/>
      <c r="T56" s="8">
        <v>3847.45</v>
      </c>
      <c r="U56" s="3"/>
      <c r="V56" s="7">
        <f t="shared" si="13"/>
        <v>0.16273847470932987</v>
      </c>
      <c r="W56" s="3"/>
      <c r="X56" s="8">
        <f t="shared" si="14"/>
        <v>8241.2599999999984</v>
      </c>
      <c r="Y56" s="3"/>
      <c r="Z56" s="7">
        <f t="shared" si="15"/>
        <v>2.1420057440642499</v>
      </c>
    </row>
    <row r="57" spans="1:26" s="68" customFormat="1" ht="15" customHeight="1" outlineLevel="1" collapsed="1" x14ac:dyDescent="0.3">
      <c r="A57" s="25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43399.74</v>
      </c>
      <c r="E57" s="2"/>
      <c r="F57" s="6">
        <f t="shared" si="8"/>
        <v>7.7823872260780524E-2</v>
      </c>
      <c r="G57" s="2"/>
      <c r="H57" s="2">
        <f>SUM(OSRRefH22_10x_0)</f>
        <v>0</v>
      </c>
      <c r="I57" s="2"/>
      <c r="J57" s="6">
        <f t="shared" si="9"/>
        <v>0</v>
      </c>
      <c r="K57" s="2"/>
      <c r="L57" s="2">
        <f t="shared" si="10"/>
        <v>43399.74</v>
      </c>
      <c r="M57" s="2"/>
      <c r="N57" s="6">
        <f t="shared" si="11"/>
        <v>0</v>
      </c>
      <c r="O57" s="14"/>
      <c r="P57" s="2">
        <f>SUM(OSRRefP22_10x_0)</f>
        <v>289247.76</v>
      </c>
      <c r="Q57" s="2"/>
      <c r="R57" s="6">
        <f t="shared" si="12"/>
        <v>7.80859455045885E-2</v>
      </c>
      <c r="S57" s="2"/>
      <c r="T57" s="2">
        <f>SUM(OSRRefT22_10x_0)</f>
        <v>1899.35</v>
      </c>
      <c r="U57" s="2"/>
      <c r="V57" s="6">
        <f t="shared" si="13"/>
        <v>8.0338229720767179E-2</v>
      </c>
      <c r="W57" s="2"/>
      <c r="X57" s="2">
        <f t="shared" si="14"/>
        <v>287348.41000000003</v>
      </c>
      <c r="Y57" s="2"/>
      <c r="Z57" s="6">
        <f t="shared" si="15"/>
        <v>151.28776160265357</v>
      </c>
    </row>
    <row r="58" spans="1:26" s="69" customFormat="1" ht="15" hidden="1" customHeight="1" outlineLevel="2" x14ac:dyDescent="0.3">
      <c r="A58" s="26"/>
      <c r="B58" s="12" t="str">
        <f>CONCATENATE("          ","6387"," - ","COMMISSION DUE HOUSING")</f>
        <v xml:space="preserve">          6387 - COMMISSION DUE HOUSING</v>
      </c>
      <c r="C58" s="12"/>
      <c r="D58" s="8">
        <v>43399.74</v>
      </c>
      <c r="E58" s="3"/>
      <c r="F58" s="7">
        <f t="shared" si="8"/>
        <v>7.7823872260780524E-2</v>
      </c>
      <c r="G58" s="3"/>
      <c r="H58" s="8"/>
      <c r="I58" s="3"/>
      <c r="J58" s="7">
        <f t="shared" si="9"/>
        <v>0</v>
      </c>
      <c r="K58" s="3"/>
      <c r="L58" s="8">
        <f t="shared" si="10"/>
        <v>43399.74</v>
      </c>
      <c r="M58" s="3"/>
      <c r="N58" s="7">
        <f t="shared" si="11"/>
        <v>0</v>
      </c>
      <c r="O58" s="12"/>
      <c r="P58" s="8">
        <v>289247.76</v>
      </c>
      <c r="Q58" s="3"/>
      <c r="R58" s="7">
        <f t="shared" si="12"/>
        <v>7.80859455045885E-2</v>
      </c>
      <c r="S58" s="3"/>
      <c r="T58" s="8">
        <v>1899.35</v>
      </c>
      <c r="U58" s="3"/>
      <c r="V58" s="7">
        <f t="shared" si="13"/>
        <v>8.0338229720767179E-2</v>
      </c>
      <c r="W58" s="3"/>
      <c r="X58" s="8">
        <f t="shared" si="14"/>
        <v>287348.41000000003</v>
      </c>
      <c r="Y58" s="3"/>
      <c r="Z58" s="7">
        <f t="shared" si="15"/>
        <v>151.28776160265357</v>
      </c>
    </row>
    <row r="59" spans="1:26" s="68" customFormat="1" ht="15" customHeight="1" outlineLevel="1" collapsed="1" x14ac:dyDescent="0.3">
      <c r="A59" s="25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547.15</v>
      </c>
      <c r="E59" s="2"/>
      <c r="F59" s="6">
        <f t="shared" si="8"/>
        <v>9.8114255310022746E-4</v>
      </c>
      <c r="G59" s="2"/>
      <c r="H59" s="2">
        <f>SUM(OSRRefH22_11x_0)</f>
        <v>0</v>
      </c>
      <c r="I59" s="2"/>
      <c r="J59" s="6">
        <f t="shared" si="9"/>
        <v>0</v>
      </c>
      <c r="K59" s="2"/>
      <c r="L59" s="2">
        <f t="shared" si="10"/>
        <v>547.15</v>
      </c>
      <c r="M59" s="2"/>
      <c r="N59" s="6">
        <f t="shared" si="11"/>
        <v>0</v>
      </c>
      <c r="O59" s="14"/>
      <c r="P59" s="2">
        <f>SUM(OSRRefP22_11x_0)</f>
        <v>3430.57</v>
      </c>
      <c r="Q59" s="2"/>
      <c r="R59" s="6">
        <f t="shared" si="12"/>
        <v>9.2612403314610344E-4</v>
      </c>
      <c r="S59" s="2"/>
      <c r="T59" s="2">
        <f>SUM(OSRRefT22_11x_0)</f>
        <v>1345.25</v>
      </c>
      <c r="U59" s="2"/>
      <c r="V59" s="6">
        <f t="shared" si="13"/>
        <v>5.6901046953885308E-2</v>
      </c>
      <c r="W59" s="2"/>
      <c r="X59" s="2">
        <f t="shared" si="14"/>
        <v>2085.3200000000002</v>
      </c>
      <c r="Y59" s="2"/>
      <c r="Z59" s="6">
        <f t="shared" si="15"/>
        <v>1.550135662516261</v>
      </c>
    </row>
    <row r="60" spans="1:26" s="69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277.57</v>
      </c>
      <c r="Q60" s="3"/>
      <c r="R60" s="7">
        <f t="shared" si="12"/>
        <v>7.4933392375134129E-5</v>
      </c>
      <c r="S60" s="3"/>
      <c r="T60" s="8">
        <v>1326.25</v>
      </c>
      <c r="U60" s="3"/>
      <c r="V60" s="7">
        <f t="shared" si="13"/>
        <v>5.6097389721308594E-2</v>
      </c>
      <c r="W60" s="3"/>
      <c r="X60" s="8">
        <f t="shared" si="14"/>
        <v>-1048.68</v>
      </c>
      <c r="Y60" s="3"/>
      <c r="Z60" s="7">
        <f t="shared" si="15"/>
        <v>-0.79071065032987753</v>
      </c>
    </row>
    <row r="61" spans="1:26" s="69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547.15</v>
      </c>
      <c r="E61" s="3"/>
      <c r="F61" s="7">
        <f t="shared" si="8"/>
        <v>9.8114255310022746E-4</v>
      </c>
      <c r="G61" s="3"/>
      <c r="H61" s="8"/>
      <c r="I61" s="3"/>
      <c r="J61" s="7">
        <f t="shared" si="9"/>
        <v>0</v>
      </c>
      <c r="K61" s="3"/>
      <c r="L61" s="8">
        <f t="shared" si="10"/>
        <v>547.15</v>
      </c>
      <c r="M61" s="3"/>
      <c r="N61" s="7">
        <f t="shared" si="11"/>
        <v>0</v>
      </c>
      <c r="O61" s="12"/>
      <c r="P61" s="8">
        <v>3153</v>
      </c>
      <c r="Q61" s="3"/>
      <c r="R61" s="7">
        <f t="shared" si="12"/>
        <v>8.511906407709692E-4</v>
      </c>
      <c r="S61" s="3"/>
      <c r="T61" s="8">
        <v>19</v>
      </c>
      <c r="U61" s="3"/>
      <c r="V61" s="7">
        <f t="shared" si="13"/>
        <v>8.036572325767113E-4</v>
      </c>
      <c r="W61" s="3"/>
      <c r="X61" s="8">
        <f t="shared" si="14"/>
        <v>3134</v>
      </c>
      <c r="Y61" s="3"/>
      <c r="Z61" s="7">
        <f t="shared" si="15"/>
        <v>164.94736842105263</v>
      </c>
    </row>
    <row r="62" spans="1:26" s="68" customFormat="1" ht="15" customHeight="1" outlineLevel="1" collapsed="1" x14ac:dyDescent="0.3">
      <c r="A62" s="25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7171.61</v>
      </c>
      <c r="E62" s="2"/>
      <c r="F62" s="6">
        <f t="shared" si="8"/>
        <v>1.2860041570390427E-2</v>
      </c>
      <c r="G62" s="2"/>
      <c r="H62" s="2">
        <f>SUM(OSRRefH22_12x_0)</f>
        <v>5831.34</v>
      </c>
      <c r="I62" s="2"/>
      <c r="J62" s="6">
        <f t="shared" si="9"/>
        <v>0</v>
      </c>
      <c r="K62" s="2"/>
      <c r="L62" s="2">
        <f t="shared" si="10"/>
        <v>1340.2699999999995</v>
      </c>
      <c r="M62" s="2"/>
      <c r="N62" s="6">
        <f t="shared" si="11"/>
        <v>0.22983911073612576</v>
      </c>
      <c r="O62" s="14"/>
      <c r="P62" s="2">
        <f>SUM(OSRRefP22_12x_0)</f>
        <v>58932.490000000005</v>
      </c>
      <c r="Q62" s="2"/>
      <c r="R62" s="6">
        <f t="shared" si="12"/>
        <v>1.590954136547058E-2</v>
      </c>
      <c r="S62" s="2"/>
      <c r="T62" s="2">
        <f>SUM(OSRRefT22_12x_0)</f>
        <v>57290.130000000005</v>
      </c>
      <c r="U62" s="2"/>
      <c r="V62" s="6">
        <f t="shared" si="13"/>
        <v>2.4232435436715805</v>
      </c>
      <c r="W62" s="2"/>
      <c r="X62" s="2">
        <f t="shared" si="14"/>
        <v>1642.3600000000006</v>
      </c>
      <c r="Y62" s="2"/>
      <c r="Z62" s="6">
        <f t="shared" si="15"/>
        <v>2.8667416184951937E-2</v>
      </c>
    </row>
    <row r="63" spans="1:26" s="69" customFormat="1" ht="15" hidden="1" customHeight="1" outlineLevel="2" x14ac:dyDescent="0.3">
      <c r="A63" s="26"/>
      <c r="B63" s="12" t="str">
        <f>CONCATENATE("          ","6282"," - ","JANITORIAL/EXTERMINATOR EXPENS")</f>
        <v xml:space="preserve">          6282 - JANITORIAL/EXTERMINATOR EXPENS</v>
      </c>
      <c r="C63" s="12"/>
      <c r="D63" s="8">
        <v>454.95</v>
      </c>
      <c r="E63" s="3"/>
      <c r="F63" s="7">
        <f t="shared" si="8"/>
        <v>8.1581066349803249E-4</v>
      </c>
      <c r="G63" s="3"/>
      <c r="H63" s="8">
        <v>834.64</v>
      </c>
      <c r="I63" s="3"/>
      <c r="J63" s="7">
        <f t="shared" si="9"/>
        <v>0</v>
      </c>
      <c r="K63" s="3"/>
      <c r="L63" s="8">
        <f t="shared" si="10"/>
        <v>-379.69</v>
      </c>
      <c r="M63" s="3"/>
      <c r="N63" s="7">
        <f t="shared" si="11"/>
        <v>-0.45491469376018406</v>
      </c>
      <c r="O63" s="12"/>
      <c r="P63" s="8">
        <v>4778.87</v>
      </c>
      <c r="Q63" s="3"/>
      <c r="R63" s="7">
        <f t="shared" si="12"/>
        <v>1.2901139922173047E-3</v>
      </c>
      <c r="S63" s="3"/>
      <c r="T63" s="8">
        <v>4261.58</v>
      </c>
      <c r="U63" s="3"/>
      <c r="V63" s="7">
        <f t="shared" si="13"/>
        <v>0.18025524153706637</v>
      </c>
      <c r="W63" s="3"/>
      <c r="X63" s="8">
        <f t="shared" si="14"/>
        <v>517.29</v>
      </c>
      <c r="Y63" s="3"/>
      <c r="Z63" s="7">
        <f t="shared" si="15"/>
        <v>0.12138455690143092</v>
      </c>
    </row>
    <row r="64" spans="1:26" s="69" customFormat="1" ht="15" hidden="1" customHeight="1" outlineLevel="2" x14ac:dyDescent="0.3">
      <c r="A64" s="26"/>
      <c r="B64" s="12" t="str">
        <f>CONCATENATE("          ","6285"," - ","JANITORIAL SERVICES")</f>
        <v xml:space="preserve">          6285 - JANITORIAL SERVICES</v>
      </c>
      <c r="C64" s="12"/>
      <c r="D64" s="8">
        <v>4428.8599999999997</v>
      </c>
      <c r="E64" s="3"/>
      <c r="F64" s="7">
        <f t="shared" si="8"/>
        <v>7.9417764922296869E-3</v>
      </c>
      <c r="G64" s="3"/>
      <c r="H64" s="8">
        <v>4428.8599999999997</v>
      </c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44771.6</v>
      </c>
      <c r="Q64" s="3"/>
      <c r="R64" s="7">
        <f t="shared" si="12"/>
        <v>1.2086637136803528E-2</v>
      </c>
      <c r="S64" s="3"/>
      <c r="T64" s="8">
        <v>46918.41</v>
      </c>
      <c r="U64" s="3"/>
      <c r="V64" s="7">
        <f t="shared" si="13"/>
        <v>1.9845431335526051</v>
      </c>
      <c r="W64" s="3"/>
      <c r="X64" s="8">
        <f t="shared" si="14"/>
        <v>-2146.8100000000049</v>
      </c>
      <c r="Y64" s="3"/>
      <c r="Z64" s="7">
        <f t="shared" si="15"/>
        <v>-4.5756239395154372E-2</v>
      </c>
    </row>
    <row r="65" spans="1:26" s="69" customFormat="1" ht="15" hidden="1" customHeight="1" outlineLevel="2" x14ac:dyDescent="0.3">
      <c r="A65" s="26"/>
      <c r="B65" s="12" t="str">
        <f>CONCATENATE("          ","6286"," - ","LAUNDRY EXPENSE")</f>
        <v xml:space="preserve">          6286 - LAUNDRY EXPENSE</v>
      </c>
      <c r="C65" s="12"/>
      <c r="D65" s="8">
        <v>2287.8000000000002</v>
      </c>
      <c r="E65" s="3"/>
      <c r="F65" s="7">
        <f t="shared" si="8"/>
        <v>4.102454414662708E-3</v>
      </c>
      <c r="G65" s="3"/>
      <c r="H65" s="8">
        <v>567.84</v>
      </c>
      <c r="I65" s="3"/>
      <c r="J65" s="7">
        <f t="shared" si="9"/>
        <v>0</v>
      </c>
      <c r="K65" s="3"/>
      <c r="L65" s="8">
        <f t="shared" si="10"/>
        <v>1719.96</v>
      </c>
      <c r="M65" s="3"/>
      <c r="N65" s="7">
        <f t="shared" si="11"/>
        <v>3.0289518174133558</v>
      </c>
      <c r="O65" s="12"/>
      <c r="P65" s="8">
        <v>9382.02</v>
      </c>
      <c r="Q65" s="3"/>
      <c r="R65" s="7">
        <f t="shared" si="12"/>
        <v>2.5327902364497461E-3</v>
      </c>
      <c r="S65" s="3"/>
      <c r="T65" s="8">
        <v>6110.14</v>
      </c>
      <c r="U65" s="3"/>
      <c r="V65" s="7">
        <f t="shared" si="13"/>
        <v>0.2584451685819088</v>
      </c>
      <c r="W65" s="3"/>
      <c r="X65" s="8">
        <f t="shared" si="14"/>
        <v>3271.88</v>
      </c>
      <c r="Y65" s="3"/>
      <c r="Z65" s="7">
        <f t="shared" si="15"/>
        <v>0.53548363867276361</v>
      </c>
    </row>
    <row r="66" spans="1:26" s="68" customFormat="1" ht="15" customHeight="1" outlineLevel="1" collapsed="1" x14ac:dyDescent="0.3">
      <c r="A66" s="25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SUM(OSRRefD22_13x_0)</f>
        <v>13528.36</v>
      </c>
      <c r="E66" s="2"/>
      <c r="F66" s="6">
        <f t="shared" si="8"/>
        <v>2.4258886355951741E-2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13528.36</v>
      </c>
      <c r="M66" s="2"/>
      <c r="N66" s="6">
        <f t="shared" si="11"/>
        <v>0</v>
      </c>
      <c r="O66" s="14"/>
      <c r="P66" s="2">
        <f>SUM(OSRRefP22_13x_0)</f>
        <v>77929.439999999988</v>
      </c>
      <c r="Q66" s="2"/>
      <c r="R66" s="6">
        <f t="shared" si="12"/>
        <v>2.1037998721383695E-2</v>
      </c>
      <c r="S66" s="2"/>
      <c r="T66" s="2">
        <f>SUM(OSRRefT22_13x_0)</f>
        <v>10125.33</v>
      </c>
      <c r="U66" s="2"/>
      <c r="V66" s="6">
        <f t="shared" si="13"/>
        <v>0.42827866772241852</v>
      </c>
      <c r="W66" s="2"/>
      <c r="X66" s="2">
        <f t="shared" si="14"/>
        <v>67804.109999999986</v>
      </c>
      <c r="Y66" s="2"/>
      <c r="Z66" s="6">
        <f t="shared" si="15"/>
        <v>6.6964839664484996</v>
      </c>
    </row>
    <row r="67" spans="1:26" s="69" customFormat="1" ht="15" hidden="1" customHeight="1" outlineLevel="2" x14ac:dyDescent="0.3">
      <c r="A67" s="26"/>
      <c r="B67" s="12" t="str">
        <f>CONCATENATE("          ","6234"," - ","EXPENDABLE SUPPLIES &amp; EQUIPMEN")</f>
        <v xml:space="preserve">          6234 - EXPENDABLE SUPPLIES &amp; EQUIPMEN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21.98</v>
      </c>
      <c r="Q67" s="3"/>
      <c r="R67" s="7">
        <f t="shared" si="12"/>
        <v>5.9337679302714573E-6</v>
      </c>
      <c r="S67" s="3"/>
      <c r="T67" s="8"/>
      <c r="U67" s="3"/>
      <c r="V67" s="7">
        <f t="shared" si="13"/>
        <v>0</v>
      </c>
      <c r="W67" s="3"/>
      <c r="X67" s="8">
        <f t="shared" si="14"/>
        <v>21.98</v>
      </c>
      <c r="Y67" s="3"/>
      <c r="Z67" s="7">
        <f t="shared" si="15"/>
        <v>0</v>
      </c>
    </row>
    <row r="68" spans="1:26" s="69" customFormat="1" ht="15" hidden="1" customHeight="1" outlineLevel="2" x14ac:dyDescent="0.3">
      <c r="A68" s="26"/>
      <c r="B68" s="12" t="str">
        <f>CONCATENATE("          ","6235"," - ","COVID-19 EXPENSES")</f>
        <v xml:space="preserve">          6235 - COVID-19 EXPENSES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1375.08</v>
      </c>
      <c r="U68" s="3"/>
      <c r="V68" s="7">
        <f t="shared" si="13"/>
        <v>5.8162788809030738E-2</v>
      </c>
      <c r="W68" s="3"/>
      <c r="X68" s="8">
        <f t="shared" si="14"/>
        <v>-1375.08</v>
      </c>
      <c r="Y68" s="3"/>
      <c r="Z68" s="7">
        <f t="shared" si="15"/>
        <v>-1</v>
      </c>
    </row>
    <row r="69" spans="1:26" s="69" customFormat="1" ht="15" hidden="1" customHeight="1" outlineLevel="2" x14ac:dyDescent="0.3">
      <c r="A69" s="26"/>
      <c r="B69" s="12" t="str">
        <f>CONCATENATE("          ","6237"," - ","JANITORIAL SUPPLIES")</f>
        <v xml:space="preserve">          6237 - JANITORIAL SUPPLIES</v>
      </c>
      <c r="C69" s="12"/>
      <c r="D69" s="8">
        <v>3703.4</v>
      </c>
      <c r="E69" s="3"/>
      <c r="F69" s="7">
        <f t="shared" si="8"/>
        <v>6.6408906719389246E-3</v>
      </c>
      <c r="G69" s="3"/>
      <c r="H69" s="8"/>
      <c r="I69" s="3"/>
      <c r="J69" s="7">
        <f t="shared" si="9"/>
        <v>0</v>
      </c>
      <c r="K69" s="3"/>
      <c r="L69" s="8">
        <f t="shared" si="10"/>
        <v>3703.4</v>
      </c>
      <c r="M69" s="3"/>
      <c r="N69" s="7">
        <f t="shared" si="11"/>
        <v>0</v>
      </c>
      <c r="O69" s="12"/>
      <c r="P69" s="8">
        <v>14415.5</v>
      </c>
      <c r="Q69" s="3"/>
      <c r="R69" s="7">
        <f t="shared" si="12"/>
        <v>3.8916392902105636E-3</v>
      </c>
      <c r="S69" s="3"/>
      <c r="T69" s="8">
        <v>4689.93</v>
      </c>
      <c r="U69" s="3"/>
      <c r="V69" s="7">
        <f t="shared" si="13"/>
        <v>0.19837348235676294</v>
      </c>
      <c r="W69" s="3"/>
      <c r="X69" s="8">
        <f t="shared" si="14"/>
        <v>9725.57</v>
      </c>
      <c r="Y69" s="3"/>
      <c r="Z69" s="7">
        <f t="shared" si="15"/>
        <v>2.07371325371594</v>
      </c>
    </row>
    <row r="70" spans="1:26" s="69" customFormat="1" ht="15" hidden="1" customHeight="1" outlineLevel="2" x14ac:dyDescent="0.3">
      <c r="A70" s="26"/>
      <c r="B70" s="12" t="str">
        <f>CONCATENATE("          ","6239"," - ","KITCHEN SUPPLIES")</f>
        <v xml:space="preserve">          6239 - KITCHEN SUPPLIES</v>
      </c>
      <c r="C70" s="12"/>
      <c r="D70" s="8">
        <v>4375.37</v>
      </c>
      <c r="E70" s="3"/>
      <c r="F70" s="7">
        <f t="shared" si="8"/>
        <v>7.8458588916350946E-3</v>
      </c>
      <c r="G70" s="3"/>
      <c r="H70" s="8"/>
      <c r="I70" s="3"/>
      <c r="J70" s="7">
        <f t="shared" si="9"/>
        <v>0</v>
      </c>
      <c r="K70" s="3"/>
      <c r="L70" s="8">
        <f t="shared" si="10"/>
        <v>4375.37</v>
      </c>
      <c r="M70" s="3"/>
      <c r="N70" s="7">
        <f t="shared" si="11"/>
        <v>0</v>
      </c>
      <c r="O70" s="12"/>
      <c r="P70" s="8">
        <v>13276.75</v>
      </c>
      <c r="Q70" s="3"/>
      <c r="R70" s="7">
        <f t="shared" si="12"/>
        <v>3.5842198984636746E-3</v>
      </c>
      <c r="S70" s="3"/>
      <c r="T70" s="8">
        <v>1031.07</v>
      </c>
      <c r="U70" s="3"/>
      <c r="V70" s="7">
        <f t="shared" si="13"/>
        <v>4.3611940146993135E-2</v>
      </c>
      <c r="W70" s="3"/>
      <c r="X70" s="8">
        <f t="shared" si="14"/>
        <v>12245.68</v>
      </c>
      <c r="Y70" s="3"/>
      <c r="Z70" s="7">
        <f t="shared" si="15"/>
        <v>11.876671806957821</v>
      </c>
    </row>
    <row r="71" spans="1:26" s="69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4254.41</v>
      </c>
      <c r="Q71" s="3"/>
      <c r="R71" s="7">
        <f t="shared" si="12"/>
        <v>1.1485296460521468E-3</v>
      </c>
      <c r="S71" s="3"/>
      <c r="T71" s="8">
        <v>19.7</v>
      </c>
      <c r="U71" s="3"/>
      <c r="V71" s="7">
        <f t="shared" si="13"/>
        <v>8.3326565693480064E-4</v>
      </c>
      <c r="W71" s="3"/>
      <c r="X71" s="8">
        <f t="shared" si="14"/>
        <v>4234.71</v>
      </c>
      <c r="Y71" s="3"/>
      <c r="Z71" s="7">
        <f t="shared" si="15"/>
        <v>214.95989847715737</v>
      </c>
    </row>
    <row r="72" spans="1:26" s="69" customFormat="1" ht="15" hidden="1" customHeight="1" outlineLevel="2" x14ac:dyDescent="0.3">
      <c r="A72" s="26"/>
      <c r="B72" s="12" t="str">
        <f>CONCATENATE("          ","6243"," - ","PAPER SUPPLIES")</f>
        <v xml:space="preserve">          6243 - PAPER SUPPLIES</v>
      </c>
      <c r="C72" s="12"/>
      <c r="D72" s="8">
        <v>5449.59</v>
      </c>
      <c r="E72" s="3"/>
      <c r="F72" s="7">
        <f t="shared" si="8"/>
        <v>9.7721367923777197E-3</v>
      </c>
      <c r="G72" s="3"/>
      <c r="H72" s="8"/>
      <c r="I72" s="3"/>
      <c r="J72" s="7">
        <f t="shared" si="9"/>
        <v>0</v>
      </c>
      <c r="K72" s="3"/>
      <c r="L72" s="8">
        <f t="shared" si="10"/>
        <v>5449.59</v>
      </c>
      <c r="M72" s="3"/>
      <c r="N72" s="7">
        <f t="shared" si="11"/>
        <v>0</v>
      </c>
      <c r="O72" s="12"/>
      <c r="P72" s="8">
        <v>43508.98</v>
      </c>
      <c r="Q72" s="3"/>
      <c r="R72" s="7">
        <f t="shared" si="12"/>
        <v>1.1745777534250329E-2</v>
      </c>
      <c r="S72" s="3"/>
      <c r="T72" s="8">
        <v>3009.55</v>
      </c>
      <c r="U72" s="3"/>
      <c r="V72" s="7">
        <f t="shared" si="13"/>
        <v>0.12729719075269691</v>
      </c>
      <c r="W72" s="3"/>
      <c r="X72" s="8">
        <f t="shared" si="14"/>
        <v>40499.43</v>
      </c>
      <c r="Y72" s="3"/>
      <c r="Z72" s="7">
        <f t="shared" si="15"/>
        <v>13.456971972554035</v>
      </c>
    </row>
    <row r="73" spans="1:26" s="69" customFormat="1" ht="15" hidden="1" customHeight="1" outlineLevel="2" x14ac:dyDescent="0.3">
      <c r="A73" s="26"/>
      <c r="B73" s="12" t="str">
        <f>CONCATENATE("          ","6247"," - ","STORE SUPPLIES")</f>
        <v xml:space="preserve">          6247 - STORE SUPPLIES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581.41999999999996</v>
      </c>
      <c r="Q73" s="3"/>
      <c r="R73" s="7">
        <f t="shared" si="12"/>
        <v>1.5696138990074752E-4</v>
      </c>
      <c r="S73" s="3"/>
      <c r="T73" s="8"/>
      <c r="U73" s="3"/>
      <c r="V73" s="7">
        <f t="shared" si="13"/>
        <v>0</v>
      </c>
      <c r="W73" s="3"/>
      <c r="X73" s="8">
        <f t="shared" si="14"/>
        <v>581.41999999999996</v>
      </c>
      <c r="Y73" s="3"/>
      <c r="Z73" s="7">
        <f t="shared" si="15"/>
        <v>0</v>
      </c>
    </row>
    <row r="74" spans="1:26" s="69" customFormat="1" ht="15" hidden="1" customHeight="1" outlineLevel="2" x14ac:dyDescent="0.3">
      <c r="A74" s="26"/>
      <c r="B74" s="12" t="str">
        <f>CONCATENATE("          ","6248"," - ","UNIFORMS")</f>
        <v xml:space="preserve">          6248 - UNIFORMS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1870.4</v>
      </c>
      <c r="Q74" s="3"/>
      <c r="R74" s="7">
        <f t="shared" si="12"/>
        <v>5.0493719457596602E-4</v>
      </c>
      <c r="S74" s="3"/>
      <c r="T74" s="8"/>
      <c r="U74" s="3"/>
      <c r="V74" s="7">
        <f t="shared" si="13"/>
        <v>0</v>
      </c>
      <c r="W74" s="3"/>
      <c r="X74" s="8">
        <f t="shared" si="14"/>
        <v>1870.4</v>
      </c>
      <c r="Y74" s="3"/>
      <c r="Z74" s="7">
        <f t="shared" si="15"/>
        <v>0</v>
      </c>
    </row>
    <row r="75" spans="1:26" s="68" customFormat="1" ht="15" customHeight="1" outlineLevel="1" collapsed="1" x14ac:dyDescent="0.3">
      <c r="A75" s="25"/>
      <c r="B75" s="14" t="str">
        <f>CONCATENATE("     ","Telephone/Data Lines                              ")</f>
        <v xml:space="preserve">     Telephone/Data Lines                              </v>
      </c>
      <c r="C75" s="14"/>
      <c r="D75" s="2">
        <f>SUM(OSRRefD22_14x_0)</f>
        <v>239</v>
      </c>
      <c r="E75" s="2"/>
      <c r="F75" s="6">
        <f t="shared" si="8"/>
        <v>4.2857181794929064E-4</v>
      </c>
      <c r="G75" s="2"/>
      <c r="H75" s="2">
        <f>SUM(OSRRefH22_14x_0)</f>
        <v>89</v>
      </c>
      <c r="I75" s="2"/>
      <c r="J75" s="6">
        <f t="shared" si="9"/>
        <v>0</v>
      </c>
      <c r="K75" s="2"/>
      <c r="L75" s="2">
        <f t="shared" si="10"/>
        <v>150</v>
      </c>
      <c r="M75" s="2"/>
      <c r="N75" s="6">
        <f t="shared" si="11"/>
        <v>1.6853932584269662</v>
      </c>
      <c r="O75" s="14"/>
      <c r="P75" s="2">
        <f>SUM(OSRRefP22_14x_0)</f>
        <v>2015</v>
      </c>
      <c r="Q75" s="2"/>
      <c r="R75" s="6">
        <f t="shared" si="12"/>
        <v>5.4397372063225591E-4</v>
      </c>
      <c r="S75" s="2"/>
      <c r="T75" s="2">
        <f>SUM(OSRRefT22_14x_0)</f>
        <v>1276</v>
      </c>
      <c r="U75" s="2"/>
      <c r="V75" s="6">
        <f t="shared" si="13"/>
        <v>5.3971927829888612E-2</v>
      </c>
      <c r="W75" s="2"/>
      <c r="X75" s="2">
        <f t="shared" si="14"/>
        <v>739</v>
      </c>
      <c r="Y75" s="2"/>
      <c r="Z75" s="6">
        <f t="shared" si="15"/>
        <v>0.57915360501567403</v>
      </c>
    </row>
    <row r="76" spans="1:26" s="69" customFormat="1" ht="15" hidden="1" customHeight="1" outlineLevel="2" x14ac:dyDescent="0.3">
      <c r="A76" s="26"/>
      <c r="B76" s="12" t="str">
        <f>CONCATENATE("          ","6309"," - ","TELEPHONE")</f>
        <v xml:space="preserve">          6309 - TELEPHONE</v>
      </c>
      <c r="C76" s="12"/>
      <c r="D76" s="8">
        <v>239</v>
      </c>
      <c r="E76" s="3"/>
      <c r="F76" s="7">
        <f t="shared" si="8"/>
        <v>4.2857181794929064E-4</v>
      </c>
      <c r="G76" s="3"/>
      <c r="H76" s="8">
        <v>89</v>
      </c>
      <c r="I76" s="3"/>
      <c r="J76" s="7">
        <f t="shared" si="9"/>
        <v>0</v>
      </c>
      <c r="K76" s="3"/>
      <c r="L76" s="8">
        <f t="shared" si="10"/>
        <v>150</v>
      </c>
      <c r="M76" s="3"/>
      <c r="N76" s="7">
        <f t="shared" si="11"/>
        <v>1.6853932584269662</v>
      </c>
      <c r="O76" s="12"/>
      <c r="P76" s="8">
        <v>2015</v>
      </c>
      <c r="Q76" s="3"/>
      <c r="R76" s="7">
        <f t="shared" si="12"/>
        <v>5.4397372063225591E-4</v>
      </c>
      <c r="S76" s="3"/>
      <c r="T76" s="8">
        <v>1276</v>
      </c>
      <c r="U76" s="3"/>
      <c r="V76" s="7">
        <f t="shared" si="13"/>
        <v>5.3971927829888612E-2</v>
      </c>
      <c r="W76" s="3"/>
      <c r="X76" s="8">
        <f t="shared" si="14"/>
        <v>739</v>
      </c>
      <c r="Y76" s="3"/>
      <c r="Z76" s="7">
        <f t="shared" si="15"/>
        <v>0.57915360501567403</v>
      </c>
    </row>
    <row r="77" spans="1:26" s="68" customFormat="1" ht="15" customHeight="1" outlineLevel="1" collapsed="1" x14ac:dyDescent="0.3">
      <c r="A77" s="25"/>
      <c r="B77" s="14" t="str">
        <f>CONCATENATE("     ","Training                                          ")</f>
        <v xml:space="preserve">     Training                                          </v>
      </c>
      <c r="C77" s="14"/>
      <c r="D77" s="2">
        <f>SUM(OSRRefD22_15x_0)</f>
        <v>312</v>
      </c>
      <c r="E77" s="2"/>
      <c r="F77" s="6">
        <f t="shared" si="8"/>
        <v>5.5947450711371833E-4</v>
      </c>
      <c r="G77" s="2"/>
      <c r="H77" s="2">
        <f>SUM(OSRRefH22_15x_0)</f>
        <v>0</v>
      </c>
      <c r="I77" s="2"/>
      <c r="J77" s="6">
        <f t="shared" si="9"/>
        <v>0</v>
      </c>
      <c r="K77" s="2"/>
      <c r="L77" s="2">
        <f t="shared" si="10"/>
        <v>312</v>
      </c>
      <c r="M77" s="2"/>
      <c r="N77" s="6">
        <f t="shared" si="11"/>
        <v>0</v>
      </c>
      <c r="O77" s="14"/>
      <c r="P77" s="2">
        <f>SUM(OSRRefP22_15x_0)</f>
        <v>312</v>
      </c>
      <c r="Q77" s="2"/>
      <c r="R77" s="6">
        <f t="shared" si="12"/>
        <v>8.4228189001123502E-5</v>
      </c>
      <c r="S77" s="2"/>
      <c r="T77" s="2">
        <f>SUM(OSRRefT22_15x_0)</f>
        <v>0</v>
      </c>
      <c r="U77" s="2"/>
      <c r="V77" s="6">
        <f t="shared" si="13"/>
        <v>0</v>
      </c>
      <c r="W77" s="2"/>
      <c r="X77" s="2">
        <f t="shared" si="14"/>
        <v>312</v>
      </c>
      <c r="Y77" s="2"/>
      <c r="Z77" s="6">
        <f t="shared" si="15"/>
        <v>0</v>
      </c>
    </row>
    <row r="78" spans="1:26" s="69" customFormat="1" ht="15" hidden="1" customHeight="1" outlineLevel="2" x14ac:dyDescent="0.3">
      <c r="A78" s="26"/>
      <c r="B78" s="12" t="str">
        <f>CONCATENATE("          ","6376"," - ","TRAINING")</f>
        <v xml:space="preserve">          6376 - TRAINING</v>
      </c>
      <c r="C78" s="12"/>
      <c r="D78" s="8">
        <v>312</v>
      </c>
      <c r="E78" s="3"/>
      <c r="F78" s="7">
        <f t="shared" si="8"/>
        <v>5.5947450711371833E-4</v>
      </c>
      <c r="G78" s="3"/>
      <c r="H78" s="8"/>
      <c r="I78" s="3"/>
      <c r="J78" s="7">
        <f t="shared" si="9"/>
        <v>0</v>
      </c>
      <c r="K78" s="3"/>
      <c r="L78" s="8">
        <f t="shared" si="10"/>
        <v>312</v>
      </c>
      <c r="M78" s="3"/>
      <c r="N78" s="7">
        <f t="shared" si="11"/>
        <v>0</v>
      </c>
      <c r="O78" s="12"/>
      <c r="P78" s="8">
        <v>312</v>
      </c>
      <c r="Q78" s="3"/>
      <c r="R78" s="7">
        <f t="shared" si="12"/>
        <v>8.4228189001123502E-5</v>
      </c>
      <c r="S78" s="3"/>
      <c r="T78" s="8"/>
      <c r="U78" s="3"/>
      <c r="V78" s="7">
        <f t="shared" si="13"/>
        <v>0</v>
      </c>
      <c r="W78" s="3"/>
      <c r="X78" s="8">
        <f t="shared" si="14"/>
        <v>312</v>
      </c>
      <c r="Y78" s="3"/>
      <c r="Z78" s="7">
        <f t="shared" si="15"/>
        <v>0</v>
      </c>
    </row>
    <row r="79" spans="1:26" s="64" customFormat="1" ht="15" customHeight="1" x14ac:dyDescent="0.3">
      <c r="A79" s="36"/>
      <c r="B79" s="36"/>
      <c r="C79" s="36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3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62" customFormat="1" ht="15" customHeight="1" x14ac:dyDescent="0.3">
      <c r="A80" s="11"/>
      <c r="B80" s="27" t="s">
        <v>290</v>
      </c>
      <c r="C80" s="11"/>
      <c r="D80" s="5">
        <f>SUM(0)</f>
        <v>0</v>
      </c>
      <c r="E80" s="5"/>
      <c r="F80" s="13">
        <f>IF(D$12=0,0,D80/D$12)</f>
        <v>0</v>
      </c>
      <c r="G80" s="5"/>
      <c r="H80" s="5">
        <f>SUM(0)</f>
        <v>0</v>
      </c>
      <c r="I80" s="5"/>
      <c r="J80" s="13">
        <f>IF(H$12=0,0,H80/H$12)</f>
        <v>0</v>
      </c>
      <c r="K80" s="5"/>
      <c r="L80" s="5">
        <f>+D80-H80</f>
        <v>0</v>
      </c>
      <c r="M80" s="5"/>
      <c r="N80" s="13">
        <f>IF(H80=0,0,L80/H80)</f>
        <v>0</v>
      </c>
      <c r="O80" s="11"/>
      <c r="P80" s="5">
        <f>SUM(0)</f>
        <v>0</v>
      </c>
      <c r="Q80" s="5"/>
      <c r="R80" s="13">
        <f>IF(P$12=0,0,P80/P$12)</f>
        <v>0</v>
      </c>
      <c r="S80" s="5"/>
      <c r="T80" s="5">
        <f>SUM(0)</f>
        <v>0</v>
      </c>
      <c r="U80" s="5"/>
      <c r="V80" s="13">
        <f>IF(T$12=0,0,T80/T$12)</f>
        <v>0</v>
      </c>
      <c r="W80" s="5"/>
      <c r="X80" s="5">
        <f>+P80-T80</f>
        <v>0</v>
      </c>
      <c r="Y80" s="5"/>
      <c r="Z80" s="13">
        <f>IF(T80=0,0,X80/T80)</f>
        <v>0</v>
      </c>
    </row>
    <row r="81" spans="1:26" ht="15" customHeight="1" x14ac:dyDescent="0.3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2" customFormat="1" ht="15" customHeight="1" x14ac:dyDescent="0.3">
      <c r="A82" s="11"/>
      <c r="B82" s="28" t="s">
        <v>291</v>
      </c>
      <c r="C82" s="28"/>
      <c r="D82" s="21">
        <f>+D21-D23+D80</f>
        <v>234410.82000000007</v>
      </c>
      <c r="E82" s="15"/>
      <c r="F82" s="23">
        <f>IF(D$12=0,0,D82/D$12)</f>
        <v>0.42034255763340572</v>
      </c>
      <c r="G82" s="15"/>
      <c r="H82" s="21">
        <f>+H21-H23+H80</f>
        <v>-52820.52</v>
      </c>
      <c r="I82" s="15"/>
      <c r="J82" s="23">
        <f>IF(H$12=0,0,H82/H$12)</f>
        <v>0</v>
      </c>
      <c r="K82" s="16"/>
      <c r="L82" s="21">
        <f>+D82-H82</f>
        <v>287231.34000000008</v>
      </c>
      <c r="M82" s="16"/>
      <c r="N82" s="23">
        <f>IF(H82=0,0,L82/H82)</f>
        <v>-5.4378741443666234</v>
      </c>
      <c r="O82" s="27"/>
      <c r="P82" s="21">
        <f>+P21-P23+P80</f>
        <v>1337477.0899999999</v>
      </c>
      <c r="Q82" s="15"/>
      <c r="R82" s="23">
        <f>IF(P$12=0,0,P82/P$12)</f>
        <v>0.36106818308074567</v>
      </c>
      <c r="S82" s="15"/>
      <c r="T82" s="21">
        <f>+T21-T23+T80</f>
        <v>-516862.00999999995</v>
      </c>
      <c r="U82" s="15"/>
      <c r="V82" s="23">
        <f>IF(T$12=0,0,T82/T$12)</f>
        <v>-21.86209960950718</v>
      </c>
      <c r="W82" s="16"/>
      <c r="X82" s="21">
        <f>+P82-T82</f>
        <v>1854339.0999999999</v>
      </c>
      <c r="Y82" s="16"/>
      <c r="Z82" s="23">
        <f>IF(T82=0,0,X82/T82)</f>
        <v>-3.5876869727763507</v>
      </c>
    </row>
    <row r="83" spans="1:26" ht="15" customHeight="1" x14ac:dyDescent="0.3">
      <c r="A83" s="10"/>
      <c r="B83" s="11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2" customFormat="1" ht="15" customHeight="1" x14ac:dyDescent="0.3">
      <c r="A84" s="48"/>
      <c r="B84" s="11" t="s">
        <v>292</v>
      </c>
      <c r="C84" s="11"/>
      <c r="D84" s="5">
        <v>44094.91</v>
      </c>
      <c r="E84" s="5"/>
      <c r="F84" s="13">
        <f>IF(D$12=0,0,D84/D$12)</f>
        <v>7.907044243100568E-2</v>
      </c>
      <c r="G84" s="5"/>
      <c r="H84" s="5">
        <v>73.59</v>
      </c>
      <c r="I84" s="5"/>
      <c r="J84" s="13">
        <f>IF(H$12=0,0,H84/H$12)</f>
        <v>0</v>
      </c>
      <c r="K84" s="5"/>
      <c r="L84" s="5">
        <f>+D84-H84</f>
        <v>44021.320000000007</v>
      </c>
      <c r="M84" s="5"/>
      <c r="N84" s="13">
        <f>IF(H84=0,0,L84/H84)</f>
        <v>598.19703764098392</v>
      </c>
      <c r="O84" s="11"/>
      <c r="P84" s="5">
        <v>419628.76</v>
      </c>
      <c r="Q84" s="5"/>
      <c r="R84" s="13">
        <f>IF(P$12=0,0,P84/P$12)</f>
        <v>0.11328387983200991</v>
      </c>
      <c r="S84" s="5"/>
      <c r="T84" s="5">
        <v>4945.99</v>
      </c>
      <c r="U84" s="5"/>
      <c r="V84" s="13">
        <f>IF(T$12=0,0,T84/T$12)</f>
        <v>0.209204243986952</v>
      </c>
      <c r="W84" s="5"/>
      <c r="X84" s="5">
        <f>+P84-T84</f>
        <v>414682.77</v>
      </c>
      <c r="Y84" s="5"/>
      <c r="Z84" s="13">
        <f>IF(T84=0,0,X84/T84)</f>
        <v>83.842217634892108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2" customFormat="1" ht="15" customHeight="1" x14ac:dyDescent="0.3">
      <c r="A86" s="11"/>
      <c r="B86" s="28" t="s">
        <v>293</v>
      </c>
      <c r="C86" s="28"/>
      <c r="D86" s="34">
        <f>+D82-D84</f>
        <v>190315.91000000006</v>
      </c>
      <c r="E86" s="15"/>
      <c r="F86" s="30">
        <f>IF(D$12=0,0,D86/D$12)</f>
        <v>0.34127211520240003</v>
      </c>
      <c r="G86" s="15"/>
      <c r="H86" s="34">
        <f>+H82-H84</f>
        <v>-52894.109999999993</v>
      </c>
      <c r="I86" s="15"/>
      <c r="J86" s="30">
        <f>IF(H$12=0,0,H86/H$12)</f>
        <v>0</v>
      </c>
      <c r="K86" s="16"/>
      <c r="L86" s="34">
        <f>D86-H86</f>
        <v>243210.02000000005</v>
      </c>
      <c r="M86" s="16"/>
      <c r="N86" s="30">
        <f>IF(H86=0,0,L86/H86)</f>
        <v>-4.5980548684910305</v>
      </c>
      <c r="O86" s="27"/>
      <c r="P86" s="34">
        <f>+P82-P84</f>
        <v>917848.32999999984</v>
      </c>
      <c r="Q86" s="15"/>
      <c r="R86" s="30">
        <f>IF(P$12=0,0,P86/P$12)</f>
        <v>0.24778430324873577</v>
      </c>
      <c r="S86" s="15"/>
      <c r="T86" s="34">
        <f>+T82-T84</f>
        <v>-521807.99999999994</v>
      </c>
      <c r="U86" s="15"/>
      <c r="V86" s="30">
        <f>IF(T$12=0,0,T86/T$12)</f>
        <v>-22.071303853494133</v>
      </c>
      <c r="W86" s="16"/>
      <c r="X86" s="34">
        <f>P86-T86</f>
        <v>1439656.3299999998</v>
      </c>
      <c r="Y86" s="16"/>
      <c r="Z86" s="30">
        <f>IF(T86=0,0,X86/T86)</f>
        <v>-2.7589771141875938</v>
      </c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ht="15" customHeight="1" x14ac:dyDescent="0.3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11"/>
      <c r="B89" s="28" t="s">
        <v>296</v>
      </c>
      <c r="C89" s="28"/>
      <c r="D89" s="29">
        <f>SUM(D86:D88)</f>
        <v>190315.91000000006</v>
      </c>
      <c r="E89" s="15"/>
      <c r="F89" s="35">
        <f>IF(D$12=0,0,D89/D$12)</f>
        <v>0.34127211520240003</v>
      </c>
      <c r="G89" s="15"/>
      <c r="H89" s="29">
        <f>SUM(H86:H88)</f>
        <v>-52894.109999999993</v>
      </c>
      <c r="I89" s="15"/>
      <c r="J89" s="35">
        <f>IF(H$12=0,0,H89/H$12)</f>
        <v>0</v>
      </c>
      <c r="K89" s="16"/>
      <c r="L89" s="29">
        <f>+D89-H89</f>
        <v>243210.02000000005</v>
      </c>
      <c r="M89" s="16"/>
      <c r="N89" s="35">
        <f>IF(H89=0,0,L89/H89)</f>
        <v>-4.5980548684910305</v>
      </c>
      <c r="O89" s="27"/>
      <c r="P89" s="29">
        <f>SUM(P86:P88)</f>
        <v>917848.32999999984</v>
      </c>
      <c r="Q89" s="15"/>
      <c r="R89" s="35">
        <f>IF(P$12=0,0,P89/P$12)</f>
        <v>0.24778430324873577</v>
      </c>
      <c r="S89" s="15"/>
      <c r="T89" s="29">
        <f>SUM(T86:T88)</f>
        <v>-521807.99999999994</v>
      </c>
      <c r="U89" s="15"/>
      <c r="V89" s="35">
        <f>IF(T$12=0,0,T89/T$12)</f>
        <v>-22.071303853494133</v>
      </c>
      <c r="W89" s="16"/>
      <c r="X89" s="29">
        <f>+P89-T89</f>
        <v>1439656.3299999998</v>
      </c>
      <c r="Y89" s="16"/>
      <c r="Z89" s="35">
        <f>IF(T89=0,0,X89/T89)</f>
        <v>-2.7589771141875938</v>
      </c>
    </row>
    <row r="90" spans="1:26" ht="15" customHeight="1" x14ac:dyDescent="0.3">
      <c r="A90" s="10"/>
      <c r="C90" s="10"/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  <row r="91" spans="1:26" ht="15" customHeight="1" x14ac:dyDescent="0.3">
      <c r="A91" s="10"/>
      <c r="B91" s="56">
        <v>44694.890829479169</v>
      </c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3">
      <c r="A92" s="10"/>
      <c r="B92" s="52" t="s">
        <v>297</v>
      </c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3">
      <c r="A93" s="10"/>
      <c r="B93" s="58"/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3"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8F5CB-8911-1DA6-B575-C895820EE41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299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22B4D-A253-D9A9-CE4D-E69F2C48F05F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","435"," - ","Ground Floor Coffee House")</f>
        <v>Department 435 - Ground Floor Coffee House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3069.44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3069.44</v>
      </c>
      <c r="M12" s="5"/>
      <c r="N12" s="13">
        <f>IF(H12=0,0,L12/H12)</f>
        <v>0</v>
      </c>
      <c r="O12" s="11"/>
      <c r="P12" s="5">
        <f>SUM(OSRRefP13x_0)</f>
        <v>5355.42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5355.42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--1014.83</f>
        <v>1014.83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1014.83</v>
      </c>
      <c r="M13" s="3"/>
      <c r="N13" s="20">
        <f>IF(H13=0,0,L13/H13)</f>
        <v>0</v>
      </c>
      <c r="O13" s="12"/>
      <c r="P13" s="3">
        <f>--1556.1</f>
        <v>1556.1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1556.1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--2054.61</f>
        <v>2054.61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2054.61</v>
      </c>
      <c r="M14" s="3"/>
      <c r="N14" s="20">
        <f>IF(H14=0,0,L14/H14)</f>
        <v>0</v>
      </c>
      <c r="O14" s="12"/>
      <c r="P14" s="3">
        <f>--3799.32</f>
        <v>3799.32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3799.32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2" customFormat="1" ht="15" customHeight="1" collapsed="1" x14ac:dyDescent="0.3">
      <c r="A16" s="11"/>
      <c r="B16" s="27" t="s">
        <v>287</v>
      </c>
      <c r="C16" s="11"/>
      <c r="D16" s="5">
        <f>SUM(OSRRefD16x_0)</f>
        <v>1232.01</v>
      </c>
      <c r="E16" s="5"/>
      <c r="F16" s="13">
        <f>IF(D$12=0,0,D16/D$12)</f>
        <v>0.40137940471226019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1232.01</v>
      </c>
      <c r="M16" s="5"/>
      <c r="N16" s="13">
        <f>IF(H16=0,0,L16/H16)</f>
        <v>0</v>
      </c>
      <c r="O16" s="11"/>
      <c r="P16" s="5">
        <f>SUM(OSRRefP16x_0)</f>
        <v>1232.01</v>
      </c>
      <c r="Q16" s="5"/>
      <c r="R16" s="13">
        <f>IF(P$12=0,0,P16/P$12)</f>
        <v>0.23004918381751571</v>
      </c>
      <c r="S16" s="5"/>
      <c r="T16" s="5">
        <f>SUM(OSRRefT16x_0)</f>
        <v>0</v>
      </c>
      <c r="U16" s="5"/>
      <c r="V16" s="13">
        <f>IF(T$12=0,0,T16/T$12)</f>
        <v>0</v>
      </c>
      <c r="W16" s="5"/>
      <c r="X16" s="5">
        <f>+P16-T16</f>
        <v>1232.01</v>
      </c>
      <c r="Y16" s="5"/>
      <c r="Z16" s="13">
        <f>IF(T16=0,0,X16/T16)</f>
        <v>0</v>
      </c>
    </row>
    <row r="17" spans="1:26" s="69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1232.01</v>
      </c>
      <c r="E17" s="3"/>
      <c r="F17" s="20">
        <f>IF(D$12=0,0,D17/D$12)</f>
        <v>0.40137940471226019</v>
      </c>
      <c r="G17" s="3"/>
      <c r="H17" s="3"/>
      <c r="I17" s="3"/>
      <c r="J17" s="20">
        <f>IF(H$12=0,0,H17/H$12)</f>
        <v>0</v>
      </c>
      <c r="K17" s="3"/>
      <c r="L17" s="3">
        <f>+D17-H17</f>
        <v>1232.01</v>
      </c>
      <c r="M17" s="3"/>
      <c r="N17" s="20">
        <f>IF(H17=0,0,L17/H17)</f>
        <v>0</v>
      </c>
      <c r="O17" s="12"/>
      <c r="P17" s="3">
        <v>1232.01</v>
      </c>
      <c r="Q17" s="3"/>
      <c r="R17" s="20">
        <f>IF(P$12=0,0,P17/P$12)</f>
        <v>0.23004918381751571</v>
      </c>
      <c r="S17" s="3"/>
      <c r="T17" s="3"/>
      <c r="U17" s="3"/>
      <c r="V17" s="20">
        <f>IF(T$12=0,0,T17/T$12)</f>
        <v>0</v>
      </c>
      <c r="W17" s="3"/>
      <c r="X17" s="3">
        <f>+P17-T17</f>
        <v>1232.01</v>
      </c>
      <c r="Y17" s="3"/>
      <c r="Z17" s="20">
        <f>IF(T17=0,0,X17/T17)</f>
        <v>0</v>
      </c>
    </row>
    <row r="18" spans="1:26" ht="15" customHeight="1" x14ac:dyDescent="0.3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2" customFormat="1" ht="15" customHeight="1" x14ac:dyDescent="0.3">
      <c r="A19" s="11"/>
      <c r="B19" s="28" t="s">
        <v>288</v>
      </c>
      <c r="C19" s="28"/>
      <c r="D19" s="21">
        <f>D12-D16</f>
        <v>1837.43</v>
      </c>
      <c r="E19" s="15"/>
      <c r="F19" s="23">
        <f>IF(D$12=0,0,D19/D$12)</f>
        <v>0.59862059528773981</v>
      </c>
      <c r="G19" s="15"/>
      <c r="H19" s="21">
        <f>H12-H16</f>
        <v>0</v>
      </c>
      <c r="I19" s="15"/>
      <c r="J19" s="23">
        <f>IF(H$12=0,0,H19/H$12)</f>
        <v>0</v>
      </c>
      <c r="K19" s="16"/>
      <c r="L19" s="21">
        <f>+D19-H19</f>
        <v>1837.43</v>
      </c>
      <c r="M19" s="16"/>
      <c r="N19" s="23">
        <f>IF(H19=0,0,L19/H19)</f>
        <v>0</v>
      </c>
      <c r="O19" s="27"/>
      <c r="P19" s="21">
        <f>P12-P16</f>
        <v>4123.41</v>
      </c>
      <c r="Q19" s="15"/>
      <c r="R19" s="23">
        <f>IF(P$12=0,0,P19/P$12)</f>
        <v>0.76995081618248429</v>
      </c>
      <c r="S19" s="15"/>
      <c r="T19" s="21">
        <f>T12-T16</f>
        <v>0</v>
      </c>
      <c r="U19" s="15"/>
      <c r="V19" s="23">
        <f>IF(T$12=0,0,T19/T$12)</f>
        <v>0</v>
      </c>
      <c r="W19" s="16"/>
      <c r="X19" s="21">
        <f>+P19-T19</f>
        <v>4123.41</v>
      </c>
      <c r="Y19" s="16"/>
      <c r="Z19" s="23">
        <f>IF(T19=0,0,X19/T19)</f>
        <v>0</v>
      </c>
    </row>
    <row r="20" spans="1:26" ht="15" customHeight="1" x14ac:dyDescent="0.3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6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2" customFormat="1" ht="15" customHeight="1" x14ac:dyDescent="0.3">
      <c r="A21" s="11"/>
      <c r="B21" s="27" t="s">
        <v>289</v>
      </c>
      <c r="C21" s="11"/>
      <c r="D21" s="22" cm="1">
        <f t="array" ref="D21">SUM(OSRRefD22x_0)</f>
        <v>3814.7700000000004</v>
      </c>
      <c r="E21" s="22"/>
      <c r="F21" s="32">
        <f t="shared" ref="F21:F34" si="0">IF(D$12=0,0,D21/D$12)</f>
        <v>1.2428227950375315</v>
      </c>
      <c r="G21" s="22"/>
      <c r="H21" s="22" cm="1">
        <f t="array" ref="H21">SUM(OSRRefH22x_0)</f>
        <v>0</v>
      </c>
      <c r="I21" s="22"/>
      <c r="J21" s="32">
        <f t="shared" ref="J21:J34" si="1">IF(H$12=0,0,H21/H$12)</f>
        <v>0</v>
      </c>
      <c r="K21" s="5"/>
      <c r="L21" s="22">
        <f t="shared" ref="L21:L34" si="2">+D21-H21</f>
        <v>3814.7700000000004</v>
      </c>
      <c r="M21" s="5"/>
      <c r="N21" s="32">
        <f t="shared" ref="N21:N34" si="3">IF(H21=0,0,L21/H21)</f>
        <v>0</v>
      </c>
      <c r="O21" s="11"/>
      <c r="P21" s="22" cm="1">
        <f t="array" ref="P21">SUM(OSRRefP22x_0)</f>
        <v>3815.0500000000006</v>
      </c>
      <c r="Q21" s="22"/>
      <c r="R21" s="32">
        <f t="shared" ref="R21:R34" si="4">IF(P$12=0,0,P21/P$12)</f>
        <v>0.71237176542642788</v>
      </c>
      <c r="S21" s="22"/>
      <c r="T21" s="22" cm="1">
        <f t="array" ref="T21">SUM(OSRRefT22x_0)</f>
        <v>178.69</v>
      </c>
      <c r="U21" s="22"/>
      <c r="V21" s="32">
        <f t="shared" ref="V21:V34" si="5">IF(T$12=0,0,T21/T$12)</f>
        <v>0</v>
      </c>
      <c r="W21" s="5"/>
      <c r="X21" s="22">
        <f t="shared" ref="X21:X34" si="6">+P21-T21</f>
        <v>3636.3600000000006</v>
      </c>
      <c r="Y21" s="5"/>
      <c r="Z21" s="32">
        <f t="shared" ref="Z21:Z34" si="7">IF(T21=0,0,X21/T21)</f>
        <v>20.35010353125525</v>
      </c>
    </row>
    <row r="22" spans="1:26" s="68" customFormat="1" ht="15" customHeight="1" outlineLevel="1" collapsed="1" x14ac:dyDescent="0.3">
      <c r="A22" s="25"/>
      <c r="B22" s="14" t="str">
        <f>CONCATENATE("     ","*Benefits                                         ")</f>
        <v xml:space="preserve">     *Benefits                                         </v>
      </c>
      <c r="C22" s="14"/>
      <c r="D22" s="2">
        <f>SUM(OSRRefD22_0x_0)</f>
        <v>57.4</v>
      </c>
      <c r="E22" s="2"/>
      <c r="F22" s="6">
        <f t="shared" si="0"/>
        <v>1.8700479566305255E-2</v>
      </c>
      <c r="G22" s="2"/>
      <c r="H22" s="2">
        <f>SUM(OSRRefH22_0x_0)</f>
        <v>0</v>
      </c>
      <c r="I22" s="2"/>
      <c r="J22" s="6">
        <f t="shared" si="1"/>
        <v>0</v>
      </c>
      <c r="K22" s="2"/>
      <c r="L22" s="2">
        <f t="shared" si="2"/>
        <v>57.4</v>
      </c>
      <c r="M22" s="2"/>
      <c r="N22" s="6">
        <f t="shared" si="3"/>
        <v>0</v>
      </c>
      <c r="O22" s="14"/>
      <c r="P22" s="2">
        <f>SUM(OSRRefP22_0x_0)</f>
        <v>57.4</v>
      </c>
      <c r="Q22" s="2"/>
      <c r="R22" s="6">
        <f t="shared" si="4"/>
        <v>1.0718113612004287E-2</v>
      </c>
      <c r="S22" s="2"/>
      <c r="T22" s="2">
        <f>SUM(OSRRefT22_0x_0)</f>
        <v>0</v>
      </c>
      <c r="U22" s="2"/>
      <c r="V22" s="6">
        <f t="shared" si="5"/>
        <v>0</v>
      </c>
      <c r="W22" s="2"/>
      <c r="X22" s="2">
        <f t="shared" si="6"/>
        <v>57.4</v>
      </c>
      <c r="Y22" s="2"/>
      <c r="Z22" s="6">
        <f t="shared" si="7"/>
        <v>0</v>
      </c>
    </row>
    <row r="23" spans="1:26" s="69" customFormat="1" ht="15" hidden="1" customHeight="1" outlineLevel="2" x14ac:dyDescent="0.3">
      <c r="A23" s="26"/>
      <c r="B23" s="12" t="str">
        <f>CONCATENATE("          ","6112"," - ","COMPENSATION INSURANCE")</f>
        <v xml:space="preserve">          6112 - COMPENSATION INSURANCE</v>
      </c>
      <c r="C23" s="12"/>
      <c r="D23" s="8">
        <v>53.53</v>
      </c>
      <c r="E23" s="3"/>
      <c r="F23" s="7">
        <f t="shared" si="0"/>
        <v>1.7439663261050876E-2</v>
      </c>
      <c r="G23" s="3"/>
      <c r="H23" s="8"/>
      <c r="I23" s="3"/>
      <c r="J23" s="7">
        <f t="shared" si="1"/>
        <v>0</v>
      </c>
      <c r="K23" s="3"/>
      <c r="L23" s="8">
        <f t="shared" si="2"/>
        <v>53.53</v>
      </c>
      <c r="M23" s="3"/>
      <c r="N23" s="7">
        <f t="shared" si="3"/>
        <v>0</v>
      </c>
      <c r="O23" s="12"/>
      <c r="P23" s="8">
        <v>53.53</v>
      </c>
      <c r="Q23" s="3"/>
      <c r="R23" s="7">
        <f t="shared" si="4"/>
        <v>9.995481213424905E-3</v>
      </c>
      <c r="S23" s="3"/>
      <c r="T23" s="8"/>
      <c r="U23" s="3"/>
      <c r="V23" s="7">
        <f t="shared" si="5"/>
        <v>0</v>
      </c>
      <c r="W23" s="3"/>
      <c r="X23" s="8">
        <f t="shared" si="6"/>
        <v>53.53</v>
      </c>
      <c r="Y23" s="3"/>
      <c r="Z23" s="7">
        <f t="shared" si="7"/>
        <v>0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3.87</v>
      </c>
      <c r="E24" s="3"/>
      <c r="F24" s="7">
        <f t="shared" si="0"/>
        <v>1.2608163052543787E-3</v>
      </c>
      <c r="G24" s="3"/>
      <c r="H24" s="8"/>
      <c r="I24" s="3"/>
      <c r="J24" s="7">
        <f t="shared" si="1"/>
        <v>0</v>
      </c>
      <c r="K24" s="3"/>
      <c r="L24" s="8">
        <f t="shared" si="2"/>
        <v>3.87</v>
      </c>
      <c r="M24" s="3"/>
      <c r="N24" s="7">
        <f t="shared" si="3"/>
        <v>0</v>
      </c>
      <c r="O24" s="12"/>
      <c r="P24" s="8">
        <v>3.87</v>
      </c>
      <c r="Q24" s="3"/>
      <c r="R24" s="7">
        <f t="shared" si="4"/>
        <v>7.2263239857938311E-4</v>
      </c>
      <c r="S24" s="3"/>
      <c r="T24" s="8"/>
      <c r="U24" s="3"/>
      <c r="V24" s="7">
        <f t="shared" si="5"/>
        <v>0</v>
      </c>
      <c r="W24" s="3"/>
      <c r="X24" s="8">
        <f t="shared" si="6"/>
        <v>3.87</v>
      </c>
      <c r="Y24" s="3"/>
      <c r="Z24" s="7">
        <f t="shared" si="7"/>
        <v>0</v>
      </c>
    </row>
    <row r="25" spans="1:26" s="68" customFormat="1" ht="15" customHeight="1" outlineLevel="1" collapsed="1" x14ac:dyDescent="0.3">
      <c r="A25" s="25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3227.07</v>
      </c>
      <c r="E25" s="2"/>
      <c r="F25" s="6">
        <f t="shared" si="0"/>
        <v>1.0513546444954129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3227.07</v>
      </c>
      <c r="M25" s="2"/>
      <c r="N25" s="6">
        <f t="shared" si="3"/>
        <v>0</v>
      </c>
      <c r="O25" s="14"/>
      <c r="P25" s="2">
        <f>SUM(OSRRefP22_1x_0)</f>
        <v>3227.07</v>
      </c>
      <c r="Q25" s="2"/>
      <c r="R25" s="6">
        <f t="shared" si="4"/>
        <v>0.60258018978903616</v>
      </c>
      <c r="S25" s="2"/>
      <c r="T25" s="2">
        <f>SUM(OSRRefT22_1x_0)</f>
        <v>0</v>
      </c>
      <c r="U25" s="2"/>
      <c r="V25" s="6">
        <f t="shared" si="5"/>
        <v>0</v>
      </c>
      <c r="W25" s="2"/>
      <c r="X25" s="2">
        <f t="shared" si="6"/>
        <v>3227.07</v>
      </c>
      <c r="Y25" s="2"/>
      <c r="Z25" s="6">
        <f t="shared" si="7"/>
        <v>0</v>
      </c>
    </row>
    <row r="26" spans="1:26" s="69" customFormat="1" ht="15" hidden="1" customHeight="1" outlineLevel="2" x14ac:dyDescent="0.3">
      <c r="A26" s="26"/>
      <c r="B26" s="12" t="str">
        <f>CONCATENATE("          ","6007"," - ","STUDENT HOURLY")</f>
        <v xml:space="preserve">          6007 - STUDENT HOURLY</v>
      </c>
      <c r="C26" s="12"/>
      <c r="D26" s="8">
        <v>3227.07</v>
      </c>
      <c r="E26" s="3"/>
      <c r="F26" s="7">
        <f t="shared" si="0"/>
        <v>1.0513546444954129</v>
      </c>
      <c r="G26" s="3"/>
      <c r="H26" s="8"/>
      <c r="I26" s="3"/>
      <c r="J26" s="7">
        <f t="shared" si="1"/>
        <v>0</v>
      </c>
      <c r="K26" s="3"/>
      <c r="L26" s="8">
        <f t="shared" si="2"/>
        <v>3227.07</v>
      </c>
      <c r="M26" s="3"/>
      <c r="N26" s="7">
        <f t="shared" si="3"/>
        <v>0</v>
      </c>
      <c r="O26" s="12"/>
      <c r="P26" s="8">
        <v>3227.07</v>
      </c>
      <c r="Q26" s="3"/>
      <c r="R26" s="7">
        <f t="shared" si="4"/>
        <v>0.60258018978903616</v>
      </c>
      <c r="S26" s="3"/>
      <c r="T26" s="8"/>
      <c r="U26" s="3"/>
      <c r="V26" s="7">
        <f t="shared" si="5"/>
        <v>0</v>
      </c>
      <c r="W26" s="3"/>
      <c r="X26" s="8">
        <f t="shared" si="6"/>
        <v>3227.07</v>
      </c>
      <c r="Y26" s="3"/>
      <c r="Z26" s="7">
        <f t="shared" si="7"/>
        <v>0</v>
      </c>
    </row>
    <row r="27" spans="1:26" s="68" customFormat="1" ht="15" customHeight="1" outlineLevel="1" collapsed="1" x14ac:dyDescent="0.3">
      <c r="A27" s="25"/>
      <c r="B27" s="14" t="str">
        <f>CONCATENATE("     ","Bad Debts/Over/Short                              ")</f>
        <v xml:space="preserve">     Bad Debts/Over/Short                              </v>
      </c>
      <c r="C27" s="14"/>
      <c r="D27" s="2">
        <f>SUM(OSRRefD22_2x_0)</f>
        <v>-0.1</v>
      </c>
      <c r="E27" s="2"/>
      <c r="F27" s="6">
        <f t="shared" si="0"/>
        <v>-3.2579232693911592E-5</v>
      </c>
      <c r="G27" s="2"/>
      <c r="H27" s="2">
        <f>SUM(OSRRefH22_2x_0)</f>
        <v>0</v>
      </c>
      <c r="I27" s="2"/>
      <c r="J27" s="6">
        <f t="shared" si="1"/>
        <v>0</v>
      </c>
      <c r="K27" s="2"/>
      <c r="L27" s="2">
        <f t="shared" si="2"/>
        <v>-0.1</v>
      </c>
      <c r="M27" s="2"/>
      <c r="N27" s="6">
        <f t="shared" si="3"/>
        <v>0</v>
      </c>
      <c r="O27" s="14"/>
      <c r="P27" s="2">
        <f>SUM(OSRRefP22_2x_0)</f>
        <v>-0.1</v>
      </c>
      <c r="Q27" s="2"/>
      <c r="R27" s="6">
        <f t="shared" si="4"/>
        <v>-1.8672671797916877E-5</v>
      </c>
      <c r="S27" s="2"/>
      <c r="T27" s="2">
        <f>SUM(OSRRefT22_2x_0)</f>
        <v>0</v>
      </c>
      <c r="U27" s="2"/>
      <c r="V27" s="6">
        <f t="shared" si="5"/>
        <v>0</v>
      </c>
      <c r="W27" s="2"/>
      <c r="X27" s="2">
        <f t="shared" si="6"/>
        <v>-0.1</v>
      </c>
      <c r="Y27" s="2"/>
      <c r="Z27" s="6">
        <f t="shared" si="7"/>
        <v>0</v>
      </c>
    </row>
    <row r="28" spans="1:26" s="69" customFormat="1" ht="15" hidden="1" customHeight="1" outlineLevel="2" x14ac:dyDescent="0.3">
      <c r="A28" s="26"/>
      <c r="B28" s="12" t="str">
        <f>CONCATENATE("          ","6272"," - ","CASH (OVER/SHORT)")</f>
        <v xml:space="preserve">          6272 - CASH (OVER/SHORT)</v>
      </c>
      <c r="C28" s="12"/>
      <c r="D28" s="8">
        <v>-0.1</v>
      </c>
      <c r="E28" s="3"/>
      <c r="F28" s="7">
        <f t="shared" si="0"/>
        <v>-3.2579232693911592E-5</v>
      </c>
      <c r="G28" s="3"/>
      <c r="H28" s="8"/>
      <c r="I28" s="3"/>
      <c r="J28" s="7">
        <f t="shared" si="1"/>
        <v>0</v>
      </c>
      <c r="K28" s="3"/>
      <c r="L28" s="8">
        <f t="shared" si="2"/>
        <v>-0.1</v>
      </c>
      <c r="M28" s="3"/>
      <c r="N28" s="7">
        <f t="shared" si="3"/>
        <v>0</v>
      </c>
      <c r="O28" s="12"/>
      <c r="P28" s="8">
        <v>-0.1</v>
      </c>
      <c r="Q28" s="3"/>
      <c r="R28" s="7">
        <f t="shared" si="4"/>
        <v>-1.8672671797916877E-5</v>
      </c>
      <c r="S28" s="3"/>
      <c r="T28" s="8"/>
      <c r="U28" s="3"/>
      <c r="V28" s="7">
        <f t="shared" si="5"/>
        <v>0</v>
      </c>
      <c r="W28" s="3"/>
      <c r="X28" s="8">
        <f t="shared" si="6"/>
        <v>-0.1</v>
      </c>
      <c r="Y28" s="3"/>
      <c r="Z28" s="7">
        <f t="shared" si="7"/>
        <v>0</v>
      </c>
    </row>
    <row r="29" spans="1:26" s="68" customFormat="1" ht="15" customHeight="1" outlineLevel="1" collapsed="1" x14ac:dyDescent="0.3">
      <c r="A29" s="25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0.28000000000000003</v>
      </c>
      <c r="Q29" s="2"/>
      <c r="R29" s="6">
        <f t="shared" si="4"/>
        <v>5.2283481034167259E-5</v>
      </c>
      <c r="S29" s="2"/>
      <c r="T29" s="2">
        <f>SUM(OSRRefT22_3x_0)</f>
        <v>0</v>
      </c>
      <c r="U29" s="2"/>
      <c r="V29" s="6">
        <f t="shared" si="5"/>
        <v>0</v>
      </c>
      <c r="W29" s="2"/>
      <c r="X29" s="2">
        <f t="shared" si="6"/>
        <v>0.28000000000000003</v>
      </c>
      <c r="Y29" s="2"/>
      <c r="Z29" s="6">
        <f t="shared" si="7"/>
        <v>0</v>
      </c>
    </row>
    <row r="30" spans="1:26" s="69" customFormat="1" ht="15" hidden="1" customHeight="1" outlineLevel="2" x14ac:dyDescent="0.3">
      <c r="A30" s="26"/>
      <c r="B30" s="12" t="str">
        <f>CONCATENATE("          ","6381"," - ","BANK/CREDIT CARD FEES")</f>
        <v xml:space="preserve">          6381 - BANK/CREDIT CARD FEES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>
        <v>0.28000000000000003</v>
      </c>
      <c r="Q30" s="3"/>
      <c r="R30" s="7">
        <f t="shared" si="4"/>
        <v>5.2283481034167259E-5</v>
      </c>
      <c r="S30" s="3"/>
      <c r="T30" s="8"/>
      <c r="U30" s="3"/>
      <c r="V30" s="7">
        <f t="shared" si="5"/>
        <v>0</v>
      </c>
      <c r="W30" s="3"/>
      <c r="X30" s="8">
        <f t="shared" si="6"/>
        <v>0.28000000000000003</v>
      </c>
      <c r="Y30" s="3"/>
      <c r="Z30" s="7">
        <f t="shared" si="7"/>
        <v>0</v>
      </c>
    </row>
    <row r="31" spans="1:26" s="68" customFormat="1" ht="15" customHeight="1" outlineLevel="1" collapsed="1" x14ac:dyDescent="0.3">
      <c r="A31" s="25"/>
      <c r="B31" s="14" t="str">
        <f>CONCATENATE("     ","General                                           ")</f>
        <v xml:space="preserve">     General                                           </v>
      </c>
      <c r="C31" s="14"/>
      <c r="D31" s="2">
        <f>SUM(OSRRefD22_4x_0)</f>
        <v>530.4</v>
      </c>
      <c r="E31" s="2"/>
      <c r="F31" s="6">
        <f t="shared" si="0"/>
        <v>0.17280025020850709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530.4</v>
      </c>
      <c r="M31" s="2"/>
      <c r="N31" s="6">
        <f t="shared" si="3"/>
        <v>0</v>
      </c>
      <c r="O31" s="14"/>
      <c r="P31" s="2">
        <f>SUM(OSRRefP22_4x_0)</f>
        <v>530.4</v>
      </c>
      <c r="Q31" s="2"/>
      <c r="R31" s="6">
        <f t="shared" si="4"/>
        <v>9.9039851216151109E-2</v>
      </c>
      <c r="S31" s="2"/>
      <c r="T31" s="2">
        <f>SUM(OSRRefT22_4x_0)</f>
        <v>0</v>
      </c>
      <c r="U31" s="2"/>
      <c r="V31" s="6">
        <f t="shared" si="5"/>
        <v>0</v>
      </c>
      <c r="W31" s="2"/>
      <c r="X31" s="2">
        <f t="shared" si="6"/>
        <v>530.4</v>
      </c>
      <c r="Y31" s="2"/>
      <c r="Z31" s="6">
        <f t="shared" si="7"/>
        <v>0</v>
      </c>
    </row>
    <row r="32" spans="1:26" s="69" customFormat="1" ht="15" hidden="1" customHeight="1" outlineLevel="2" x14ac:dyDescent="0.3">
      <c r="A32" s="26"/>
      <c r="B32" s="12" t="str">
        <f>CONCATENATE("          ","6279"," - ","GENERAL EXPENSE")</f>
        <v xml:space="preserve">          6279 - GENERAL EXPENSE</v>
      </c>
      <c r="C32" s="12"/>
      <c r="D32" s="8">
        <v>530.4</v>
      </c>
      <c r="E32" s="3"/>
      <c r="F32" s="7">
        <f t="shared" si="0"/>
        <v>0.17280025020850709</v>
      </c>
      <c r="G32" s="3"/>
      <c r="H32" s="8"/>
      <c r="I32" s="3"/>
      <c r="J32" s="7">
        <f t="shared" si="1"/>
        <v>0</v>
      </c>
      <c r="K32" s="3"/>
      <c r="L32" s="8">
        <f t="shared" si="2"/>
        <v>530.4</v>
      </c>
      <c r="M32" s="3"/>
      <c r="N32" s="7">
        <f t="shared" si="3"/>
        <v>0</v>
      </c>
      <c r="O32" s="12"/>
      <c r="P32" s="8">
        <v>530.4</v>
      </c>
      <c r="Q32" s="3"/>
      <c r="R32" s="7">
        <f t="shared" si="4"/>
        <v>9.9039851216151109E-2</v>
      </c>
      <c r="S32" s="3"/>
      <c r="T32" s="8"/>
      <c r="U32" s="3"/>
      <c r="V32" s="7">
        <f t="shared" si="5"/>
        <v>0</v>
      </c>
      <c r="W32" s="3"/>
      <c r="X32" s="8">
        <f t="shared" si="6"/>
        <v>530.4</v>
      </c>
      <c r="Y32" s="3"/>
      <c r="Z32" s="7">
        <f t="shared" si="7"/>
        <v>0</v>
      </c>
    </row>
    <row r="33" spans="1:26" s="68" customFormat="1" ht="15" customHeight="1" outlineLevel="1" collapsed="1" x14ac:dyDescent="0.3">
      <c r="A33" s="25"/>
      <c r="B33" s="14" t="str">
        <f>CONCATENATE("     ","Telephone/Data Lines                              ")</f>
        <v xml:space="preserve">     Telephone/Data Lines                              </v>
      </c>
      <c r="C33" s="14"/>
      <c r="D33" s="2">
        <f>SUM(OSRRefD22_5x_0)</f>
        <v>0</v>
      </c>
      <c r="E33" s="2"/>
      <c r="F33" s="6">
        <f t="shared" si="0"/>
        <v>0</v>
      </c>
      <c r="G33" s="2"/>
      <c r="H33" s="2">
        <f>SUM(OSRRefH22_5x_0)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SUM(OSRRefP22_5x_0)</f>
        <v>0</v>
      </c>
      <c r="Q33" s="2"/>
      <c r="R33" s="6">
        <f t="shared" si="4"/>
        <v>0</v>
      </c>
      <c r="S33" s="2"/>
      <c r="T33" s="2">
        <f>SUM(OSRRefT22_5x_0)</f>
        <v>178.69</v>
      </c>
      <c r="U33" s="2"/>
      <c r="V33" s="6">
        <f t="shared" si="5"/>
        <v>0</v>
      </c>
      <c r="W33" s="2"/>
      <c r="X33" s="2">
        <f t="shared" si="6"/>
        <v>-178.69</v>
      </c>
      <c r="Y33" s="2"/>
      <c r="Z33" s="6">
        <f t="shared" si="7"/>
        <v>-1</v>
      </c>
    </row>
    <row r="34" spans="1:26" s="69" customFormat="1" ht="15" hidden="1" customHeight="1" outlineLevel="2" x14ac:dyDescent="0.3">
      <c r="A34" s="26"/>
      <c r="B34" s="12" t="str">
        <f>CONCATENATE("          ","6309"," - ","TELEPHONE")</f>
        <v xml:space="preserve">          6309 - TELEPHONE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178.69</v>
      </c>
      <c r="U34" s="3"/>
      <c r="V34" s="7">
        <f t="shared" si="5"/>
        <v>0</v>
      </c>
      <c r="W34" s="3"/>
      <c r="X34" s="8">
        <f t="shared" si="6"/>
        <v>-178.69</v>
      </c>
      <c r="Y34" s="3"/>
      <c r="Z34" s="7">
        <f t="shared" si="7"/>
        <v>-1</v>
      </c>
    </row>
    <row r="35" spans="1:26" s="64" customFormat="1" ht="15" customHeight="1" x14ac:dyDescent="0.3">
      <c r="A35" s="36"/>
      <c r="B35" s="36"/>
      <c r="C35" s="36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3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62" customFormat="1" ht="15" customHeight="1" x14ac:dyDescent="0.3">
      <c r="A36" s="11"/>
      <c r="B36" s="27" t="s">
        <v>290</v>
      </c>
      <c r="C36" s="11"/>
      <c r="D36" s="5">
        <f>SUM(0)</f>
        <v>0</v>
      </c>
      <c r="E36" s="5"/>
      <c r="F36" s="13">
        <f>IF(D$12=0,0,D36/D$12)</f>
        <v>0</v>
      </c>
      <c r="G36" s="5"/>
      <c r="H36" s="5">
        <f>SUM(0)</f>
        <v>0</v>
      </c>
      <c r="I36" s="5"/>
      <c r="J36" s="13">
        <f>IF(H$12=0,0,H36/H$12)</f>
        <v>0</v>
      </c>
      <c r="K36" s="5"/>
      <c r="L36" s="5">
        <f>+D36-H36</f>
        <v>0</v>
      </c>
      <c r="M36" s="5"/>
      <c r="N36" s="13">
        <f>IF(H36=0,0,L36/H36)</f>
        <v>0</v>
      </c>
      <c r="O36" s="11"/>
      <c r="P36" s="5">
        <f>SUM(0)</f>
        <v>0</v>
      </c>
      <c r="Q36" s="5"/>
      <c r="R36" s="13">
        <f>IF(P$12=0,0,P36/P$12)</f>
        <v>0</v>
      </c>
      <c r="S36" s="5"/>
      <c r="T36" s="5">
        <f>SUM(0)</f>
        <v>0</v>
      </c>
      <c r="U36" s="5"/>
      <c r="V36" s="13">
        <f>IF(T$12=0,0,T36/T$12)</f>
        <v>0</v>
      </c>
      <c r="W36" s="5"/>
      <c r="X36" s="5">
        <f>+P36-T36</f>
        <v>0</v>
      </c>
      <c r="Y36" s="5"/>
      <c r="Z36" s="13">
        <f>IF(T36=0,0,X36/T36)</f>
        <v>0</v>
      </c>
    </row>
    <row r="37" spans="1:26" ht="15" customHeight="1" x14ac:dyDescent="0.3">
      <c r="A37" s="10"/>
      <c r="B37" s="11"/>
      <c r="C37" s="11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O37" s="11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2" customFormat="1" ht="15" customHeight="1" x14ac:dyDescent="0.3">
      <c r="A38" s="11"/>
      <c r="B38" s="28" t="s">
        <v>291</v>
      </c>
      <c r="C38" s="28"/>
      <c r="D38" s="21">
        <f>+D19-D21+D36</f>
        <v>-1977.3400000000004</v>
      </c>
      <c r="E38" s="15"/>
      <c r="F38" s="23">
        <f>IF(D$12=0,0,D38/D$12)</f>
        <v>-0.64420219974979165</v>
      </c>
      <c r="G38" s="15"/>
      <c r="H38" s="21">
        <f>+H19-H21+H36</f>
        <v>0</v>
      </c>
      <c r="I38" s="15"/>
      <c r="J38" s="23">
        <f>IF(H$12=0,0,H38/H$12)</f>
        <v>0</v>
      </c>
      <c r="K38" s="16"/>
      <c r="L38" s="21">
        <f>+D38-H38</f>
        <v>-1977.3400000000004</v>
      </c>
      <c r="M38" s="16"/>
      <c r="N38" s="23">
        <f>IF(H38=0,0,L38/H38)</f>
        <v>0</v>
      </c>
      <c r="O38" s="27"/>
      <c r="P38" s="21">
        <f>+P19-P21+P36</f>
        <v>308.35999999999922</v>
      </c>
      <c r="Q38" s="15"/>
      <c r="R38" s="23">
        <f>IF(P$12=0,0,P38/P$12)</f>
        <v>5.7579050756056335E-2</v>
      </c>
      <c r="S38" s="15"/>
      <c r="T38" s="21">
        <f>+T19-T21+T36</f>
        <v>-178.69</v>
      </c>
      <c r="U38" s="15"/>
      <c r="V38" s="23">
        <f>IF(T$12=0,0,T38/T$12)</f>
        <v>0</v>
      </c>
      <c r="W38" s="16"/>
      <c r="X38" s="21">
        <f>+P38-T38</f>
        <v>487.04999999999922</v>
      </c>
      <c r="Y38" s="16"/>
      <c r="Z38" s="23">
        <f>IF(T38=0,0,X38/T38)</f>
        <v>-2.7256701550170641</v>
      </c>
    </row>
    <row r="39" spans="1:26" ht="15" customHeight="1" x14ac:dyDescent="0.3">
      <c r="A39" s="10"/>
      <c r="B39" s="11"/>
      <c r="C39" s="10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2" customFormat="1" ht="15" customHeight="1" x14ac:dyDescent="0.3">
      <c r="A40" s="48"/>
      <c r="B40" s="11" t="s">
        <v>292</v>
      </c>
      <c r="C40" s="11"/>
      <c r="D40" s="5">
        <v>333.85</v>
      </c>
      <c r="E40" s="5"/>
      <c r="F40" s="13">
        <f>IF(D$12=0,0,D40/D$12)</f>
        <v>0.10876576834862386</v>
      </c>
      <c r="G40" s="5"/>
      <c r="H40" s="5"/>
      <c r="I40" s="5"/>
      <c r="J40" s="13">
        <f>IF(H$12=0,0,H40/H$12)</f>
        <v>0</v>
      </c>
      <c r="K40" s="5"/>
      <c r="L40" s="5">
        <f>+D40-H40</f>
        <v>333.85</v>
      </c>
      <c r="M40" s="5"/>
      <c r="N40" s="13">
        <f>IF(H40=0,0,L40/H40)</f>
        <v>0</v>
      </c>
      <c r="O40" s="11"/>
      <c r="P40" s="5">
        <v>606.67999999999995</v>
      </c>
      <c r="Q40" s="5"/>
      <c r="R40" s="13">
        <f>IF(P$12=0,0,P40/P$12)</f>
        <v>0.1132833652636021</v>
      </c>
      <c r="S40" s="5"/>
      <c r="T40" s="5"/>
      <c r="U40" s="5"/>
      <c r="V40" s="13">
        <f>IF(T$12=0,0,T40/T$12)</f>
        <v>0</v>
      </c>
      <c r="W40" s="5"/>
      <c r="X40" s="5">
        <f>+P40-T40</f>
        <v>606.67999999999995</v>
      </c>
      <c r="Y40" s="5"/>
      <c r="Z40" s="13">
        <f>IF(T40=0,0,X40/T40)</f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2" customFormat="1" ht="15" customHeight="1" x14ac:dyDescent="0.3">
      <c r="A42" s="11"/>
      <c r="B42" s="28" t="s">
        <v>293</v>
      </c>
      <c r="C42" s="28"/>
      <c r="D42" s="34">
        <f>+D38-D40</f>
        <v>-2311.1900000000005</v>
      </c>
      <c r="E42" s="15"/>
      <c r="F42" s="30">
        <f>IF(D$12=0,0,D42/D$12)</f>
        <v>-0.75296796809841549</v>
      </c>
      <c r="G42" s="15"/>
      <c r="H42" s="34">
        <f>+H38-H40</f>
        <v>0</v>
      </c>
      <c r="I42" s="15"/>
      <c r="J42" s="30">
        <f>IF(H$12=0,0,H42/H$12)</f>
        <v>0</v>
      </c>
      <c r="K42" s="16"/>
      <c r="L42" s="34">
        <f>D42-H42</f>
        <v>-2311.1900000000005</v>
      </c>
      <c r="M42" s="16"/>
      <c r="N42" s="30">
        <f>IF(H42=0,0,L42/H42)</f>
        <v>0</v>
      </c>
      <c r="O42" s="27"/>
      <c r="P42" s="34">
        <f>+P38-P40</f>
        <v>-298.32000000000073</v>
      </c>
      <c r="Q42" s="15"/>
      <c r="R42" s="30">
        <f>IF(P$12=0,0,P42/P$12)</f>
        <v>-5.570431450754576E-2</v>
      </c>
      <c r="S42" s="15"/>
      <c r="T42" s="34">
        <f>+T38-T40</f>
        <v>-178.69</v>
      </c>
      <c r="U42" s="15"/>
      <c r="V42" s="30">
        <f>IF(T$12=0,0,T42/T$12)</f>
        <v>0</v>
      </c>
      <c r="W42" s="16"/>
      <c r="X42" s="34">
        <f>P42-T42</f>
        <v>-119.63000000000073</v>
      </c>
      <c r="Y42" s="16"/>
      <c r="Z42" s="30">
        <f>IF(T42=0,0,X42/T42)</f>
        <v>0.66948346298058503</v>
      </c>
    </row>
    <row r="43" spans="1:26" ht="15" customHeight="1" x14ac:dyDescent="0.3">
      <c r="A43" s="10"/>
      <c r="B43" s="10"/>
      <c r="C43" s="10"/>
      <c r="D43" s="4"/>
      <c r="E43" s="4"/>
      <c r="F43" s="9"/>
      <c r="G43" s="4"/>
      <c r="H43" s="4"/>
      <c r="I43" s="4"/>
      <c r="J43" s="9"/>
      <c r="K43" s="4"/>
      <c r="L43" s="4"/>
      <c r="M43" s="4"/>
      <c r="N43" s="9"/>
      <c r="P43" s="4"/>
      <c r="Q43" s="4"/>
      <c r="R43" s="9"/>
      <c r="S43" s="4"/>
      <c r="T43" s="4"/>
      <c r="U43" s="4"/>
      <c r="V43" s="9"/>
      <c r="W43" s="4"/>
      <c r="X43" s="4"/>
      <c r="Y43" s="4"/>
      <c r="Z43" s="9"/>
    </row>
    <row r="44" spans="1:26" ht="15" customHeight="1" x14ac:dyDescent="0.3">
      <c r="A44" s="10"/>
      <c r="B44" s="10"/>
      <c r="C44" s="10"/>
      <c r="D44" s="4"/>
      <c r="E44" s="4"/>
      <c r="F44" s="9"/>
      <c r="G44" s="4"/>
      <c r="H44" s="4"/>
      <c r="I44" s="4"/>
      <c r="J44" s="9"/>
      <c r="K44" s="4"/>
      <c r="L44" s="4"/>
      <c r="M44" s="4"/>
      <c r="N44" s="9"/>
      <c r="P44" s="4"/>
      <c r="Q44" s="4"/>
      <c r="R44" s="9"/>
      <c r="S44" s="4"/>
      <c r="T44" s="4"/>
      <c r="U44" s="4"/>
      <c r="V44" s="9"/>
      <c r="W44" s="4"/>
      <c r="X44" s="4"/>
      <c r="Y44" s="4"/>
      <c r="Z44" s="9"/>
    </row>
    <row r="45" spans="1:26" s="62" customFormat="1" ht="15" customHeight="1" x14ac:dyDescent="0.3">
      <c r="A45" s="11"/>
      <c r="B45" s="28" t="s">
        <v>296</v>
      </c>
      <c r="C45" s="28"/>
      <c r="D45" s="29">
        <f>SUM(D42:D44)</f>
        <v>-2311.1900000000005</v>
      </c>
      <c r="E45" s="15"/>
      <c r="F45" s="35">
        <f>IF(D$12=0,0,D45/D$12)</f>
        <v>-0.75296796809841549</v>
      </c>
      <c r="G45" s="15"/>
      <c r="H45" s="29">
        <f>SUM(H42:H44)</f>
        <v>0</v>
      </c>
      <c r="I45" s="15"/>
      <c r="J45" s="35">
        <f>IF(H$12=0,0,H45/H$12)</f>
        <v>0</v>
      </c>
      <c r="K45" s="16"/>
      <c r="L45" s="29">
        <f>+D45-H45</f>
        <v>-2311.1900000000005</v>
      </c>
      <c r="M45" s="16"/>
      <c r="N45" s="35">
        <f>IF(H45=0,0,L45/H45)</f>
        <v>0</v>
      </c>
      <c r="O45" s="27"/>
      <c r="P45" s="29">
        <f>SUM(P42:P44)</f>
        <v>-298.32000000000073</v>
      </c>
      <c r="Q45" s="15"/>
      <c r="R45" s="35">
        <f>IF(P$12=0,0,P45/P$12)</f>
        <v>-5.570431450754576E-2</v>
      </c>
      <c r="S45" s="15"/>
      <c r="T45" s="29">
        <f>SUM(T42:T44)</f>
        <v>-178.69</v>
      </c>
      <c r="U45" s="15"/>
      <c r="V45" s="35">
        <f>IF(T$12=0,0,T45/T$12)</f>
        <v>0</v>
      </c>
      <c r="W45" s="16"/>
      <c r="X45" s="29">
        <f>+P45-T45</f>
        <v>-119.63000000000073</v>
      </c>
      <c r="Y45" s="16"/>
      <c r="Z45" s="35">
        <f>IF(T45=0,0,X45/T45)</f>
        <v>0.66948346298058503</v>
      </c>
    </row>
    <row r="46" spans="1:26" ht="15" customHeight="1" x14ac:dyDescent="0.3">
      <c r="A46" s="10"/>
      <c r="C46" s="10"/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3">
      <c r="A47" s="10"/>
      <c r="B47" s="56">
        <v>44694.890829479169</v>
      </c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  <row r="48" spans="1:26" ht="15" customHeight="1" x14ac:dyDescent="0.3">
      <c r="A48" s="10"/>
      <c r="B48" s="52" t="s">
        <v>297</v>
      </c>
      <c r="D48" s="18"/>
      <c r="E48" s="18"/>
      <c r="G48" s="18"/>
      <c r="H48" s="18"/>
      <c r="I48" s="18"/>
      <c r="J48" s="40"/>
      <c r="K48" s="18"/>
      <c r="L48" s="18"/>
      <c r="M48" s="18"/>
      <c r="P48" s="18"/>
      <c r="Q48" s="18"/>
      <c r="R48" s="40"/>
      <c r="S48" s="18"/>
      <c r="T48" s="18"/>
      <c r="U48" s="18"/>
      <c r="V48" s="40"/>
      <c r="W48" s="18"/>
      <c r="X48" s="18"/>
    </row>
    <row r="49" spans="1:24" ht="15" customHeight="1" x14ac:dyDescent="0.3">
      <c r="A49" s="10"/>
      <c r="B49" s="58"/>
      <c r="D49" s="18"/>
      <c r="E49" s="18"/>
      <c r="G49" s="18"/>
      <c r="H49" s="18"/>
      <c r="I49" s="18"/>
      <c r="J49" s="40"/>
      <c r="K49" s="18"/>
      <c r="L49" s="18"/>
      <c r="M49" s="18"/>
      <c r="P49" s="18"/>
      <c r="Q49" s="18"/>
      <c r="R49" s="40"/>
      <c r="S49" s="18"/>
      <c r="T49" s="18"/>
      <c r="U49" s="18"/>
      <c r="V49" s="40"/>
      <c r="W49" s="18"/>
      <c r="X49" s="18"/>
    </row>
    <row r="50" spans="1:24" ht="15" customHeight="1" x14ac:dyDescent="0.3">
      <c r="D50" s="18"/>
      <c r="E50" s="18"/>
      <c r="G50" s="18"/>
      <c r="H50" s="18"/>
      <c r="I50" s="18"/>
      <c r="J50" s="40"/>
      <c r="K50" s="18"/>
      <c r="L50" s="18"/>
      <c r="M50" s="18"/>
      <c r="P50" s="18"/>
      <c r="Q50" s="18"/>
      <c r="R50" s="40"/>
      <c r="S50" s="18"/>
      <c r="T50" s="18"/>
      <c r="U50" s="18"/>
      <c r="V50" s="40"/>
      <c r="W50" s="18"/>
      <c r="X5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763BC-F37C-13EA-2D4D-44C3BD4A5C94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","444"," - ","Parkside Dining Hall")</f>
        <v>Department 444 - Parkside Dining Hall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841412.03999999992</v>
      </c>
      <c r="E12" s="5"/>
      <c r="F12" s="13"/>
      <c r="G12" s="5"/>
      <c r="H12" s="5">
        <f>SUM(OSRRefH13x_0)</f>
        <v>90165.79</v>
      </c>
      <c r="I12" s="5"/>
      <c r="J12" s="13"/>
      <c r="K12" s="5"/>
      <c r="L12" s="5">
        <f>+D12-H12</f>
        <v>751246.24999999988</v>
      </c>
      <c r="M12" s="5"/>
      <c r="N12" s="13">
        <f>IF(H12=0,0,L12/H12)</f>
        <v>8.3318323945256836</v>
      </c>
      <c r="O12" s="11"/>
      <c r="P12" s="5">
        <f>SUM(OSRRefP13x_0)</f>
        <v>5366983.6399999997</v>
      </c>
      <c r="Q12" s="5"/>
      <c r="R12" s="13"/>
      <c r="S12" s="5"/>
      <c r="T12" s="5">
        <f>SUM(OSRRefT13x_0)</f>
        <v>917713.98</v>
      </c>
      <c r="U12" s="5"/>
      <c r="V12" s="13"/>
      <c r="W12" s="5"/>
      <c r="X12" s="5">
        <f>+P12-T12</f>
        <v>4449269.66</v>
      </c>
      <c r="Y12" s="5"/>
      <c r="Z12" s="13">
        <f>IF(T12=0,0,X12/T12)</f>
        <v>4.848209526022476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--177.76</f>
        <v>177.76</v>
      </c>
      <c r="E13" s="3"/>
      <c r="F13" s="20"/>
      <c r="G13" s="3"/>
      <c r="H13" s="3">
        <f>--161.18</f>
        <v>161.18</v>
      </c>
      <c r="I13" s="3"/>
      <c r="J13" s="20"/>
      <c r="K13" s="3"/>
      <c r="L13" s="3">
        <f>+D13-H13</f>
        <v>16.579999999999984</v>
      </c>
      <c r="M13" s="3"/>
      <c r="N13" s="20">
        <f>IF(H13=0,0,L13/H13)</f>
        <v>0.1028663605906439</v>
      </c>
      <c r="O13" s="12"/>
      <c r="P13" s="3">
        <f>--1124.06</f>
        <v>1124.06</v>
      </c>
      <c r="Q13" s="3"/>
      <c r="R13" s="20"/>
      <c r="S13" s="3"/>
      <c r="T13" s="3">
        <f>--867.25</f>
        <v>867.25</v>
      </c>
      <c r="U13" s="3"/>
      <c r="V13" s="20"/>
      <c r="W13" s="3"/>
      <c r="X13" s="3">
        <f>+P13-T13</f>
        <v>256.80999999999995</v>
      </c>
      <c r="Y13" s="3"/>
      <c r="Z13" s="20">
        <f>IF(T13=0,0,X13/T13)</f>
        <v>0.29611991928509651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--836832.84</f>
        <v>836832.84</v>
      </c>
      <c r="E14" s="3"/>
      <c r="F14" s="20"/>
      <c r="G14" s="3"/>
      <c r="H14" s="3">
        <f>--85567.69</f>
        <v>85567.69</v>
      </c>
      <c r="I14" s="3"/>
      <c r="J14" s="20"/>
      <c r="K14" s="3"/>
      <c r="L14" s="3">
        <f>+D14-H14</f>
        <v>751265.14999999991</v>
      </c>
      <c r="M14" s="3"/>
      <c r="N14" s="20">
        <f>IF(H14=0,0,L14/H14)</f>
        <v>8.7797759878757962</v>
      </c>
      <c r="O14" s="12"/>
      <c r="P14" s="3">
        <f>--5339701.83</f>
        <v>5339701.83</v>
      </c>
      <c r="Q14" s="3"/>
      <c r="R14" s="20"/>
      <c r="S14" s="3"/>
      <c r="T14" s="3">
        <f>--876732.72</f>
        <v>876732.72</v>
      </c>
      <c r="U14" s="3"/>
      <c r="V14" s="20"/>
      <c r="W14" s="3"/>
      <c r="X14" s="3">
        <f>+P14-T14</f>
        <v>4462969.1100000003</v>
      </c>
      <c r="Y14" s="3"/>
      <c r="Z14" s="20">
        <f>IF(T14=0,0,X14/T14)</f>
        <v>5.0904557434562276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--4401.44</f>
        <v>4401.4399999999996</v>
      </c>
      <c r="E15" s="3"/>
      <c r="F15" s="20"/>
      <c r="G15" s="3"/>
      <c r="H15" s="3">
        <f>--4436.92</f>
        <v>4436.92</v>
      </c>
      <c r="I15" s="3"/>
      <c r="J15" s="20"/>
      <c r="K15" s="3"/>
      <c r="L15" s="3">
        <f>+D15-H15</f>
        <v>-35.480000000000473</v>
      </c>
      <c r="M15" s="3"/>
      <c r="N15" s="20">
        <f>IF(H15=0,0,L15/H15)</f>
        <v>-7.9965381390695502E-3</v>
      </c>
      <c r="O15" s="12"/>
      <c r="P15" s="3">
        <f>--26157.75</f>
        <v>26157.75</v>
      </c>
      <c r="Q15" s="3"/>
      <c r="R15" s="20"/>
      <c r="S15" s="3"/>
      <c r="T15" s="3">
        <f>--40114.01</f>
        <v>40114.01</v>
      </c>
      <c r="U15" s="3"/>
      <c r="V15" s="20"/>
      <c r="W15" s="3"/>
      <c r="X15" s="3">
        <f>+P15-T15</f>
        <v>-13956.260000000002</v>
      </c>
      <c r="Y15" s="3"/>
      <c r="Z15" s="20">
        <f>IF(T15=0,0,X15/T15)</f>
        <v>-0.34791485568259073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156115.98000000001</v>
      </c>
      <c r="E17" s="5"/>
      <c r="F17" s="13">
        <f>IF(D$12=0,0,D17/D$12)</f>
        <v>0.18554046362350607</v>
      </c>
      <c r="G17" s="5"/>
      <c r="H17" s="5">
        <f>SUM(OSRRefH16x_0)</f>
        <v>46906.81</v>
      </c>
      <c r="I17" s="5"/>
      <c r="J17" s="13">
        <f>IF(H$12=0,0,H17/H$12)</f>
        <v>0.52022845915285609</v>
      </c>
      <c r="K17" s="5"/>
      <c r="L17" s="5">
        <f>+D17-H17</f>
        <v>109209.17000000001</v>
      </c>
      <c r="M17" s="5"/>
      <c r="N17" s="13">
        <f>IF(H17=0,0,L17/H17)</f>
        <v>2.328215668471167</v>
      </c>
      <c r="O17" s="11"/>
      <c r="P17" s="5">
        <f>SUM(OSRRefP16x_0)</f>
        <v>1240805.4099999999</v>
      </c>
      <c r="Q17" s="5"/>
      <c r="R17" s="13">
        <f>IF(P$12=0,0,P17/P$12)</f>
        <v>0.23119232202466711</v>
      </c>
      <c r="S17" s="5"/>
      <c r="T17" s="5">
        <f>SUM(OSRRefT16x_0)</f>
        <v>390567.26</v>
      </c>
      <c r="U17" s="5"/>
      <c r="V17" s="13">
        <f>IF(T$12=0,0,T17/T$12)</f>
        <v>0.42558713118873925</v>
      </c>
      <c r="W17" s="5"/>
      <c r="X17" s="5">
        <f>+P17-T17</f>
        <v>850238.14999999991</v>
      </c>
      <c r="Y17" s="5"/>
      <c r="Z17" s="13">
        <f>IF(T17=0,0,X17/T17)</f>
        <v>2.1769314458155042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158461.98000000001</v>
      </c>
      <c r="E18" s="3"/>
      <c r="F18" s="20">
        <f>IF(D$12=0,0,D18/D$12)</f>
        <v>0.18832863385220874</v>
      </c>
      <c r="G18" s="3"/>
      <c r="H18" s="3">
        <v>46411.81</v>
      </c>
      <c r="I18" s="3"/>
      <c r="J18" s="20">
        <f>IF(H$12=0,0,H18/H$12)</f>
        <v>0.51473857213473095</v>
      </c>
      <c r="K18" s="3"/>
      <c r="L18" s="3">
        <f>+D18-H18</f>
        <v>112050.17000000001</v>
      </c>
      <c r="M18" s="3"/>
      <c r="N18" s="20">
        <f>IF(H18=0,0,L18/H18)</f>
        <v>2.4142598618756739</v>
      </c>
      <c r="O18" s="12"/>
      <c r="P18" s="3">
        <v>1246408.4099999999</v>
      </c>
      <c r="Q18" s="3"/>
      <c r="R18" s="20">
        <f>IF(P$12=0,0,P18/P$12)</f>
        <v>0.232236297631047</v>
      </c>
      <c r="S18" s="3"/>
      <c r="T18" s="3">
        <v>405258.96</v>
      </c>
      <c r="U18" s="3"/>
      <c r="V18" s="20">
        <f>IF(T$12=0,0,T18/T$12)</f>
        <v>0.44159614959772109</v>
      </c>
      <c r="W18" s="3"/>
      <c r="X18" s="3">
        <f>+P18-T18</f>
        <v>841149.45</v>
      </c>
      <c r="Y18" s="3"/>
      <c r="Z18" s="20">
        <f>IF(T18=0,0,X18/T18)</f>
        <v>2.075585077748805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-2346</v>
      </c>
      <c r="E19" s="3"/>
      <c r="F19" s="20">
        <f>IF(D$12=0,0,D19/D$12)</f>
        <v>-2.7881702287026939E-3</v>
      </c>
      <c r="G19" s="3"/>
      <c r="H19" s="3">
        <v>495</v>
      </c>
      <c r="I19" s="3"/>
      <c r="J19" s="20">
        <f>IF(H$12=0,0,H19/H$12)</f>
        <v>5.4898870181251678E-3</v>
      </c>
      <c r="K19" s="3"/>
      <c r="L19" s="3">
        <f>+D19-H19</f>
        <v>-2841</v>
      </c>
      <c r="M19" s="3"/>
      <c r="N19" s="20">
        <f>IF(H19=0,0,L19/H19)</f>
        <v>-5.7393939393939393</v>
      </c>
      <c r="O19" s="12"/>
      <c r="P19" s="3">
        <v>-5603</v>
      </c>
      <c r="Q19" s="3"/>
      <c r="R19" s="20">
        <f>IF(P$12=0,0,P19/P$12)</f>
        <v>-1.0439756063798996E-3</v>
      </c>
      <c r="S19" s="3"/>
      <c r="T19" s="3">
        <v>-14691.7</v>
      </c>
      <c r="U19" s="3"/>
      <c r="V19" s="20">
        <f>IF(T$12=0,0,T19/T$12)</f>
        <v>-1.6009018408981848E-2</v>
      </c>
      <c r="W19" s="3"/>
      <c r="X19" s="3">
        <f>+P19-T19</f>
        <v>9088.7000000000007</v>
      </c>
      <c r="Y19" s="3"/>
      <c r="Z19" s="20">
        <f>IF(T19=0,0,X19/T19)</f>
        <v>-0.61862820504094151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1">
        <f>D12-D17</f>
        <v>685296.05999999994</v>
      </c>
      <c r="E21" s="15"/>
      <c r="F21" s="23">
        <f>IF(D$12=0,0,D21/D$12)</f>
        <v>0.81445953637649393</v>
      </c>
      <c r="G21" s="15"/>
      <c r="H21" s="21">
        <f>H12-H17</f>
        <v>43258.979999999996</v>
      </c>
      <c r="I21" s="15"/>
      <c r="J21" s="23">
        <f>IF(H$12=0,0,H21/H$12)</f>
        <v>0.47977154084714391</v>
      </c>
      <c r="K21" s="16"/>
      <c r="L21" s="21">
        <f>+D21-H21</f>
        <v>642037.07999999996</v>
      </c>
      <c r="M21" s="16"/>
      <c r="N21" s="23">
        <f>IF(H21=0,0,L21/H21)</f>
        <v>14.841706392522431</v>
      </c>
      <c r="O21" s="27"/>
      <c r="P21" s="21">
        <f>P12-P17</f>
        <v>4126178.2299999995</v>
      </c>
      <c r="Q21" s="15"/>
      <c r="R21" s="23">
        <f>IF(P$12=0,0,P21/P$12)</f>
        <v>0.76880767797533289</v>
      </c>
      <c r="S21" s="15"/>
      <c r="T21" s="21">
        <f>T12-T17</f>
        <v>527146.72</v>
      </c>
      <c r="U21" s="15"/>
      <c r="V21" s="23">
        <f>IF(T$12=0,0,T21/T$12)</f>
        <v>0.57441286881126075</v>
      </c>
      <c r="W21" s="16"/>
      <c r="X21" s="21">
        <f>+P21-T21</f>
        <v>3599031.51</v>
      </c>
      <c r="Y21" s="16"/>
      <c r="Z21" s="23">
        <f>IF(T21=0,0,X21/T21)</f>
        <v>6.8273810183244619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2" cm="1">
        <f t="array" ref="D23">SUM(OSRRefD22x_0)</f>
        <v>245578.16000000003</v>
      </c>
      <c r="E23" s="22"/>
      <c r="F23" s="32">
        <f t="shared" ref="F23:F54" si="0">IF(D$12=0,0,D23/D$12)</f>
        <v>0.29186432844483667</v>
      </c>
      <c r="G23" s="22"/>
      <c r="H23" s="22" cm="1">
        <f t="array" ref="H23">SUM(OSRRefH22x_0)</f>
        <v>132515.53999999998</v>
      </c>
      <c r="I23" s="22"/>
      <c r="J23" s="32">
        <f t="shared" ref="J23:J54" si="1">IF(H$12=0,0,H23/H$12)</f>
        <v>1.4696875611027196</v>
      </c>
      <c r="K23" s="5"/>
      <c r="L23" s="22">
        <f t="shared" ref="L23:L54" si="2">+D23-H23</f>
        <v>113062.62000000005</v>
      </c>
      <c r="M23" s="5"/>
      <c r="N23" s="32">
        <f t="shared" ref="N23:N54" si="3">IF(H23=0,0,L23/H23)</f>
        <v>0.85320272626138849</v>
      </c>
      <c r="O23" s="11"/>
      <c r="P23" s="22" cm="1">
        <f t="array" ref="P23">SUM(OSRRefP22x_0)</f>
        <v>1925490.7800000005</v>
      </c>
      <c r="Q23" s="22"/>
      <c r="R23" s="32">
        <f t="shared" ref="R23:R54" si="4">IF(P$12=0,0,P23/P$12)</f>
        <v>0.3587659119452804</v>
      </c>
      <c r="S23" s="22"/>
      <c r="T23" s="22" cm="1">
        <f t="array" ref="T23">SUM(OSRRefT22x_0)</f>
        <v>1168800.8600000003</v>
      </c>
      <c r="U23" s="22"/>
      <c r="V23" s="32">
        <f t="shared" ref="V23:V54" si="5">IF(T$12=0,0,T23/T$12)</f>
        <v>1.2736003651159378</v>
      </c>
      <c r="W23" s="5"/>
      <c r="X23" s="22">
        <f t="shared" ref="X23:X54" si="6">+P23-T23</f>
        <v>756689.92000000016</v>
      </c>
      <c r="Y23" s="5"/>
      <c r="Z23" s="32">
        <f t="shared" ref="Z23:Z54" si="7">IF(T23=0,0,X23/T23)</f>
        <v>0.64740705272923904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32672.38</v>
      </c>
      <c r="E24" s="2"/>
      <c r="F24" s="6">
        <f t="shared" si="0"/>
        <v>3.8830416545976694E-2</v>
      </c>
      <c r="G24" s="2"/>
      <c r="H24" s="2">
        <f>SUM(OSRRefH22_0x_0)</f>
        <v>33685.910000000003</v>
      </c>
      <c r="I24" s="2"/>
      <c r="J24" s="6">
        <f t="shared" si="1"/>
        <v>0.37359967677319755</v>
      </c>
      <c r="K24" s="2"/>
      <c r="L24" s="2">
        <f t="shared" si="2"/>
        <v>-1013.5300000000025</v>
      </c>
      <c r="M24" s="2"/>
      <c r="N24" s="6">
        <f t="shared" si="3"/>
        <v>-3.0087653858838975E-2</v>
      </c>
      <c r="O24" s="14"/>
      <c r="P24" s="2">
        <f>SUM(OSRRefP22_0x_0)</f>
        <v>302462.94</v>
      </c>
      <c r="Q24" s="2"/>
      <c r="R24" s="6">
        <f t="shared" si="4"/>
        <v>5.6356225449571154E-2</v>
      </c>
      <c r="S24" s="2"/>
      <c r="T24" s="2">
        <f>SUM(OSRRefT22_0x_0)</f>
        <v>310671.19999999995</v>
      </c>
      <c r="U24" s="2"/>
      <c r="V24" s="6">
        <f t="shared" si="5"/>
        <v>0.33852726096642871</v>
      </c>
      <c r="W24" s="2"/>
      <c r="X24" s="2">
        <f t="shared" si="6"/>
        <v>-8208.2599999999511</v>
      </c>
      <c r="Y24" s="2"/>
      <c r="Z24" s="6">
        <f t="shared" si="7"/>
        <v>-2.6421052224988837E-2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6096.37</v>
      </c>
      <c r="E25" s="3"/>
      <c r="F25" s="7">
        <f t="shared" si="0"/>
        <v>7.2454038095295147E-3</v>
      </c>
      <c r="G25" s="3"/>
      <c r="H25" s="8">
        <v>4952.2299999999996</v>
      </c>
      <c r="I25" s="3"/>
      <c r="J25" s="7">
        <f t="shared" si="1"/>
        <v>5.4923602399535344E-2</v>
      </c>
      <c r="K25" s="3"/>
      <c r="L25" s="8">
        <f t="shared" si="2"/>
        <v>1144.1400000000003</v>
      </c>
      <c r="M25" s="3"/>
      <c r="N25" s="7">
        <f t="shared" si="3"/>
        <v>0.23103531136477917</v>
      </c>
      <c r="O25" s="12"/>
      <c r="P25" s="8">
        <v>47702.17</v>
      </c>
      <c r="Q25" s="3"/>
      <c r="R25" s="7">
        <f t="shared" si="4"/>
        <v>8.8880781458838213E-3</v>
      </c>
      <c r="S25" s="3"/>
      <c r="T25" s="8">
        <v>36418.559999999998</v>
      </c>
      <c r="U25" s="3"/>
      <c r="V25" s="7">
        <f t="shared" si="5"/>
        <v>3.9683998275802664E-2</v>
      </c>
      <c r="W25" s="3"/>
      <c r="X25" s="8">
        <f t="shared" si="6"/>
        <v>11283.61</v>
      </c>
      <c r="Y25" s="3"/>
      <c r="Z25" s="7">
        <f t="shared" si="7"/>
        <v>0.30983130579572615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3163.76</v>
      </c>
      <c r="E26" s="3"/>
      <c r="F26" s="7">
        <f t="shared" si="0"/>
        <v>3.7600602910317286E-3</v>
      </c>
      <c r="G26" s="3"/>
      <c r="H26" s="8">
        <v>2152.6799999999998</v>
      </c>
      <c r="I26" s="3"/>
      <c r="J26" s="7">
        <f t="shared" si="1"/>
        <v>2.3874686840763E-2</v>
      </c>
      <c r="K26" s="3"/>
      <c r="L26" s="8">
        <f t="shared" si="2"/>
        <v>1011.0800000000004</v>
      </c>
      <c r="M26" s="3"/>
      <c r="N26" s="7">
        <f t="shared" si="3"/>
        <v>0.46968430049984228</v>
      </c>
      <c r="O26" s="12"/>
      <c r="P26" s="8">
        <v>30874.75</v>
      </c>
      <c r="Q26" s="3"/>
      <c r="R26" s="7">
        <f t="shared" si="4"/>
        <v>5.7527192313185441E-3</v>
      </c>
      <c r="S26" s="3"/>
      <c r="T26" s="8">
        <v>24196.76</v>
      </c>
      <c r="U26" s="3"/>
      <c r="V26" s="7">
        <f t="shared" si="5"/>
        <v>2.6366341286421287E-2</v>
      </c>
      <c r="W26" s="3"/>
      <c r="X26" s="8">
        <f t="shared" si="6"/>
        <v>6677.9900000000016</v>
      </c>
      <c r="Y26" s="3"/>
      <c r="Z26" s="7">
        <f t="shared" si="7"/>
        <v>0.27598695031896842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13595.11</v>
      </c>
      <c r="E27" s="3"/>
      <c r="F27" s="7">
        <f t="shared" si="0"/>
        <v>1.6157494014466447E-2</v>
      </c>
      <c r="G27" s="3"/>
      <c r="H27" s="8">
        <v>17691.580000000002</v>
      </c>
      <c r="I27" s="3"/>
      <c r="J27" s="7">
        <f t="shared" si="1"/>
        <v>0.19621166741843002</v>
      </c>
      <c r="K27" s="3"/>
      <c r="L27" s="8">
        <f t="shared" si="2"/>
        <v>-4096.4700000000012</v>
      </c>
      <c r="M27" s="3"/>
      <c r="N27" s="7">
        <f t="shared" si="3"/>
        <v>-0.23154913241214187</v>
      </c>
      <c r="O27" s="12"/>
      <c r="P27" s="8">
        <v>144124.96</v>
      </c>
      <c r="Q27" s="3"/>
      <c r="R27" s="7">
        <f t="shared" si="4"/>
        <v>2.6853996521591782E-2</v>
      </c>
      <c r="S27" s="3"/>
      <c r="T27" s="8">
        <v>173770.12</v>
      </c>
      <c r="U27" s="3"/>
      <c r="V27" s="7">
        <f t="shared" si="5"/>
        <v>0.18935106556838113</v>
      </c>
      <c r="W27" s="3"/>
      <c r="X27" s="8">
        <f t="shared" si="6"/>
        <v>-29645.160000000003</v>
      </c>
      <c r="Y27" s="3"/>
      <c r="Z27" s="7">
        <f t="shared" si="7"/>
        <v>-0.17059987067972332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228.49</v>
      </c>
      <c r="E28" s="3"/>
      <c r="F28" s="7">
        <f t="shared" si="0"/>
        <v>2.7155542010071548E-4</v>
      </c>
      <c r="G28" s="3"/>
      <c r="H28" s="8">
        <v>130.97999999999999</v>
      </c>
      <c r="I28" s="3"/>
      <c r="J28" s="7">
        <f t="shared" si="1"/>
        <v>1.4526573770384532E-3</v>
      </c>
      <c r="K28" s="3"/>
      <c r="L28" s="8">
        <f t="shared" si="2"/>
        <v>97.510000000000019</v>
      </c>
      <c r="M28" s="3"/>
      <c r="N28" s="7">
        <f t="shared" si="3"/>
        <v>0.74446480378683788</v>
      </c>
      <c r="O28" s="12"/>
      <c r="P28" s="8">
        <v>2229.83</v>
      </c>
      <c r="Q28" s="3"/>
      <c r="R28" s="7">
        <f t="shared" si="4"/>
        <v>4.1547173413779964E-4</v>
      </c>
      <c r="S28" s="3"/>
      <c r="T28" s="8">
        <v>1546.24</v>
      </c>
      <c r="U28" s="3"/>
      <c r="V28" s="7">
        <f t="shared" si="5"/>
        <v>1.6848822549265295E-3</v>
      </c>
      <c r="W28" s="3"/>
      <c r="X28" s="8">
        <f t="shared" si="6"/>
        <v>683.58999999999992</v>
      </c>
      <c r="Y28" s="3"/>
      <c r="Z28" s="7">
        <f t="shared" si="7"/>
        <v>0.44209825124172181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1555.76</v>
      </c>
      <c r="E29" s="3"/>
      <c r="F29" s="7">
        <f t="shared" si="0"/>
        <v>1.8489870907956109E-3</v>
      </c>
      <c r="G29" s="3"/>
      <c r="H29" s="8">
        <v>1457.5</v>
      </c>
      <c r="I29" s="3"/>
      <c r="J29" s="7">
        <f t="shared" si="1"/>
        <v>1.6164667331146326E-2</v>
      </c>
      <c r="K29" s="3"/>
      <c r="L29" s="8">
        <f t="shared" si="2"/>
        <v>98.259999999999991</v>
      </c>
      <c r="M29" s="3"/>
      <c r="N29" s="7">
        <f t="shared" si="3"/>
        <v>6.7416809605488848E-2</v>
      </c>
      <c r="O29" s="12"/>
      <c r="P29" s="8">
        <v>14425.85</v>
      </c>
      <c r="Q29" s="3"/>
      <c r="R29" s="7">
        <f t="shared" si="4"/>
        <v>2.6878878281805236E-3</v>
      </c>
      <c r="S29" s="3"/>
      <c r="T29" s="8">
        <v>16099.06</v>
      </c>
      <c r="U29" s="3"/>
      <c r="V29" s="7">
        <f t="shared" si="5"/>
        <v>1.7542568110382278E-2</v>
      </c>
      <c r="W29" s="3"/>
      <c r="X29" s="8">
        <f t="shared" si="6"/>
        <v>-1673.2099999999991</v>
      </c>
      <c r="Y29" s="3"/>
      <c r="Z29" s="7">
        <f t="shared" si="7"/>
        <v>-0.10393215504507712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535.4</v>
      </c>
      <c r="E30" s="3"/>
      <c r="F30" s="7">
        <f t="shared" si="0"/>
        <v>6.3631131306369235E-4</v>
      </c>
      <c r="G30" s="3"/>
      <c r="H30" s="8">
        <v>531.49</v>
      </c>
      <c r="I30" s="3"/>
      <c r="J30" s="7">
        <f t="shared" si="1"/>
        <v>5.8945859621481718E-3</v>
      </c>
      <c r="K30" s="3"/>
      <c r="L30" s="8">
        <f t="shared" si="2"/>
        <v>3.9099999999999682</v>
      </c>
      <c r="M30" s="3"/>
      <c r="N30" s="7">
        <f t="shared" si="3"/>
        <v>7.3566765131986836E-3</v>
      </c>
      <c r="O30" s="12"/>
      <c r="P30" s="8">
        <v>5142.71</v>
      </c>
      <c r="Q30" s="3"/>
      <c r="R30" s="7">
        <f t="shared" si="4"/>
        <v>9.5821234886417513E-4</v>
      </c>
      <c r="S30" s="3"/>
      <c r="T30" s="8">
        <v>5468.1</v>
      </c>
      <c r="U30" s="3"/>
      <c r="V30" s="7">
        <f t="shared" si="5"/>
        <v>5.9583923958530091E-3</v>
      </c>
      <c r="W30" s="3"/>
      <c r="X30" s="8">
        <f t="shared" si="6"/>
        <v>-325.39000000000033</v>
      </c>
      <c r="Y30" s="3"/>
      <c r="Z30" s="7">
        <f t="shared" si="7"/>
        <v>-5.9506958541358117E-2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3662.53</v>
      </c>
      <c r="E31" s="3"/>
      <c r="F31" s="7">
        <f t="shared" si="0"/>
        <v>4.3528376418288479E-3</v>
      </c>
      <c r="G31" s="3"/>
      <c r="H31" s="8">
        <v>3910.44</v>
      </c>
      <c r="I31" s="3"/>
      <c r="J31" s="7">
        <f t="shared" si="1"/>
        <v>4.3369442002338138E-2</v>
      </c>
      <c r="K31" s="3"/>
      <c r="L31" s="8">
        <f t="shared" si="2"/>
        <v>-247.90999999999985</v>
      </c>
      <c r="M31" s="3"/>
      <c r="N31" s="7">
        <f t="shared" si="3"/>
        <v>-6.3396957887091945E-2</v>
      </c>
      <c r="O31" s="12"/>
      <c r="P31" s="8">
        <v>28470.66</v>
      </c>
      <c r="Q31" s="3"/>
      <c r="R31" s="7">
        <f t="shared" si="4"/>
        <v>5.3047786074488582E-3</v>
      </c>
      <c r="S31" s="3"/>
      <c r="T31" s="8">
        <v>27764.26</v>
      </c>
      <c r="U31" s="3"/>
      <c r="V31" s="7">
        <f t="shared" si="5"/>
        <v>3.0253718048405452E-2</v>
      </c>
      <c r="W31" s="3"/>
      <c r="X31" s="8">
        <f t="shared" si="6"/>
        <v>706.40000000000146</v>
      </c>
      <c r="Y31" s="3"/>
      <c r="Z31" s="7">
        <f t="shared" si="7"/>
        <v>2.5442781475177135E-2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2759.52</v>
      </c>
      <c r="E32" s="3"/>
      <c r="F32" s="7">
        <f t="shared" si="0"/>
        <v>3.279629799449982E-3</v>
      </c>
      <c r="G32" s="3"/>
      <c r="H32" s="8">
        <v>2449.83</v>
      </c>
      <c r="I32" s="3"/>
      <c r="J32" s="7">
        <f t="shared" si="1"/>
        <v>2.7170282653764803E-2</v>
      </c>
      <c r="K32" s="3"/>
      <c r="L32" s="8">
        <f t="shared" si="2"/>
        <v>309.69000000000005</v>
      </c>
      <c r="M32" s="3"/>
      <c r="N32" s="7">
        <f t="shared" si="3"/>
        <v>0.1264128531367483</v>
      </c>
      <c r="O32" s="12"/>
      <c r="P32" s="8">
        <v>19963.14</v>
      </c>
      <c r="Q32" s="3"/>
      <c r="R32" s="7">
        <f t="shared" si="4"/>
        <v>3.7196200583164067E-3</v>
      </c>
      <c r="S32" s="3"/>
      <c r="T32" s="8">
        <v>17415.25</v>
      </c>
      <c r="U32" s="3"/>
      <c r="V32" s="7">
        <f t="shared" si="5"/>
        <v>1.8976773133607489E-2</v>
      </c>
      <c r="W32" s="3"/>
      <c r="X32" s="8">
        <f t="shared" si="6"/>
        <v>2547.8899999999994</v>
      </c>
      <c r="Y32" s="3"/>
      <c r="Z32" s="7">
        <f t="shared" si="7"/>
        <v>0.14630223511003285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1075.44</v>
      </c>
      <c r="E33" s="3"/>
      <c r="F33" s="7">
        <f t="shared" si="0"/>
        <v>1.2781371657101556E-3</v>
      </c>
      <c r="G33" s="3"/>
      <c r="H33" s="8">
        <v>409.18</v>
      </c>
      <c r="I33" s="3"/>
      <c r="J33" s="7">
        <f t="shared" si="1"/>
        <v>4.5380847880332441E-3</v>
      </c>
      <c r="K33" s="3"/>
      <c r="L33" s="8">
        <f t="shared" si="2"/>
        <v>666.26</v>
      </c>
      <c r="M33" s="3"/>
      <c r="N33" s="7">
        <f t="shared" si="3"/>
        <v>1.6282809521481987</v>
      </c>
      <c r="O33" s="12"/>
      <c r="P33" s="8">
        <v>9528.8700000000008</v>
      </c>
      <c r="Q33" s="3"/>
      <c r="R33" s="7">
        <f t="shared" si="4"/>
        <v>1.7754609738292403E-3</v>
      </c>
      <c r="S33" s="3"/>
      <c r="T33" s="8">
        <v>7992.85</v>
      </c>
      <c r="U33" s="3"/>
      <c r="V33" s="7">
        <f t="shared" si="5"/>
        <v>8.7095218926489491E-3</v>
      </c>
      <c r="W33" s="3"/>
      <c r="X33" s="8">
        <f t="shared" si="6"/>
        <v>1536.0200000000004</v>
      </c>
      <c r="Y33" s="3"/>
      <c r="Z33" s="7">
        <f t="shared" si="7"/>
        <v>0.19217425574106864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118552.25</v>
      </c>
      <c r="E34" s="2"/>
      <c r="F34" s="6">
        <f t="shared" si="0"/>
        <v>0.14089678345938575</v>
      </c>
      <c r="G34" s="2"/>
      <c r="H34" s="2">
        <f>SUM(OSRRefH22_1x_0)</f>
        <v>63536.719999999994</v>
      </c>
      <c r="I34" s="2"/>
      <c r="J34" s="6">
        <f t="shared" si="1"/>
        <v>0.70466548343889623</v>
      </c>
      <c r="K34" s="2"/>
      <c r="L34" s="2">
        <f t="shared" si="2"/>
        <v>55015.530000000006</v>
      </c>
      <c r="M34" s="2"/>
      <c r="N34" s="6">
        <f t="shared" si="3"/>
        <v>0.86588558553227191</v>
      </c>
      <c r="O34" s="14"/>
      <c r="P34" s="2">
        <f>SUM(OSRRefP22_1x_0)</f>
        <v>948536.16</v>
      </c>
      <c r="Q34" s="2"/>
      <c r="R34" s="6">
        <f t="shared" si="4"/>
        <v>0.17673542973572398</v>
      </c>
      <c r="S34" s="2"/>
      <c r="T34" s="2">
        <f>SUM(OSRRefT22_1x_0)</f>
        <v>547721.71000000008</v>
      </c>
      <c r="U34" s="2"/>
      <c r="V34" s="6">
        <f t="shared" si="5"/>
        <v>0.59683269726369437</v>
      </c>
      <c r="W34" s="2"/>
      <c r="X34" s="2">
        <f t="shared" si="6"/>
        <v>400814.44999999995</v>
      </c>
      <c r="Y34" s="2"/>
      <c r="Z34" s="6">
        <f t="shared" si="7"/>
        <v>0.73178485110623037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9900.76</v>
      </c>
      <c r="E35" s="3"/>
      <c r="F35" s="7">
        <f t="shared" si="0"/>
        <v>1.1766838991274717E-2</v>
      </c>
      <c r="G35" s="3"/>
      <c r="H35" s="8">
        <v>17425.37</v>
      </c>
      <c r="I35" s="3"/>
      <c r="J35" s="7">
        <f t="shared" si="1"/>
        <v>0.19325921727076312</v>
      </c>
      <c r="K35" s="3"/>
      <c r="L35" s="8">
        <f t="shared" si="2"/>
        <v>-7524.6099999999988</v>
      </c>
      <c r="M35" s="3"/>
      <c r="N35" s="7">
        <f t="shared" si="3"/>
        <v>-0.43181923827155461</v>
      </c>
      <c r="O35" s="12"/>
      <c r="P35" s="8">
        <v>152158.84</v>
      </c>
      <c r="Q35" s="3"/>
      <c r="R35" s="7">
        <f t="shared" si="4"/>
        <v>2.8350904382484759E-2</v>
      </c>
      <c r="S35" s="3"/>
      <c r="T35" s="8">
        <v>154505.26</v>
      </c>
      <c r="U35" s="3"/>
      <c r="V35" s="7">
        <f t="shared" si="5"/>
        <v>0.16835883877458205</v>
      </c>
      <c r="W35" s="3"/>
      <c r="X35" s="8">
        <f t="shared" si="6"/>
        <v>-2346.4200000000128</v>
      </c>
      <c r="Y35" s="3"/>
      <c r="Z35" s="7">
        <f t="shared" si="7"/>
        <v>-1.5186667431257761E-2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39613.49</v>
      </c>
      <c r="E36" s="3"/>
      <c r="F36" s="7">
        <f t="shared" si="0"/>
        <v>4.7079775563943681E-2</v>
      </c>
      <c r="G36" s="3"/>
      <c r="H36" s="8">
        <v>28528.41</v>
      </c>
      <c r="I36" s="3"/>
      <c r="J36" s="7">
        <f t="shared" si="1"/>
        <v>0.31639949031667114</v>
      </c>
      <c r="K36" s="3"/>
      <c r="L36" s="8">
        <f t="shared" si="2"/>
        <v>11085.079999999998</v>
      </c>
      <c r="M36" s="3"/>
      <c r="N36" s="7">
        <f t="shared" si="3"/>
        <v>0.38856283963950317</v>
      </c>
      <c r="O36" s="12"/>
      <c r="P36" s="8">
        <v>289669.34999999998</v>
      </c>
      <c r="Q36" s="3"/>
      <c r="R36" s="7">
        <f t="shared" si="4"/>
        <v>5.3972467484547801E-2</v>
      </c>
      <c r="S36" s="3"/>
      <c r="T36" s="8">
        <v>168970.39</v>
      </c>
      <c r="U36" s="3"/>
      <c r="V36" s="7">
        <f t="shared" si="5"/>
        <v>0.18412097198301372</v>
      </c>
      <c r="W36" s="3"/>
      <c r="X36" s="8">
        <f t="shared" si="6"/>
        <v>120698.95999999996</v>
      </c>
      <c r="Y36" s="3"/>
      <c r="Z36" s="7">
        <f t="shared" si="7"/>
        <v>0.71432018355405313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21390.02</v>
      </c>
      <c r="E37" s="3"/>
      <c r="F37" s="7">
        <f t="shared" si="0"/>
        <v>2.5421575854797613E-2</v>
      </c>
      <c r="G37" s="3"/>
      <c r="H37" s="8">
        <v>10614.88</v>
      </c>
      <c r="I37" s="3"/>
      <c r="J37" s="7">
        <f t="shared" si="1"/>
        <v>0.11772624628476056</v>
      </c>
      <c r="K37" s="3"/>
      <c r="L37" s="8">
        <f t="shared" si="2"/>
        <v>10775.140000000001</v>
      </c>
      <c r="M37" s="3"/>
      <c r="N37" s="7">
        <f t="shared" si="3"/>
        <v>1.0150976742082813</v>
      </c>
      <c r="O37" s="12"/>
      <c r="P37" s="8">
        <v>171794.28</v>
      </c>
      <c r="Q37" s="3"/>
      <c r="R37" s="7">
        <f t="shared" si="4"/>
        <v>3.2009465935320051E-2</v>
      </c>
      <c r="S37" s="3"/>
      <c r="T37" s="8">
        <v>99974.07</v>
      </c>
      <c r="U37" s="3"/>
      <c r="V37" s="7">
        <f t="shared" si="5"/>
        <v>0.1089381573984522</v>
      </c>
      <c r="W37" s="3"/>
      <c r="X37" s="8">
        <f t="shared" si="6"/>
        <v>71820.209999999992</v>
      </c>
      <c r="Y37" s="3"/>
      <c r="Z37" s="7">
        <f t="shared" si="7"/>
        <v>0.71838837810644285</v>
      </c>
    </row>
    <row r="38" spans="1:26" s="69" customFormat="1" ht="15" hidden="1" customHeight="1" outlineLevel="2" x14ac:dyDescent="0.3">
      <c r="A38" s="26"/>
      <c r="B38" s="12" t="str">
        <f>CONCATENATE("          ","6006"," - ","TEMPORARY PART TIME")</f>
        <v xml:space="preserve">          6006 - TEMPORARY PART TIME</v>
      </c>
      <c r="C38" s="12"/>
      <c r="D38" s="8">
        <v>1049.1199999999999</v>
      </c>
      <c r="E38" s="3"/>
      <c r="F38" s="7">
        <f t="shared" si="0"/>
        <v>1.2468564153182309E-3</v>
      </c>
      <c r="G38" s="3"/>
      <c r="H38" s="8">
        <v>847.56</v>
      </c>
      <c r="I38" s="3"/>
      <c r="J38" s="7">
        <f t="shared" si="1"/>
        <v>9.4000174567316491E-3</v>
      </c>
      <c r="K38" s="3"/>
      <c r="L38" s="8">
        <f t="shared" si="2"/>
        <v>201.55999999999995</v>
      </c>
      <c r="M38" s="3"/>
      <c r="N38" s="7">
        <f t="shared" si="3"/>
        <v>0.2378120723016659</v>
      </c>
      <c r="O38" s="12"/>
      <c r="P38" s="8">
        <v>3233.92</v>
      </c>
      <c r="Q38" s="3"/>
      <c r="R38" s="7">
        <f t="shared" si="4"/>
        <v>6.0255819971159817E-4</v>
      </c>
      <c r="S38" s="3"/>
      <c r="T38" s="8">
        <v>2174.52</v>
      </c>
      <c r="U38" s="3"/>
      <c r="V38" s="7">
        <f t="shared" si="5"/>
        <v>2.3694964306852991E-3</v>
      </c>
      <c r="W38" s="3"/>
      <c r="X38" s="8">
        <f t="shared" si="6"/>
        <v>1059.4000000000001</v>
      </c>
      <c r="Y38" s="3"/>
      <c r="Z38" s="7">
        <f t="shared" si="7"/>
        <v>0.48718797711678902</v>
      </c>
    </row>
    <row r="39" spans="1:26" s="69" customFormat="1" ht="15" hidden="1" customHeight="1" outlineLevel="2" x14ac:dyDescent="0.3">
      <c r="A39" s="26"/>
      <c r="B39" s="12" t="str">
        <f>CONCATENATE("          ","6007"," - ","STUDENT HOURLY")</f>
        <v xml:space="preserve">          6007 - STUDENT HOURLY</v>
      </c>
      <c r="C39" s="12"/>
      <c r="D39" s="8">
        <v>23900.41</v>
      </c>
      <c r="E39" s="3"/>
      <c r="F39" s="7">
        <f t="shared" si="0"/>
        <v>2.8405120040830414E-2</v>
      </c>
      <c r="G39" s="3"/>
      <c r="H39" s="8">
        <v>6120.5</v>
      </c>
      <c r="I39" s="3"/>
      <c r="J39" s="7">
        <f t="shared" si="1"/>
        <v>6.7880512109969871E-2</v>
      </c>
      <c r="K39" s="3"/>
      <c r="L39" s="8">
        <f t="shared" si="2"/>
        <v>17779.91</v>
      </c>
      <c r="M39" s="3"/>
      <c r="N39" s="7">
        <f t="shared" si="3"/>
        <v>2.9049767175884322</v>
      </c>
      <c r="O39" s="12"/>
      <c r="P39" s="8">
        <v>231569.14</v>
      </c>
      <c r="Q39" s="3"/>
      <c r="R39" s="7">
        <f t="shared" si="4"/>
        <v>4.3146980787144719E-2</v>
      </c>
      <c r="S39" s="3"/>
      <c r="T39" s="8">
        <v>111466.59</v>
      </c>
      <c r="U39" s="3"/>
      <c r="V39" s="7">
        <f t="shared" si="5"/>
        <v>0.12146114413556171</v>
      </c>
      <c r="W39" s="3"/>
      <c r="X39" s="8">
        <f t="shared" si="6"/>
        <v>120102.55000000002</v>
      </c>
      <c r="Y39" s="3"/>
      <c r="Z39" s="7">
        <f t="shared" si="7"/>
        <v>1.0774757709911107</v>
      </c>
    </row>
    <row r="40" spans="1:26" s="69" customFormat="1" ht="15" hidden="1" customHeight="1" outlineLevel="2" x14ac:dyDescent="0.3">
      <c r="A40" s="26"/>
      <c r="B40" s="12" t="str">
        <f>CONCATENATE("          ","6008"," - ","STUDENT HOURLY-FICA EXEMPT")</f>
        <v xml:space="preserve">          6008 - STUDENT HOURLY-FICA EXEMPT</v>
      </c>
      <c r="C40" s="12"/>
      <c r="D40" s="8">
        <v>22698.45</v>
      </c>
      <c r="E40" s="3"/>
      <c r="F40" s="7">
        <f t="shared" si="0"/>
        <v>2.6976616593221085E-2</v>
      </c>
      <c r="G40" s="3"/>
      <c r="H40" s="8"/>
      <c r="I40" s="3"/>
      <c r="J40" s="7">
        <f t="shared" si="1"/>
        <v>0</v>
      </c>
      <c r="K40" s="3"/>
      <c r="L40" s="8">
        <f t="shared" si="2"/>
        <v>22698.45</v>
      </c>
      <c r="M40" s="3"/>
      <c r="N40" s="7">
        <f t="shared" si="3"/>
        <v>0</v>
      </c>
      <c r="O40" s="12"/>
      <c r="P40" s="8">
        <v>100110.63</v>
      </c>
      <c r="Q40" s="3"/>
      <c r="R40" s="7">
        <f t="shared" si="4"/>
        <v>1.865305294651504E-2</v>
      </c>
      <c r="S40" s="3"/>
      <c r="T40" s="8">
        <v>10630.88</v>
      </c>
      <c r="U40" s="3"/>
      <c r="V40" s="7">
        <f t="shared" si="5"/>
        <v>1.1584088541399357E-2</v>
      </c>
      <c r="W40" s="3"/>
      <c r="X40" s="8">
        <f t="shared" si="6"/>
        <v>89479.75</v>
      </c>
      <c r="Y40" s="3"/>
      <c r="Z40" s="7">
        <f t="shared" si="7"/>
        <v>8.4169654816910739</v>
      </c>
    </row>
    <row r="41" spans="1:26" s="68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6.96</v>
      </c>
      <c r="E41" s="2"/>
      <c r="F41" s="6">
        <f t="shared" si="0"/>
        <v>8.2718093741563289E-6</v>
      </c>
      <c r="G41" s="2"/>
      <c r="H41" s="2">
        <f>SUM(OSRRefH22_2x_0)</f>
        <v>122.76</v>
      </c>
      <c r="I41" s="2"/>
      <c r="J41" s="6">
        <f t="shared" si="1"/>
        <v>1.3614919804950415E-3</v>
      </c>
      <c r="K41" s="2"/>
      <c r="L41" s="2">
        <f t="shared" si="2"/>
        <v>-115.80000000000001</v>
      </c>
      <c r="M41" s="2"/>
      <c r="N41" s="6">
        <f t="shared" si="3"/>
        <v>-0.9433040078201369</v>
      </c>
      <c r="O41" s="14"/>
      <c r="P41" s="2">
        <f>SUM(OSRRefP22_2x_0)</f>
        <v>1086.81</v>
      </c>
      <c r="Q41" s="2"/>
      <c r="R41" s="6">
        <f t="shared" si="4"/>
        <v>2.0249921984110986E-4</v>
      </c>
      <c r="S41" s="2"/>
      <c r="T41" s="2">
        <f>SUM(OSRRefT22_2x_0)</f>
        <v>1363.18</v>
      </c>
      <c r="U41" s="2"/>
      <c r="V41" s="6">
        <f t="shared" si="5"/>
        <v>1.4854083404068881E-3</v>
      </c>
      <c r="W41" s="2"/>
      <c r="X41" s="2">
        <f t="shared" si="6"/>
        <v>-276.37000000000012</v>
      </c>
      <c r="Y41" s="2"/>
      <c r="Z41" s="6">
        <f t="shared" si="7"/>
        <v>-0.20273918338003794</v>
      </c>
    </row>
    <row r="42" spans="1:26" s="69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8">
        <v>6.96</v>
      </c>
      <c r="E42" s="3"/>
      <c r="F42" s="7">
        <f t="shared" si="0"/>
        <v>8.2718093741563289E-6</v>
      </c>
      <c r="G42" s="3"/>
      <c r="H42" s="8">
        <v>122.76</v>
      </c>
      <c r="I42" s="3"/>
      <c r="J42" s="7">
        <f t="shared" si="1"/>
        <v>1.3614919804950415E-3</v>
      </c>
      <c r="K42" s="3"/>
      <c r="L42" s="8">
        <f t="shared" si="2"/>
        <v>-115.80000000000001</v>
      </c>
      <c r="M42" s="3"/>
      <c r="N42" s="7">
        <f t="shared" si="3"/>
        <v>-0.9433040078201369</v>
      </c>
      <c r="O42" s="12"/>
      <c r="P42" s="8">
        <v>1086.81</v>
      </c>
      <c r="Q42" s="3"/>
      <c r="R42" s="7">
        <f t="shared" si="4"/>
        <v>2.0249921984110986E-4</v>
      </c>
      <c r="S42" s="3"/>
      <c r="T42" s="8">
        <v>1363.18</v>
      </c>
      <c r="U42" s="3"/>
      <c r="V42" s="7">
        <f t="shared" si="5"/>
        <v>1.4854083404068881E-3</v>
      </c>
      <c r="W42" s="3"/>
      <c r="X42" s="8">
        <f t="shared" si="6"/>
        <v>-276.37000000000012</v>
      </c>
      <c r="Y42" s="3"/>
      <c r="Z42" s="7">
        <f t="shared" si="7"/>
        <v>-0.20273918338003794</v>
      </c>
    </row>
    <row r="43" spans="1:26" s="68" customFormat="1" ht="15" customHeight="1" outlineLevel="1" collapsed="1" x14ac:dyDescent="0.3">
      <c r="A43" s="25"/>
      <c r="B43" s="14" t="str">
        <f>CONCATENATE("     ","Bad Debts/Over/Short                              ")</f>
        <v xml:space="preserve">     Bad Debts/Over/Short   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SUM(OSRRefP22_3x_0)</f>
        <v>0</v>
      </c>
      <c r="Q43" s="2"/>
      <c r="R43" s="6">
        <f t="shared" si="4"/>
        <v>0</v>
      </c>
      <c r="S43" s="2"/>
      <c r="T43" s="2">
        <f>SUM(OSRRefT22_3x_0)</f>
        <v>23.8</v>
      </c>
      <c r="U43" s="2"/>
      <c r="V43" s="6">
        <f t="shared" si="5"/>
        <v>2.593400614862596E-5</v>
      </c>
      <c r="W43" s="2"/>
      <c r="X43" s="2">
        <f t="shared" si="6"/>
        <v>-23.8</v>
      </c>
      <c r="Y43" s="2"/>
      <c r="Z43" s="6">
        <f t="shared" si="7"/>
        <v>-1</v>
      </c>
    </row>
    <row r="44" spans="1:26" s="69" customFormat="1" ht="15" hidden="1" customHeight="1" outlineLevel="2" x14ac:dyDescent="0.3">
      <c r="A44" s="26"/>
      <c r="B44" s="12" t="str">
        <f>CONCATENATE("          ","6272"," - ","CASH (OVER/SHORT)")</f>
        <v xml:space="preserve">          6272 - CASH (OVER/SHORT)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0</v>
      </c>
      <c r="Q44" s="3"/>
      <c r="R44" s="7">
        <f t="shared" si="4"/>
        <v>0</v>
      </c>
      <c r="S44" s="3"/>
      <c r="T44" s="8">
        <v>23.8</v>
      </c>
      <c r="U44" s="3"/>
      <c r="V44" s="7">
        <f t="shared" si="5"/>
        <v>2.593400614862596E-5</v>
      </c>
      <c r="W44" s="3"/>
      <c r="X44" s="8">
        <f t="shared" si="6"/>
        <v>-23.8</v>
      </c>
      <c r="Y44" s="3"/>
      <c r="Z44" s="7">
        <f t="shared" si="7"/>
        <v>-1</v>
      </c>
    </row>
    <row r="45" spans="1:26" s="68" customFormat="1" ht="15" customHeight="1" outlineLevel="1" collapsed="1" x14ac:dyDescent="0.3">
      <c r="A45" s="25"/>
      <c r="B45" s="14" t="str">
        <f>CONCATENATE("     ","Bank/card Fees                                    ")</f>
        <v xml:space="preserve">     Bank/card Fees                                    </v>
      </c>
      <c r="C45" s="14"/>
      <c r="D45" s="2">
        <f>SUM(OSRRefD22_4x_0)</f>
        <v>74.94</v>
      </c>
      <c r="E45" s="2"/>
      <c r="F45" s="6">
        <f t="shared" si="0"/>
        <v>8.9064568175183239E-5</v>
      </c>
      <c r="G45" s="2"/>
      <c r="H45" s="2">
        <f>SUM(OSRRefH22_4x_0)</f>
        <v>79.34</v>
      </c>
      <c r="I45" s="2"/>
      <c r="J45" s="6">
        <f t="shared" si="1"/>
        <v>8.7993461821828448E-4</v>
      </c>
      <c r="K45" s="2"/>
      <c r="L45" s="2">
        <f t="shared" si="2"/>
        <v>-4.4000000000000057</v>
      </c>
      <c r="M45" s="2"/>
      <c r="N45" s="6">
        <f t="shared" si="3"/>
        <v>-5.5457524577766641E-2</v>
      </c>
      <c r="O45" s="14"/>
      <c r="P45" s="2">
        <f>SUM(OSRRefP22_4x_0)</f>
        <v>565.27</v>
      </c>
      <c r="Q45" s="2"/>
      <c r="R45" s="6">
        <f t="shared" si="4"/>
        <v>1.0532359289994035E-4</v>
      </c>
      <c r="S45" s="2"/>
      <c r="T45" s="2">
        <f>SUM(OSRRefT22_4x_0)</f>
        <v>346.34</v>
      </c>
      <c r="U45" s="2"/>
      <c r="V45" s="6">
        <f t="shared" si="5"/>
        <v>3.7739427266870226E-4</v>
      </c>
      <c r="W45" s="2"/>
      <c r="X45" s="2">
        <f t="shared" si="6"/>
        <v>218.93</v>
      </c>
      <c r="Y45" s="2"/>
      <c r="Z45" s="6">
        <f t="shared" si="7"/>
        <v>0.6321245019345153</v>
      </c>
    </row>
    <row r="46" spans="1:26" s="69" customFormat="1" ht="15" hidden="1" customHeight="1" outlineLevel="2" x14ac:dyDescent="0.3">
      <c r="A46" s="26"/>
      <c r="B46" s="12" t="str">
        <f>CONCATENATE("          ","6381"," - ","BANK/CREDIT CARD FEES")</f>
        <v xml:space="preserve">          6381 - BANK/CREDIT CARD FEES</v>
      </c>
      <c r="C46" s="12"/>
      <c r="D46" s="8">
        <v>74.94</v>
      </c>
      <c r="E46" s="3"/>
      <c r="F46" s="7">
        <f t="shared" si="0"/>
        <v>8.9064568175183239E-5</v>
      </c>
      <c r="G46" s="3"/>
      <c r="H46" s="8">
        <v>79.34</v>
      </c>
      <c r="I46" s="3"/>
      <c r="J46" s="7">
        <f t="shared" si="1"/>
        <v>8.7993461821828448E-4</v>
      </c>
      <c r="K46" s="3"/>
      <c r="L46" s="8">
        <f t="shared" si="2"/>
        <v>-4.4000000000000057</v>
      </c>
      <c r="M46" s="3"/>
      <c r="N46" s="7">
        <f t="shared" si="3"/>
        <v>-5.5457524577766641E-2</v>
      </c>
      <c r="O46" s="12"/>
      <c r="P46" s="8">
        <v>565.27</v>
      </c>
      <c r="Q46" s="3"/>
      <c r="R46" s="7">
        <f t="shared" si="4"/>
        <v>1.0532359289994035E-4</v>
      </c>
      <c r="S46" s="3"/>
      <c r="T46" s="8">
        <v>346.34</v>
      </c>
      <c r="U46" s="3"/>
      <c r="V46" s="7">
        <f t="shared" si="5"/>
        <v>3.7739427266870226E-4</v>
      </c>
      <c r="W46" s="3"/>
      <c r="X46" s="8">
        <f t="shared" si="6"/>
        <v>218.93</v>
      </c>
      <c r="Y46" s="3"/>
      <c r="Z46" s="7">
        <f t="shared" si="7"/>
        <v>0.6321245019345153</v>
      </c>
    </row>
    <row r="47" spans="1:26" s="68" customFormat="1" ht="15" customHeight="1" outlineLevel="1" collapsed="1" x14ac:dyDescent="0.3">
      <c r="A47" s="25"/>
      <c r="B47" s="14" t="str">
        <f>CONCATENATE("     ","Depreciation                                      ")</f>
        <v xml:space="preserve">     Depreciation                                      </v>
      </c>
      <c r="C47" s="14"/>
      <c r="D47" s="2">
        <f>SUM(OSRRefD22_5x_0)</f>
        <v>273.51</v>
      </c>
      <c r="E47" s="2"/>
      <c r="F47" s="6">
        <f t="shared" si="0"/>
        <v>3.2506071579389335E-4</v>
      </c>
      <c r="G47" s="2"/>
      <c r="H47" s="2">
        <f>SUM(OSRRefH22_5x_0)</f>
        <v>272.74</v>
      </c>
      <c r="I47" s="2"/>
      <c r="J47" s="6">
        <f t="shared" si="1"/>
        <v>3.0248722935827437E-3</v>
      </c>
      <c r="K47" s="2"/>
      <c r="L47" s="2">
        <f t="shared" si="2"/>
        <v>0.76999999999998181</v>
      </c>
      <c r="M47" s="2"/>
      <c r="N47" s="6">
        <f t="shared" si="3"/>
        <v>2.8232015839260165E-3</v>
      </c>
      <c r="O47" s="14"/>
      <c r="P47" s="2">
        <f>SUM(OSRRefP22_5x_0)</f>
        <v>2735.1</v>
      </c>
      <c r="Q47" s="2"/>
      <c r="R47" s="6">
        <f t="shared" si="4"/>
        <v>5.0961586311077333E-4</v>
      </c>
      <c r="S47" s="2"/>
      <c r="T47" s="2">
        <f>SUM(OSRRefT22_5x_0)</f>
        <v>2463.1799999999998</v>
      </c>
      <c r="U47" s="2"/>
      <c r="V47" s="6">
        <f t="shared" si="5"/>
        <v>2.6840388766879194E-3</v>
      </c>
      <c r="W47" s="2"/>
      <c r="X47" s="2">
        <f t="shared" si="6"/>
        <v>271.92000000000007</v>
      </c>
      <c r="Y47" s="2"/>
      <c r="Z47" s="6">
        <f t="shared" si="7"/>
        <v>0.11039388108055444</v>
      </c>
    </row>
    <row r="48" spans="1:26" s="69" customFormat="1" ht="15" hidden="1" customHeight="1" outlineLevel="2" x14ac:dyDescent="0.3">
      <c r="A48" s="26"/>
      <c r="B48" s="12" t="str">
        <f>CONCATENATE("          ","6322"," - ","EQUIPMENT DEPRECIATION EXPENSE")</f>
        <v xml:space="preserve">          6322 - EQUIPMENT DEPRECIATION EXPENSE</v>
      </c>
      <c r="C48" s="12"/>
      <c r="D48" s="8">
        <v>273.51</v>
      </c>
      <c r="E48" s="3"/>
      <c r="F48" s="7">
        <f t="shared" si="0"/>
        <v>3.2506071579389335E-4</v>
      </c>
      <c r="G48" s="3"/>
      <c r="H48" s="8">
        <v>272.74</v>
      </c>
      <c r="I48" s="3"/>
      <c r="J48" s="7">
        <f t="shared" si="1"/>
        <v>3.0248722935827437E-3</v>
      </c>
      <c r="K48" s="3"/>
      <c r="L48" s="8">
        <f t="shared" si="2"/>
        <v>0.76999999999998181</v>
      </c>
      <c r="M48" s="3"/>
      <c r="N48" s="7">
        <f t="shared" si="3"/>
        <v>2.8232015839260165E-3</v>
      </c>
      <c r="O48" s="12"/>
      <c r="P48" s="8">
        <v>2735.1</v>
      </c>
      <c r="Q48" s="3"/>
      <c r="R48" s="7">
        <f t="shared" si="4"/>
        <v>5.0961586311077333E-4</v>
      </c>
      <c r="S48" s="3"/>
      <c r="T48" s="8">
        <v>2463.1799999999998</v>
      </c>
      <c r="U48" s="3"/>
      <c r="V48" s="7">
        <f t="shared" si="5"/>
        <v>2.6840388766879194E-3</v>
      </c>
      <c r="W48" s="3"/>
      <c r="X48" s="8">
        <f t="shared" si="6"/>
        <v>271.92000000000007</v>
      </c>
      <c r="Y48" s="3"/>
      <c r="Z48" s="7">
        <f t="shared" si="7"/>
        <v>0.11039388108055444</v>
      </c>
    </row>
    <row r="49" spans="1:26" s="68" customFormat="1" ht="15" customHeight="1" outlineLevel="1" collapsed="1" x14ac:dyDescent="0.3">
      <c r="A49" s="25"/>
      <c r="B49" s="14" t="str">
        <f>CONCATENATE("     ","Donations                                         ")</f>
        <v xml:space="preserve">     Donations                                         </v>
      </c>
      <c r="C49" s="14"/>
      <c r="D49" s="2">
        <f>SUM(OSRRefD22_6x_0)</f>
        <v>2995.76</v>
      </c>
      <c r="E49" s="2"/>
      <c r="F49" s="6">
        <f t="shared" si="0"/>
        <v>3.5603959268279551E-3</v>
      </c>
      <c r="G49" s="2"/>
      <c r="H49" s="2">
        <f>SUM(OSRRefH22_6x_0)</f>
        <v>7325.88</v>
      </c>
      <c r="I49" s="2"/>
      <c r="J49" s="6">
        <f t="shared" si="1"/>
        <v>8.1248996986551109E-2</v>
      </c>
      <c r="K49" s="2"/>
      <c r="L49" s="2">
        <f t="shared" si="2"/>
        <v>-4330.12</v>
      </c>
      <c r="M49" s="2"/>
      <c r="N49" s="6">
        <f t="shared" si="3"/>
        <v>-0.59107165282532603</v>
      </c>
      <c r="O49" s="14"/>
      <c r="P49" s="2">
        <f>SUM(OSRRefP22_6x_0)</f>
        <v>21723.55</v>
      </c>
      <c r="Q49" s="2"/>
      <c r="R49" s="6">
        <f t="shared" si="4"/>
        <v>4.0476273931775953E-3</v>
      </c>
      <c r="S49" s="2"/>
      <c r="T49" s="2">
        <f>SUM(OSRRefT22_6x_0)</f>
        <v>58305.64</v>
      </c>
      <c r="U49" s="2"/>
      <c r="V49" s="6">
        <f t="shared" si="5"/>
        <v>6.3533564128553432E-2</v>
      </c>
      <c r="W49" s="2"/>
      <c r="X49" s="2">
        <f t="shared" si="6"/>
        <v>-36582.089999999997</v>
      </c>
      <c r="Y49" s="2"/>
      <c r="Z49" s="6">
        <f t="shared" si="7"/>
        <v>-0.6274194057384499</v>
      </c>
    </row>
    <row r="50" spans="1:26" s="69" customFormat="1" ht="15" hidden="1" customHeight="1" outlineLevel="2" x14ac:dyDescent="0.3">
      <c r="A50" s="26"/>
      <c r="B50" s="12" t="str">
        <f>CONCATENATE("          ","6399"," - ","DONATION-ON CAMPUS")</f>
        <v xml:space="preserve">          6399 - DONATION-ON CAMPUS</v>
      </c>
      <c r="C50" s="12"/>
      <c r="D50" s="8">
        <v>2995.76</v>
      </c>
      <c r="E50" s="3"/>
      <c r="F50" s="7">
        <f t="shared" si="0"/>
        <v>3.5603959268279551E-3</v>
      </c>
      <c r="G50" s="3"/>
      <c r="H50" s="8">
        <v>7325.88</v>
      </c>
      <c r="I50" s="3"/>
      <c r="J50" s="7">
        <f t="shared" si="1"/>
        <v>8.1248996986551109E-2</v>
      </c>
      <c r="K50" s="3"/>
      <c r="L50" s="8">
        <f t="shared" si="2"/>
        <v>-4330.12</v>
      </c>
      <c r="M50" s="3"/>
      <c r="N50" s="7">
        <f t="shared" si="3"/>
        <v>-0.59107165282532603</v>
      </c>
      <c r="O50" s="12"/>
      <c r="P50" s="8">
        <v>21723.55</v>
      </c>
      <c r="Q50" s="3"/>
      <c r="R50" s="7">
        <f t="shared" si="4"/>
        <v>4.0476273931775953E-3</v>
      </c>
      <c r="S50" s="3"/>
      <c r="T50" s="8">
        <v>58305.64</v>
      </c>
      <c r="U50" s="3"/>
      <c r="V50" s="7">
        <f t="shared" si="5"/>
        <v>6.3533564128553432E-2</v>
      </c>
      <c r="W50" s="3"/>
      <c r="X50" s="8">
        <f t="shared" si="6"/>
        <v>-36582.089999999997</v>
      </c>
      <c r="Y50" s="3"/>
      <c r="Z50" s="7">
        <f t="shared" si="7"/>
        <v>-0.6274194057384499</v>
      </c>
    </row>
    <row r="51" spans="1:26" s="68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SUM(OSRRefD22_7x_0)</f>
        <v>0</v>
      </c>
      <c r="E51" s="2"/>
      <c r="F51" s="6">
        <f t="shared" si="0"/>
        <v>0</v>
      </c>
      <c r="G51" s="2"/>
      <c r="H51" s="2">
        <f>SUM(OSRRefH22_7x_0)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SUM(OSRRefP22_7x_0)</f>
        <v>200.77</v>
      </c>
      <c r="Q51" s="2"/>
      <c r="R51" s="6">
        <f t="shared" si="4"/>
        <v>3.7408349543618142E-5</v>
      </c>
      <c r="S51" s="2"/>
      <c r="T51" s="2">
        <f>SUM(OSRRefT22_7x_0)</f>
        <v>0</v>
      </c>
      <c r="U51" s="2"/>
      <c r="V51" s="6">
        <f t="shared" si="5"/>
        <v>0</v>
      </c>
      <c r="W51" s="2"/>
      <c r="X51" s="2">
        <f t="shared" si="6"/>
        <v>200.77</v>
      </c>
      <c r="Y51" s="2"/>
      <c r="Z51" s="6">
        <f t="shared" si="7"/>
        <v>0</v>
      </c>
    </row>
    <row r="52" spans="1:26" s="69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200.77</v>
      </c>
      <c r="Q52" s="3"/>
      <c r="R52" s="7">
        <f t="shared" si="4"/>
        <v>3.7408349543618142E-5</v>
      </c>
      <c r="S52" s="3"/>
      <c r="T52" s="8"/>
      <c r="U52" s="3"/>
      <c r="V52" s="7">
        <f t="shared" si="5"/>
        <v>0</v>
      </c>
      <c r="W52" s="3"/>
      <c r="X52" s="8">
        <f t="shared" si="6"/>
        <v>200.77</v>
      </c>
      <c r="Y52" s="3"/>
      <c r="Z52" s="7">
        <f t="shared" si="7"/>
        <v>0</v>
      </c>
    </row>
    <row r="53" spans="1:26" s="68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SUM(OSRRefD22_8x_0)</f>
        <v>502.49</v>
      </c>
      <c r="E53" s="2"/>
      <c r="F53" s="6">
        <f t="shared" si="0"/>
        <v>5.9719849029020314E-4</v>
      </c>
      <c r="G53" s="2"/>
      <c r="H53" s="2">
        <f>SUM(OSRRefH22_8x_0)</f>
        <v>559.04</v>
      </c>
      <c r="I53" s="2"/>
      <c r="J53" s="6">
        <f t="shared" si="1"/>
        <v>6.2001342194195827E-3</v>
      </c>
      <c r="K53" s="2"/>
      <c r="L53" s="2">
        <f t="shared" si="2"/>
        <v>-56.549999999999955</v>
      </c>
      <c r="M53" s="2"/>
      <c r="N53" s="6">
        <f t="shared" si="3"/>
        <v>-0.10115555237550078</v>
      </c>
      <c r="O53" s="14"/>
      <c r="P53" s="2">
        <f>SUM(OSRRefP22_8x_0)</f>
        <v>3370.74</v>
      </c>
      <c r="Q53" s="2"/>
      <c r="R53" s="6">
        <f t="shared" si="4"/>
        <v>6.2805110395305766E-4</v>
      </c>
      <c r="S53" s="2"/>
      <c r="T53" s="2">
        <f>SUM(OSRRefT22_8x_0)</f>
        <v>3170.83</v>
      </c>
      <c r="U53" s="2"/>
      <c r="V53" s="6">
        <f t="shared" si="5"/>
        <v>3.4551396939599853E-3</v>
      </c>
      <c r="W53" s="2"/>
      <c r="X53" s="2">
        <f t="shared" si="6"/>
        <v>199.90999999999985</v>
      </c>
      <c r="Y53" s="2"/>
      <c r="Z53" s="6">
        <f t="shared" si="7"/>
        <v>6.3046584017433877E-2</v>
      </c>
    </row>
    <row r="54" spans="1:26" s="69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502.49</v>
      </c>
      <c r="E54" s="3"/>
      <c r="F54" s="7">
        <f t="shared" si="0"/>
        <v>5.9719849029020314E-4</v>
      </c>
      <c r="G54" s="3"/>
      <c r="H54" s="8">
        <v>559.04</v>
      </c>
      <c r="I54" s="3"/>
      <c r="J54" s="7">
        <f t="shared" si="1"/>
        <v>6.2001342194195827E-3</v>
      </c>
      <c r="K54" s="3"/>
      <c r="L54" s="8">
        <f t="shared" si="2"/>
        <v>-56.549999999999955</v>
      </c>
      <c r="M54" s="3"/>
      <c r="N54" s="7">
        <f t="shared" si="3"/>
        <v>-0.10115555237550078</v>
      </c>
      <c r="O54" s="12"/>
      <c r="P54" s="8">
        <v>3370.74</v>
      </c>
      <c r="Q54" s="3"/>
      <c r="R54" s="7">
        <f t="shared" si="4"/>
        <v>6.2805110395305766E-4</v>
      </c>
      <c r="S54" s="3"/>
      <c r="T54" s="8">
        <v>3170.83</v>
      </c>
      <c r="U54" s="3"/>
      <c r="V54" s="7">
        <f t="shared" si="5"/>
        <v>3.4551396939599853E-3</v>
      </c>
      <c r="W54" s="3"/>
      <c r="X54" s="8">
        <f t="shared" si="6"/>
        <v>199.90999999999985</v>
      </c>
      <c r="Y54" s="3"/>
      <c r="Z54" s="7">
        <f t="shared" si="7"/>
        <v>6.3046584017433877E-2</v>
      </c>
    </row>
    <row r="55" spans="1:26" s="68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SUM(OSRRefD22_9x_0)</f>
        <v>2134.44</v>
      </c>
      <c r="E55" s="2"/>
      <c r="F55" s="6">
        <f t="shared" ref="F55:F83" si="8">IF(D$12=0,0,D55/D$12)</f>
        <v>2.5367357472089419E-3</v>
      </c>
      <c r="G55" s="2"/>
      <c r="H55" s="2">
        <f>SUM(OSRRefH22_9x_0)</f>
        <v>0</v>
      </c>
      <c r="I55" s="2"/>
      <c r="J55" s="6">
        <f t="shared" ref="J55:J83" si="9">IF(H$12=0,0,H55/H$12)</f>
        <v>0</v>
      </c>
      <c r="K55" s="2"/>
      <c r="L55" s="2">
        <f t="shared" ref="L55:L83" si="10">+D55-H55</f>
        <v>2134.44</v>
      </c>
      <c r="M55" s="2"/>
      <c r="N55" s="6">
        <f t="shared" ref="N55:N83" si="11">IF(H55=0,0,L55/H55)</f>
        <v>0</v>
      </c>
      <c r="O55" s="14"/>
      <c r="P55" s="2">
        <f>SUM(OSRRefP22_9x_0)</f>
        <v>4060.62</v>
      </c>
      <c r="Q55" s="2"/>
      <c r="R55" s="6">
        <f t="shared" ref="R55:R83" si="12">IF(P$12=0,0,P55/P$12)</f>
        <v>7.5659258018531987E-4</v>
      </c>
      <c r="S55" s="2"/>
      <c r="T55" s="2">
        <f>SUM(OSRRefT22_9x_0)</f>
        <v>1888.78</v>
      </c>
      <c r="U55" s="2"/>
      <c r="V55" s="6">
        <f t="shared" ref="V55:V83" si="13">IF(T$12=0,0,T55/T$12)</f>
        <v>2.0581358039244426E-3</v>
      </c>
      <c r="W55" s="2"/>
      <c r="X55" s="2">
        <f t="shared" ref="X55:X83" si="14">+P55-T55</f>
        <v>2171.84</v>
      </c>
      <c r="Y55" s="2"/>
      <c r="Z55" s="6">
        <f t="shared" ref="Z55:Z83" si="15">IF(T55=0,0,X55/T55)</f>
        <v>1.1498639333326275</v>
      </c>
    </row>
    <row r="56" spans="1:26" s="69" customFormat="1" ht="15" hidden="1" customHeight="1" outlineLevel="2" x14ac:dyDescent="0.3">
      <c r="A56" s="26"/>
      <c r="B56" s="12" t="str">
        <f>CONCATENATE("          ","6279"," - ","GENERAL EXPENSE")</f>
        <v xml:space="preserve">          6279 - GENERAL EXPENSE</v>
      </c>
      <c r="C56" s="12"/>
      <c r="D56" s="8">
        <v>2134.44</v>
      </c>
      <c r="E56" s="3"/>
      <c r="F56" s="7">
        <f t="shared" si="8"/>
        <v>2.5367357472089419E-3</v>
      </c>
      <c r="G56" s="3"/>
      <c r="H56" s="8"/>
      <c r="I56" s="3"/>
      <c r="J56" s="7">
        <f t="shared" si="9"/>
        <v>0</v>
      </c>
      <c r="K56" s="3"/>
      <c r="L56" s="8">
        <f t="shared" si="10"/>
        <v>2134.44</v>
      </c>
      <c r="M56" s="3"/>
      <c r="N56" s="7">
        <f t="shared" si="11"/>
        <v>0</v>
      </c>
      <c r="O56" s="12"/>
      <c r="P56" s="8">
        <v>4060.62</v>
      </c>
      <c r="Q56" s="3"/>
      <c r="R56" s="7">
        <f t="shared" si="12"/>
        <v>7.5659258018531987E-4</v>
      </c>
      <c r="S56" s="3"/>
      <c r="T56" s="8">
        <v>1888.78</v>
      </c>
      <c r="U56" s="3"/>
      <c r="V56" s="7">
        <f t="shared" si="13"/>
        <v>2.0581358039244426E-3</v>
      </c>
      <c r="W56" s="3"/>
      <c r="X56" s="8">
        <f t="shared" si="14"/>
        <v>2171.84</v>
      </c>
      <c r="Y56" s="3"/>
      <c r="Z56" s="7">
        <f t="shared" si="15"/>
        <v>1.1498639333326275</v>
      </c>
    </row>
    <row r="57" spans="1:26" s="68" customFormat="1" ht="15" customHeight="1" outlineLevel="1" collapsed="1" x14ac:dyDescent="0.3">
      <c r="A57" s="25"/>
      <c r="B57" s="14" t="str">
        <f>CONCATENATE("     ","R/H Commissions                                   ")</f>
        <v xml:space="preserve">     R/H Commissions                                   </v>
      </c>
      <c r="C57" s="14"/>
      <c r="D57" s="2">
        <f>SUM(OSRRefD22_10x_0)</f>
        <v>66706.97</v>
      </c>
      <c r="E57" s="2"/>
      <c r="F57" s="6">
        <f t="shared" si="8"/>
        <v>7.927979019648923E-2</v>
      </c>
      <c r="G57" s="2"/>
      <c r="H57" s="2">
        <f>SUM(OSRRefH22_10x_0)</f>
        <v>6627.19</v>
      </c>
      <c r="I57" s="2"/>
      <c r="J57" s="6">
        <f t="shared" si="9"/>
        <v>7.3500049187169542E-2</v>
      </c>
      <c r="K57" s="2"/>
      <c r="L57" s="2">
        <f t="shared" si="10"/>
        <v>60079.78</v>
      </c>
      <c r="M57" s="2"/>
      <c r="N57" s="6">
        <f t="shared" si="11"/>
        <v>9.0656492419864225</v>
      </c>
      <c r="O57" s="14"/>
      <c r="P57" s="2">
        <f>SUM(OSRRefP22_10x_0)</f>
        <v>423634.73</v>
      </c>
      <c r="Q57" s="2"/>
      <c r="R57" s="6">
        <f t="shared" si="12"/>
        <v>7.8933486370754063E-2</v>
      </c>
      <c r="S57" s="2"/>
      <c r="T57" s="2">
        <f>SUM(OSRRefT22_10x_0)</f>
        <v>63740.44</v>
      </c>
      <c r="U57" s="2"/>
      <c r="V57" s="6">
        <f t="shared" si="13"/>
        <v>6.9455670709080847E-2</v>
      </c>
      <c r="W57" s="2"/>
      <c r="X57" s="2">
        <f t="shared" si="14"/>
        <v>359894.29</v>
      </c>
      <c r="Y57" s="2"/>
      <c r="Z57" s="6">
        <f t="shared" si="15"/>
        <v>5.6462473431309848</v>
      </c>
    </row>
    <row r="58" spans="1:26" s="69" customFormat="1" ht="15" hidden="1" customHeight="1" outlineLevel="2" x14ac:dyDescent="0.3">
      <c r="A58" s="26"/>
      <c r="B58" s="12" t="str">
        <f>CONCATENATE("          ","6387"," - ","COMMISSION DUE HOUSING")</f>
        <v xml:space="preserve">          6387 - COMMISSION DUE HOUSING</v>
      </c>
      <c r="C58" s="12"/>
      <c r="D58" s="8">
        <v>66706.97</v>
      </c>
      <c r="E58" s="3"/>
      <c r="F58" s="7">
        <f t="shared" si="8"/>
        <v>7.927979019648923E-2</v>
      </c>
      <c r="G58" s="3"/>
      <c r="H58" s="8">
        <v>6627.19</v>
      </c>
      <c r="I58" s="3"/>
      <c r="J58" s="7">
        <f t="shared" si="9"/>
        <v>7.3500049187169542E-2</v>
      </c>
      <c r="K58" s="3"/>
      <c r="L58" s="8">
        <f t="shared" si="10"/>
        <v>60079.78</v>
      </c>
      <c r="M58" s="3"/>
      <c r="N58" s="7">
        <f t="shared" si="11"/>
        <v>9.0656492419864225</v>
      </c>
      <c r="O58" s="12"/>
      <c r="P58" s="8">
        <v>423634.73</v>
      </c>
      <c r="Q58" s="3"/>
      <c r="R58" s="7">
        <f t="shared" si="12"/>
        <v>7.8933486370754063E-2</v>
      </c>
      <c r="S58" s="3"/>
      <c r="T58" s="8">
        <v>63740.44</v>
      </c>
      <c r="U58" s="3"/>
      <c r="V58" s="7">
        <f t="shared" si="13"/>
        <v>6.9455670709080847E-2</v>
      </c>
      <c r="W58" s="3"/>
      <c r="X58" s="8">
        <f t="shared" si="14"/>
        <v>359894.29</v>
      </c>
      <c r="Y58" s="3"/>
      <c r="Z58" s="7">
        <f t="shared" si="15"/>
        <v>5.6462473431309848</v>
      </c>
    </row>
    <row r="59" spans="1:26" s="68" customFormat="1" ht="15" customHeight="1" outlineLevel="1" collapsed="1" x14ac:dyDescent="0.3">
      <c r="A59" s="25"/>
      <c r="B59" s="14" t="str">
        <f>CONCATENATE("     ","Repair and Maintenance                            ")</f>
        <v xml:space="preserve">     Repair and Maintenance                            </v>
      </c>
      <c r="C59" s="14"/>
      <c r="D59" s="2">
        <f>SUM(OSRRefD22_11x_0)</f>
        <v>4.67</v>
      </c>
      <c r="E59" s="2"/>
      <c r="F59" s="6">
        <f t="shared" si="8"/>
        <v>5.5501939335215603E-6</v>
      </c>
      <c r="G59" s="2"/>
      <c r="H59" s="2">
        <f>SUM(OSRRefH22_11x_0)</f>
        <v>60.89</v>
      </c>
      <c r="I59" s="2"/>
      <c r="J59" s="6">
        <f t="shared" si="9"/>
        <v>6.7531155663361903E-4</v>
      </c>
      <c r="K59" s="2"/>
      <c r="L59" s="2">
        <f t="shared" si="10"/>
        <v>-56.22</v>
      </c>
      <c r="M59" s="2"/>
      <c r="N59" s="6">
        <f t="shared" si="11"/>
        <v>-0.92330431926424694</v>
      </c>
      <c r="O59" s="14"/>
      <c r="P59" s="2">
        <f>SUM(OSRRefP22_11x_0)</f>
        <v>5924.67</v>
      </c>
      <c r="Q59" s="2"/>
      <c r="R59" s="6">
        <f t="shared" si="12"/>
        <v>1.1039105757363553E-3</v>
      </c>
      <c r="S59" s="2"/>
      <c r="T59" s="2">
        <f>SUM(OSRRefT22_11x_0)</f>
        <v>3499.74</v>
      </c>
      <c r="U59" s="2"/>
      <c r="V59" s="6">
        <f t="shared" si="13"/>
        <v>3.8135411209492525E-3</v>
      </c>
      <c r="W59" s="2"/>
      <c r="X59" s="2">
        <f t="shared" si="14"/>
        <v>2424.9300000000003</v>
      </c>
      <c r="Y59" s="2"/>
      <c r="Z59" s="6">
        <f t="shared" si="15"/>
        <v>0.69288861458279771</v>
      </c>
    </row>
    <row r="60" spans="1:26" s="69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>
        <v>4.67</v>
      </c>
      <c r="E60" s="3"/>
      <c r="F60" s="7">
        <f t="shared" si="8"/>
        <v>5.5501939335215603E-6</v>
      </c>
      <c r="G60" s="3"/>
      <c r="H60" s="8">
        <v>12.34</v>
      </c>
      <c r="I60" s="3"/>
      <c r="J60" s="7">
        <f t="shared" si="9"/>
        <v>1.3685900162356478E-4</v>
      </c>
      <c r="K60" s="3"/>
      <c r="L60" s="8">
        <f t="shared" si="10"/>
        <v>-7.67</v>
      </c>
      <c r="M60" s="3"/>
      <c r="N60" s="7">
        <f t="shared" si="11"/>
        <v>-0.62155591572123181</v>
      </c>
      <c r="O60" s="12"/>
      <c r="P60" s="8">
        <v>3986.64</v>
      </c>
      <c r="Q60" s="3"/>
      <c r="R60" s="7">
        <f t="shared" si="12"/>
        <v>7.4280830116337003E-4</v>
      </c>
      <c r="S60" s="3"/>
      <c r="T60" s="8">
        <v>1696.17</v>
      </c>
      <c r="U60" s="3"/>
      <c r="V60" s="7">
        <f t="shared" si="13"/>
        <v>1.8482555970216342E-3</v>
      </c>
      <c r="W60" s="3"/>
      <c r="X60" s="8">
        <f t="shared" si="14"/>
        <v>2290.4699999999998</v>
      </c>
      <c r="Y60" s="3"/>
      <c r="Z60" s="7">
        <f t="shared" si="15"/>
        <v>1.3503776154512812</v>
      </c>
    </row>
    <row r="61" spans="1:26" s="69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8"/>
      <c r="E61" s="3"/>
      <c r="F61" s="7">
        <f t="shared" si="8"/>
        <v>0</v>
      </c>
      <c r="G61" s="3"/>
      <c r="H61" s="8">
        <v>48.55</v>
      </c>
      <c r="I61" s="3"/>
      <c r="J61" s="7">
        <f t="shared" si="9"/>
        <v>5.3845255501005422E-4</v>
      </c>
      <c r="K61" s="3"/>
      <c r="L61" s="8">
        <f t="shared" si="10"/>
        <v>-48.55</v>
      </c>
      <c r="M61" s="3"/>
      <c r="N61" s="7">
        <f t="shared" si="11"/>
        <v>-1</v>
      </c>
      <c r="O61" s="12"/>
      <c r="P61" s="8">
        <v>1938.03</v>
      </c>
      <c r="Q61" s="3"/>
      <c r="R61" s="7">
        <f t="shared" si="12"/>
        <v>3.6110227457298531E-4</v>
      </c>
      <c r="S61" s="3"/>
      <c r="T61" s="8">
        <v>1803.57</v>
      </c>
      <c r="U61" s="3"/>
      <c r="V61" s="7">
        <f t="shared" si="13"/>
        <v>1.9652855239276185E-3</v>
      </c>
      <c r="W61" s="3"/>
      <c r="X61" s="8">
        <f t="shared" si="14"/>
        <v>134.46000000000004</v>
      </c>
      <c r="Y61" s="3"/>
      <c r="Z61" s="7">
        <f t="shared" si="15"/>
        <v>7.4552138259119438E-2</v>
      </c>
    </row>
    <row r="62" spans="1:26" s="68" customFormat="1" ht="15" customHeight="1" outlineLevel="1" collapsed="1" x14ac:dyDescent="0.3">
      <c r="A62" s="25"/>
      <c r="B62" s="14" t="str">
        <f>CONCATENATE("     ","Services                                          ")</f>
        <v xml:space="preserve">     Services                                          </v>
      </c>
      <c r="C62" s="14"/>
      <c r="D62" s="2">
        <f>SUM(OSRRefD22_12x_0)</f>
        <v>7412</v>
      </c>
      <c r="E62" s="2"/>
      <c r="F62" s="6">
        <f t="shared" si="8"/>
        <v>8.8090015921331484E-3</v>
      </c>
      <c r="G62" s="2"/>
      <c r="H62" s="2">
        <f>SUM(OSRRefH22_12x_0)</f>
        <v>6649.1900000000005</v>
      </c>
      <c r="I62" s="2"/>
      <c r="J62" s="6">
        <f t="shared" si="9"/>
        <v>7.3744044165752892E-2</v>
      </c>
      <c r="K62" s="2"/>
      <c r="L62" s="2">
        <f t="shared" si="10"/>
        <v>762.80999999999949</v>
      </c>
      <c r="M62" s="2"/>
      <c r="N62" s="6">
        <f t="shared" si="11"/>
        <v>0.1147222443635991</v>
      </c>
      <c r="O62" s="14"/>
      <c r="P62" s="2">
        <f>SUM(OSRRefP22_12x_0)</f>
        <v>67419.78</v>
      </c>
      <c r="Q62" s="2"/>
      <c r="R62" s="6">
        <f t="shared" si="12"/>
        <v>1.2561949974567093E-2</v>
      </c>
      <c r="S62" s="2"/>
      <c r="T62" s="2">
        <f>SUM(OSRRefT22_12x_0)</f>
        <v>53398.790000000008</v>
      </c>
      <c r="U62" s="2"/>
      <c r="V62" s="6">
        <f t="shared" si="13"/>
        <v>5.8186745722234728E-2</v>
      </c>
      <c r="W62" s="2"/>
      <c r="X62" s="2">
        <f t="shared" si="14"/>
        <v>14020.989999999991</v>
      </c>
      <c r="Y62" s="2"/>
      <c r="Z62" s="6">
        <f t="shared" si="15"/>
        <v>0.26257130545467394</v>
      </c>
    </row>
    <row r="63" spans="1:26" s="69" customFormat="1" ht="15" hidden="1" customHeight="1" outlineLevel="2" x14ac:dyDescent="0.3">
      <c r="A63" s="26"/>
      <c r="B63" s="12" t="str">
        <f>CONCATENATE("          ","6282"," - ","JANITORIAL/EXTERMINATOR EXPENS")</f>
        <v xml:space="preserve">          6282 - JANITORIAL/EXTERMINATOR EXPENS</v>
      </c>
      <c r="C63" s="12"/>
      <c r="D63" s="8">
        <v>459.25</v>
      </c>
      <c r="E63" s="3"/>
      <c r="F63" s="7">
        <f t="shared" si="8"/>
        <v>5.4580868607489866E-4</v>
      </c>
      <c r="G63" s="3"/>
      <c r="H63" s="8">
        <v>842.68</v>
      </c>
      <c r="I63" s="3"/>
      <c r="J63" s="7">
        <f t="shared" si="9"/>
        <v>9.3458949342095261E-3</v>
      </c>
      <c r="K63" s="3"/>
      <c r="L63" s="8">
        <f t="shared" si="10"/>
        <v>-383.42999999999995</v>
      </c>
      <c r="M63" s="3"/>
      <c r="N63" s="7">
        <f t="shared" si="11"/>
        <v>-0.45501257891489055</v>
      </c>
      <c r="O63" s="12"/>
      <c r="P63" s="8">
        <v>5496.05</v>
      </c>
      <c r="Q63" s="3"/>
      <c r="R63" s="7">
        <f t="shared" si="12"/>
        <v>1.0240482119300816E-3</v>
      </c>
      <c r="S63" s="3"/>
      <c r="T63" s="8">
        <v>4081.44</v>
      </c>
      <c r="U63" s="3"/>
      <c r="V63" s="7">
        <f t="shared" si="13"/>
        <v>4.4473987418171398E-3</v>
      </c>
      <c r="W63" s="3"/>
      <c r="X63" s="8">
        <f t="shared" si="14"/>
        <v>1414.6100000000001</v>
      </c>
      <c r="Y63" s="3"/>
      <c r="Z63" s="7">
        <f t="shared" si="15"/>
        <v>0.34659580932220002</v>
      </c>
    </row>
    <row r="64" spans="1:26" s="69" customFormat="1" ht="15" hidden="1" customHeight="1" outlineLevel="2" x14ac:dyDescent="0.3">
      <c r="A64" s="26"/>
      <c r="B64" s="12" t="str">
        <f>CONCATENATE("          ","6284"," - ","TRASH REMOVAL EXPENSE")</f>
        <v xml:space="preserve">          6284 - TRASH REMOVAL EXPENSE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/>
      <c r="Q64" s="3"/>
      <c r="R64" s="7">
        <f t="shared" si="12"/>
        <v>0</v>
      </c>
      <c r="S64" s="3"/>
      <c r="T64" s="8">
        <v>282.75</v>
      </c>
      <c r="U64" s="3"/>
      <c r="V64" s="7">
        <f t="shared" si="13"/>
        <v>3.0810253103041976E-4</v>
      </c>
      <c r="W64" s="3"/>
      <c r="X64" s="8">
        <f t="shared" si="14"/>
        <v>-282.75</v>
      </c>
      <c r="Y64" s="3"/>
      <c r="Z64" s="7">
        <f t="shared" si="15"/>
        <v>-1</v>
      </c>
    </row>
    <row r="65" spans="1:26" s="69" customFormat="1" ht="15" hidden="1" customHeight="1" outlineLevel="2" x14ac:dyDescent="0.3">
      <c r="A65" s="26"/>
      <c r="B65" s="12" t="str">
        <f>CONCATENATE("          ","6285"," - ","JANITORIAL SERVICES")</f>
        <v xml:space="preserve">          6285 - JANITORIAL SERVICES</v>
      </c>
      <c r="C65" s="12"/>
      <c r="D65" s="8">
        <v>4468.33</v>
      </c>
      <c r="E65" s="3"/>
      <c r="F65" s="7">
        <f t="shared" si="8"/>
        <v>5.3105135029919469E-3</v>
      </c>
      <c r="G65" s="3"/>
      <c r="H65" s="8">
        <v>4468.33</v>
      </c>
      <c r="I65" s="3"/>
      <c r="J65" s="7">
        <f t="shared" si="9"/>
        <v>4.955682193878632E-2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49303.040000000001</v>
      </c>
      <c r="Q65" s="3"/>
      <c r="R65" s="7">
        <f t="shared" si="12"/>
        <v>9.1863592861632058E-3</v>
      </c>
      <c r="S65" s="3"/>
      <c r="T65" s="8">
        <v>41154.94</v>
      </c>
      <c r="U65" s="3"/>
      <c r="V65" s="7">
        <f t="shared" si="13"/>
        <v>4.4845061638921532E-2</v>
      </c>
      <c r="W65" s="3"/>
      <c r="X65" s="8">
        <f t="shared" si="14"/>
        <v>8148.0999999999985</v>
      </c>
      <c r="Y65" s="3"/>
      <c r="Z65" s="7">
        <f t="shared" si="15"/>
        <v>0.1979859525976711</v>
      </c>
    </row>
    <row r="66" spans="1:26" s="69" customFormat="1" ht="15" hidden="1" customHeight="1" outlineLevel="2" x14ac:dyDescent="0.3">
      <c r="A66" s="26"/>
      <c r="B66" s="12" t="str">
        <f>CONCATENATE("          ","6286"," - ","LAUNDRY EXPENSE")</f>
        <v xml:space="preserve">          6286 - LAUNDRY EXPENSE</v>
      </c>
      <c r="C66" s="12"/>
      <c r="D66" s="8">
        <v>2484.42</v>
      </c>
      <c r="E66" s="3"/>
      <c r="F66" s="7">
        <f t="shared" si="8"/>
        <v>2.9526794030663031E-3</v>
      </c>
      <c r="G66" s="3"/>
      <c r="H66" s="8">
        <v>1338.18</v>
      </c>
      <c r="I66" s="3"/>
      <c r="J66" s="7">
        <f t="shared" si="9"/>
        <v>1.4841327292757044E-2</v>
      </c>
      <c r="K66" s="3"/>
      <c r="L66" s="8">
        <f t="shared" si="10"/>
        <v>1146.24</v>
      </c>
      <c r="M66" s="3"/>
      <c r="N66" s="7">
        <f t="shared" si="11"/>
        <v>0.85656638120432227</v>
      </c>
      <c r="O66" s="12"/>
      <c r="P66" s="8">
        <v>12620.69</v>
      </c>
      <c r="Q66" s="3"/>
      <c r="R66" s="7">
        <f t="shared" si="12"/>
        <v>2.351542476473806E-3</v>
      </c>
      <c r="S66" s="3"/>
      <c r="T66" s="8">
        <v>7879.66</v>
      </c>
      <c r="U66" s="3"/>
      <c r="V66" s="7">
        <f t="shared" si="13"/>
        <v>8.5861828104656316E-3</v>
      </c>
      <c r="W66" s="3"/>
      <c r="X66" s="8">
        <f t="shared" si="14"/>
        <v>4741.0300000000007</v>
      </c>
      <c r="Y66" s="3"/>
      <c r="Z66" s="7">
        <f t="shared" si="15"/>
        <v>0.60167951409070963</v>
      </c>
    </row>
    <row r="67" spans="1:26" s="68" customFormat="1" ht="15" customHeight="1" outlineLevel="1" collapsed="1" x14ac:dyDescent="0.3">
      <c r="A67" s="25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2">
        <f>SUM(OSRRefD22_13x_0)</f>
        <v>0</v>
      </c>
      <c r="E67" s="2"/>
      <c r="F67" s="6">
        <f t="shared" si="8"/>
        <v>0</v>
      </c>
      <c r="G67" s="2"/>
      <c r="H67" s="2">
        <f>SUM(OSRRefH22_13x_0)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SUM(OSRRefP22_13x_0)</f>
        <v>0</v>
      </c>
      <c r="Q67" s="2"/>
      <c r="R67" s="6">
        <f t="shared" si="12"/>
        <v>0</v>
      </c>
      <c r="S67" s="2"/>
      <c r="T67" s="2">
        <f>SUM(OSRRefT22_13x_0)</f>
        <v>795</v>
      </c>
      <c r="U67" s="2"/>
      <c r="V67" s="6">
        <f t="shared" si="13"/>
        <v>8.6628297849401835E-4</v>
      </c>
      <c r="W67" s="2"/>
      <c r="X67" s="2">
        <f t="shared" si="14"/>
        <v>-795</v>
      </c>
      <c r="Y67" s="2"/>
      <c r="Z67" s="6">
        <f t="shared" si="15"/>
        <v>-1</v>
      </c>
    </row>
    <row r="68" spans="1:26" s="69" customFormat="1" ht="15" hidden="1" customHeight="1" outlineLevel="2" x14ac:dyDescent="0.3">
      <c r="A68" s="26"/>
      <c r="B68" s="12" t="str">
        <f>CONCATENATE("          ","6258"," - ","MEMBERSHIP DUES")</f>
        <v xml:space="preserve">          6258 - MEMBERSHIP DUES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795</v>
      </c>
      <c r="U68" s="3"/>
      <c r="V68" s="7">
        <f t="shared" si="13"/>
        <v>8.6628297849401835E-4</v>
      </c>
      <c r="W68" s="3"/>
      <c r="X68" s="8">
        <f t="shared" si="14"/>
        <v>-795</v>
      </c>
      <c r="Y68" s="3"/>
      <c r="Z68" s="7">
        <f t="shared" si="15"/>
        <v>-1</v>
      </c>
    </row>
    <row r="69" spans="1:26" s="68" customFormat="1" ht="15" customHeight="1" outlineLevel="1" collapsed="1" x14ac:dyDescent="0.3">
      <c r="A69" s="25"/>
      <c r="B69" s="14" t="str">
        <f>CONCATENATE("     ","Supplies                                          ")</f>
        <v xml:space="preserve">     Supplies                                          </v>
      </c>
      <c r="C69" s="14"/>
      <c r="D69" s="2">
        <f>SUM(OSRRefD22_14x_0)</f>
        <v>13470.79</v>
      </c>
      <c r="E69" s="2"/>
      <c r="F69" s="6">
        <f t="shared" si="8"/>
        <v>1.6009742384955655E-2</v>
      </c>
      <c r="G69" s="2"/>
      <c r="H69" s="2">
        <f>SUM(OSRRefH22_14x_0)</f>
        <v>13276.58</v>
      </c>
      <c r="I69" s="2"/>
      <c r="J69" s="6">
        <f t="shared" si="9"/>
        <v>0.14724631148909137</v>
      </c>
      <c r="K69" s="2"/>
      <c r="L69" s="2">
        <f t="shared" si="10"/>
        <v>194.21000000000095</v>
      </c>
      <c r="M69" s="2"/>
      <c r="N69" s="6">
        <f t="shared" si="11"/>
        <v>1.4628014142196329E-2</v>
      </c>
      <c r="O69" s="14"/>
      <c r="P69" s="2">
        <f>SUM(OSRRefP22_14x_0)</f>
        <v>140064.64000000001</v>
      </c>
      <c r="Q69" s="2"/>
      <c r="R69" s="6">
        <f t="shared" si="12"/>
        <v>2.6097459838726102E-2</v>
      </c>
      <c r="S69" s="2"/>
      <c r="T69" s="2">
        <f>SUM(OSRRefT22_14x_0)</f>
        <v>118175.93</v>
      </c>
      <c r="U69" s="2"/>
      <c r="V69" s="6">
        <f t="shared" si="13"/>
        <v>0.12877207122855425</v>
      </c>
      <c r="W69" s="2"/>
      <c r="X69" s="2">
        <f t="shared" si="14"/>
        <v>21888.710000000021</v>
      </c>
      <c r="Y69" s="2"/>
      <c r="Z69" s="6">
        <f t="shared" si="15"/>
        <v>0.18522138983801542</v>
      </c>
    </row>
    <row r="70" spans="1:26" s="69" customFormat="1" ht="15" hidden="1" customHeight="1" outlineLevel="2" x14ac:dyDescent="0.3">
      <c r="A70" s="26"/>
      <c r="B70" s="12" t="str">
        <f>CONCATENATE("          ","6234"," - ","EXPENDABLE SUPPLIES &amp; EQUIPMEN")</f>
        <v xml:space="preserve">          6234 - EXPENDABLE SUPPLIES &amp; EQUIPMEN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315</v>
      </c>
      <c r="Q70" s="3"/>
      <c r="R70" s="7">
        <f t="shared" si="12"/>
        <v>5.8692185616574756E-5</v>
      </c>
      <c r="S70" s="3"/>
      <c r="T70" s="8"/>
      <c r="U70" s="3"/>
      <c r="V70" s="7">
        <f t="shared" si="13"/>
        <v>0</v>
      </c>
      <c r="W70" s="3"/>
      <c r="X70" s="8">
        <f t="shared" si="14"/>
        <v>315</v>
      </c>
      <c r="Y70" s="3"/>
      <c r="Z70" s="7">
        <f t="shared" si="15"/>
        <v>0</v>
      </c>
    </row>
    <row r="71" spans="1:26" s="69" customFormat="1" ht="15" hidden="1" customHeight="1" outlineLevel="2" x14ac:dyDescent="0.3">
      <c r="A71" s="26"/>
      <c r="B71" s="12" t="str">
        <f>CONCATENATE("          ","6235"," - ","COVID-19 EXPENSES")</f>
        <v xml:space="preserve">          6235 - COVID-19 EXPENSES</v>
      </c>
      <c r="C71" s="12"/>
      <c r="D71" s="8"/>
      <c r="E71" s="3"/>
      <c r="F71" s="7">
        <f t="shared" si="8"/>
        <v>0</v>
      </c>
      <c r="G71" s="3"/>
      <c r="H71" s="8">
        <v>2921.2</v>
      </c>
      <c r="I71" s="3"/>
      <c r="J71" s="7">
        <f t="shared" si="9"/>
        <v>3.2398096883529771E-2</v>
      </c>
      <c r="K71" s="3"/>
      <c r="L71" s="8">
        <f t="shared" si="10"/>
        <v>-2921.2</v>
      </c>
      <c r="M71" s="3"/>
      <c r="N71" s="7">
        <f t="shared" si="11"/>
        <v>-1</v>
      </c>
      <c r="O71" s="12"/>
      <c r="P71" s="8">
        <v>158.76</v>
      </c>
      <c r="Q71" s="3"/>
      <c r="R71" s="7">
        <f t="shared" si="12"/>
        <v>2.9580861550753673E-5</v>
      </c>
      <c r="S71" s="3"/>
      <c r="T71" s="8">
        <v>50176.47</v>
      </c>
      <c r="U71" s="3"/>
      <c r="V71" s="7">
        <f t="shared" si="13"/>
        <v>5.4675499222535548E-2</v>
      </c>
      <c r="W71" s="3"/>
      <c r="X71" s="8">
        <f t="shared" si="14"/>
        <v>-50017.71</v>
      </c>
      <c r="Y71" s="3"/>
      <c r="Z71" s="7">
        <f t="shared" si="15"/>
        <v>-0.9968359671375846</v>
      </c>
    </row>
    <row r="72" spans="1:26" s="69" customFormat="1" ht="15" hidden="1" customHeight="1" outlineLevel="2" x14ac:dyDescent="0.3">
      <c r="A72" s="26"/>
      <c r="B72" s="12" t="str">
        <f>CONCATENATE("          ","6237"," - ","JANITORIAL SUPPLIES")</f>
        <v xml:space="preserve">          6237 - JANITORIAL SUPPLIES</v>
      </c>
      <c r="C72" s="12"/>
      <c r="D72" s="8">
        <v>7612.72</v>
      </c>
      <c r="E72" s="3"/>
      <c r="F72" s="7">
        <f t="shared" si="8"/>
        <v>9.0475529682223239E-3</v>
      </c>
      <c r="G72" s="3"/>
      <c r="H72" s="8">
        <v>1902.43</v>
      </c>
      <c r="I72" s="3"/>
      <c r="J72" s="7">
        <f t="shared" si="9"/>
        <v>2.1099243959377501E-2</v>
      </c>
      <c r="K72" s="3"/>
      <c r="L72" s="8">
        <f t="shared" si="10"/>
        <v>5710.29</v>
      </c>
      <c r="M72" s="3"/>
      <c r="N72" s="7">
        <f t="shared" si="11"/>
        <v>3.0015769305572344</v>
      </c>
      <c r="O72" s="12"/>
      <c r="P72" s="8">
        <v>27698.62</v>
      </c>
      <c r="Q72" s="3"/>
      <c r="R72" s="7">
        <f t="shared" si="12"/>
        <v>5.1609287186126021E-3</v>
      </c>
      <c r="S72" s="3"/>
      <c r="T72" s="8">
        <v>17051.79</v>
      </c>
      <c r="U72" s="3"/>
      <c r="V72" s="7">
        <f t="shared" si="13"/>
        <v>1.8580723811137758E-2</v>
      </c>
      <c r="W72" s="3"/>
      <c r="X72" s="8">
        <f t="shared" si="14"/>
        <v>10646.829999999998</v>
      </c>
      <c r="Y72" s="3"/>
      <c r="Z72" s="7">
        <f t="shared" si="15"/>
        <v>0.62438195638111882</v>
      </c>
    </row>
    <row r="73" spans="1:26" s="69" customFormat="1" ht="15" hidden="1" customHeight="1" outlineLevel="2" x14ac:dyDescent="0.3">
      <c r="A73" s="26"/>
      <c r="B73" s="12" t="str">
        <f>CONCATENATE("          ","6239"," - ","KITCHEN SUPPLIES")</f>
        <v xml:space="preserve">          6239 - KITCHEN SUPPLIES</v>
      </c>
      <c r="C73" s="12"/>
      <c r="D73" s="8">
        <v>529.97</v>
      </c>
      <c r="E73" s="3"/>
      <c r="F73" s="7">
        <f t="shared" si="8"/>
        <v>6.2985787557782048E-4</v>
      </c>
      <c r="G73" s="3"/>
      <c r="H73" s="8">
        <v>160.30000000000001</v>
      </c>
      <c r="I73" s="3"/>
      <c r="J73" s="7">
        <f t="shared" si="9"/>
        <v>1.7778361394049785E-3</v>
      </c>
      <c r="K73" s="3"/>
      <c r="L73" s="8">
        <f t="shared" si="10"/>
        <v>369.67</v>
      </c>
      <c r="M73" s="3"/>
      <c r="N73" s="7">
        <f t="shared" si="11"/>
        <v>2.3061135371179038</v>
      </c>
      <c r="O73" s="12"/>
      <c r="P73" s="8">
        <v>10926.64</v>
      </c>
      <c r="Q73" s="3"/>
      <c r="R73" s="7">
        <f t="shared" si="12"/>
        <v>2.0358996287158423E-3</v>
      </c>
      <c r="S73" s="3"/>
      <c r="T73" s="8">
        <v>6216.31</v>
      </c>
      <c r="U73" s="3"/>
      <c r="V73" s="7">
        <f t="shared" si="13"/>
        <v>6.7736899899901283E-3</v>
      </c>
      <c r="W73" s="3"/>
      <c r="X73" s="8">
        <f t="shared" si="14"/>
        <v>4710.329999999999</v>
      </c>
      <c r="Y73" s="3"/>
      <c r="Z73" s="7">
        <f t="shared" si="15"/>
        <v>0.75773730718062626</v>
      </c>
    </row>
    <row r="74" spans="1:26" s="69" customFormat="1" ht="15" hidden="1" customHeight="1" outlineLevel="2" x14ac:dyDescent="0.3">
      <c r="A74" s="26"/>
      <c r="B74" s="12" t="str">
        <f>CONCATENATE("          ","6241"," - ","OFFICE EXPENSE")</f>
        <v xml:space="preserve">          6241 - OFFICE EXPENSE</v>
      </c>
      <c r="C74" s="12"/>
      <c r="D74" s="8">
        <v>2.21</v>
      </c>
      <c r="E74" s="3"/>
      <c r="F74" s="7">
        <f t="shared" si="8"/>
        <v>2.6265371719663058E-6</v>
      </c>
      <c r="G74" s="3"/>
      <c r="H74" s="8">
        <v>1258.28</v>
      </c>
      <c r="I74" s="3"/>
      <c r="J74" s="7">
        <f t="shared" si="9"/>
        <v>1.3955181893265728E-2</v>
      </c>
      <c r="K74" s="3"/>
      <c r="L74" s="8">
        <f t="shared" si="10"/>
        <v>-1256.07</v>
      </c>
      <c r="M74" s="3"/>
      <c r="N74" s="7">
        <f t="shared" si="11"/>
        <v>-0.99824363416727591</v>
      </c>
      <c r="O74" s="12"/>
      <c r="P74" s="8">
        <v>4011.07</v>
      </c>
      <c r="Q74" s="3"/>
      <c r="R74" s="7">
        <f t="shared" si="12"/>
        <v>7.4736020622563333E-4</v>
      </c>
      <c r="S74" s="3"/>
      <c r="T74" s="8">
        <v>7864.4</v>
      </c>
      <c r="U74" s="3"/>
      <c r="V74" s="7">
        <f t="shared" si="13"/>
        <v>8.5695545359350412E-3</v>
      </c>
      <c r="W74" s="3"/>
      <c r="X74" s="8">
        <f t="shared" si="14"/>
        <v>-3853.3299999999995</v>
      </c>
      <c r="Y74" s="3"/>
      <c r="Z74" s="7">
        <f t="shared" si="15"/>
        <v>-0.48997126290626108</v>
      </c>
    </row>
    <row r="75" spans="1:26" s="69" customFormat="1" ht="15" hidden="1" customHeight="1" outlineLevel="2" x14ac:dyDescent="0.3">
      <c r="A75" s="26"/>
      <c r="B75" s="12" t="str">
        <f>CONCATENATE("          ","6243"," - ","PAPER SUPPLIES")</f>
        <v xml:space="preserve">          6243 - PAPER SUPPLIES</v>
      </c>
      <c r="C75" s="12"/>
      <c r="D75" s="8">
        <v>5325.89</v>
      </c>
      <c r="E75" s="3"/>
      <c r="F75" s="7">
        <f t="shared" si="8"/>
        <v>6.3297050039835424E-3</v>
      </c>
      <c r="G75" s="3"/>
      <c r="H75" s="8">
        <v>7034.37</v>
      </c>
      <c r="I75" s="3"/>
      <c r="J75" s="7">
        <f t="shared" si="9"/>
        <v>7.8015952613513406E-2</v>
      </c>
      <c r="K75" s="3"/>
      <c r="L75" s="8">
        <f t="shared" si="10"/>
        <v>-1708.4799999999996</v>
      </c>
      <c r="M75" s="3"/>
      <c r="N75" s="7">
        <f t="shared" si="11"/>
        <v>-0.24287605002295864</v>
      </c>
      <c r="O75" s="12"/>
      <c r="P75" s="8">
        <v>93692.47</v>
      </c>
      <c r="Q75" s="3"/>
      <c r="R75" s="7">
        <f t="shared" si="12"/>
        <v>1.745719314322337E-2</v>
      </c>
      <c r="S75" s="3"/>
      <c r="T75" s="8">
        <v>32366.37</v>
      </c>
      <c r="U75" s="3"/>
      <c r="V75" s="7">
        <f t="shared" si="13"/>
        <v>3.526847220960936E-2</v>
      </c>
      <c r="W75" s="3"/>
      <c r="X75" s="8">
        <f t="shared" si="14"/>
        <v>61326.100000000006</v>
      </c>
      <c r="Y75" s="3"/>
      <c r="Z75" s="7">
        <f t="shared" si="15"/>
        <v>1.8947475419702613</v>
      </c>
    </row>
    <row r="76" spans="1:26" s="69" customFormat="1" ht="15" hidden="1" customHeight="1" outlineLevel="2" x14ac:dyDescent="0.3">
      <c r="A76" s="26"/>
      <c r="B76" s="12" t="str">
        <f>CONCATENATE("          ","6247"," - ","STORE SUPPLIES")</f>
        <v xml:space="preserve">          6247 - STORE SUPPLIES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>
        <v>459.51</v>
      </c>
      <c r="Q76" s="3"/>
      <c r="R76" s="7">
        <f t="shared" si="12"/>
        <v>8.5617924484673863E-5</v>
      </c>
      <c r="S76" s="3"/>
      <c r="T76" s="8"/>
      <c r="U76" s="3"/>
      <c r="V76" s="7">
        <f t="shared" si="13"/>
        <v>0</v>
      </c>
      <c r="W76" s="3"/>
      <c r="X76" s="8">
        <f t="shared" si="14"/>
        <v>459.51</v>
      </c>
      <c r="Y76" s="3"/>
      <c r="Z76" s="7">
        <f t="shared" si="15"/>
        <v>0</v>
      </c>
    </row>
    <row r="77" spans="1:26" s="69" customFormat="1" ht="15" hidden="1" customHeight="1" outlineLevel="2" x14ac:dyDescent="0.3">
      <c r="A77" s="26"/>
      <c r="B77" s="12" t="str">
        <f>CONCATENATE("          ","6248"," - ","UNIFORMS")</f>
        <v xml:space="preserve">          6248 - UNIFORMS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2802.57</v>
      </c>
      <c r="Q77" s="3"/>
      <c r="R77" s="7">
        <f t="shared" si="12"/>
        <v>5.2218717029664736E-4</v>
      </c>
      <c r="S77" s="3"/>
      <c r="T77" s="8">
        <v>4500.59</v>
      </c>
      <c r="U77" s="3"/>
      <c r="V77" s="7">
        <f t="shared" si="13"/>
        <v>4.9041314593464081E-3</v>
      </c>
      <c r="W77" s="3"/>
      <c r="X77" s="8">
        <f t="shared" si="14"/>
        <v>-1698.02</v>
      </c>
      <c r="Y77" s="3"/>
      <c r="Z77" s="7">
        <f t="shared" si="15"/>
        <v>-0.37728831108810179</v>
      </c>
    </row>
    <row r="78" spans="1:26" s="68" customFormat="1" ht="15" customHeight="1" outlineLevel="1" collapsed="1" x14ac:dyDescent="0.3">
      <c r="A78" s="25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SUM(OSRRefD22_15x_0)</f>
        <v>459</v>
      </c>
      <c r="E78" s="2"/>
      <c r="F78" s="6">
        <f t="shared" si="8"/>
        <v>5.4551156648530966E-4</v>
      </c>
      <c r="G78" s="2"/>
      <c r="H78" s="2">
        <f>SUM(OSRRefH22_15x_0)</f>
        <v>159</v>
      </c>
      <c r="I78" s="2"/>
      <c r="J78" s="6">
        <f t="shared" si="9"/>
        <v>1.7634182543068719E-3</v>
      </c>
      <c r="K78" s="2"/>
      <c r="L78" s="2">
        <f t="shared" si="10"/>
        <v>300</v>
      </c>
      <c r="M78" s="2"/>
      <c r="N78" s="6">
        <f t="shared" si="11"/>
        <v>1.8867924528301887</v>
      </c>
      <c r="O78" s="14"/>
      <c r="P78" s="2">
        <f>SUM(OSRRefP22_15x_0)</f>
        <v>3148</v>
      </c>
      <c r="Q78" s="2"/>
      <c r="R78" s="6">
        <f t="shared" si="12"/>
        <v>5.8654920736818199E-4</v>
      </c>
      <c r="S78" s="2"/>
      <c r="T78" s="2">
        <f>SUM(OSRRefT22_15x_0)</f>
        <v>2341</v>
      </c>
      <c r="U78" s="2"/>
      <c r="V78" s="6">
        <f t="shared" si="13"/>
        <v>2.5509037140308138E-3</v>
      </c>
      <c r="W78" s="2"/>
      <c r="X78" s="2">
        <f t="shared" si="14"/>
        <v>807</v>
      </c>
      <c r="Y78" s="2"/>
      <c r="Z78" s="6">
        <f t="shared" si="15"/>
        <v>0.34472447671935069</v>
      </c>
    </row>
    <row r="79" spans="1:26" s="69" customFormat="1" ht="15" hidden="1" customHeight="1" outlineLevel="2" x14ac:dyDescent="0.3">
      <c r="A79" s="26"/>
      <c r="B79" s="12" t="str">
        <f>CONCATENATE("          ","6309"," - ","TELEPHONE")</f>
        <v xml:space="preserve">          6309 - TELEPHONE</v>
      </c>
      <c r="C79" s="12"/>
      <c r="D79" s="8">
        <v>459</v>
      </c>
      <c r="E79" s="3"/>
      <c r="F79" s="7">
        <f t="shared" si="8"/>
        <v>5.4551156648530966E-4</v>
      </c>
      <c r="G79" s="3"/>
      <c r="H79" s="8">
        <v>159</v>
      </c>
      <c r="I79" s="3"/>
      <c r="J79" s="7">
        <f t="shared" si="9"/>
        <v>1.7634182543068719E-3</v>
      </c>
      <c r="K79" s="3"/>
      <c r="L79" s="8">
        <f t="shared" si="10"/>
        <v>300</v>
      </c>
      <c r="M79" s="3"/>
      <c r="N79" s="7">
        <f t="shared" si="11"/>
        <v>1.8867924528301887</v>
      </c>
      <c r="O79" s="12"/>
      <c r="P79" s="8">
        <v>3148</v>
      </c>
      <c r="Q79" s="3"/>
      <c r="R79" s="7">
        <f t="shared" si="12"/>
        <v>5.8654920736818199E-4</v>
      </c>
      <c r="S79" s="3"/>
      <c r="T79" s="8">
        <v>2341</v>
      </c>
      <c r="U79" s="3"/>
      <c r="V79" s="7">
        <f t="shared" si="13"/>
        <v>2.5509037140308138E-3</v>
      </c>
      <c r="W79" s="3"/>
      <c r="X79" s="8">
        <f t="shared" si="14"/>
        <v>807</v>
      </c>
      <c r="Y79" s="3"/>
      <c r="Z79" s="7">
        <f t="shared" si="15"/>
        <v>0.34472447671935069</v>
      </c>
    </row>
    <row r="80" spans="1:26" s="68" customFormat="1" ht="15" customHeight="1" outlineLevel="1" collapsed="1" x14ac:dyDescent="0.3">
      <c r="A80" s="25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SUM(OSRRefD22_16x_0)</f>
        <v>312</v>
      </c>
      <c r="E80" s="2"/>
      <c r="F80" s="6">
        <f t="shared" si="8"/>
        <v>3.7080524780700786E-4</v>
      </c>
      <c r="G80" s="2"/>
      <c r="H80" s="2">
        <f>SUM(OSRRefH22_16x_0)</f>
        <v>0</v>
      </c>
      <c r="I80" s="2"/>
      <c r="J80" s="6">
        <f t="shared" si="9"/>
        <v>0</v>
      </c>
      <c r="K80" s="2"/>
      <c r="L80" s="2">
        <f t="shared" si="10"/>
        <v>312</v>
      </c>
      <c r="M80" s="2"/>
      <c r="N80" s="6">
        <f t="shared" si="11"/>
        <v>0</v>
      </c>
      <c r="O80" s="14"/>
      <c r="P80" s="2">
        <f>SUM(OSRRefP22_16x_0)</f>
        <v>557</v>
      </c>
      <c r="Q80" s="2"/>
      <c r="R80" s="6">
        <f t="shared" si="12"/>
        <v>1.0378269012200679E-4</v>
      </c>
      <c r="S80" s="2"/>
      <c r="T80" s="2">
        <f>SUM(OSRRefT22_16x_0)</f>
        <v>735</v>
      </c>
      <c r="U80" s="2"/>
      <c r="V80" s="6">
        <f t="shared" si="13"/>
        <v>8.0090313106050755E-4</v>
      </c>
      <c r="W80" s="2"/>
      <c r="X80" s="2">
        <f t="shared" si="14"/>
        <v>-178</v>
      </c>
      <c r="Y80" s="2"/>
      <c r="Z80" s="6">
        <f t="shared" si="15"/>
        <v>-0.24217687074829933</v>
      </c>
    </row>
    <row r="81" spans="1:26" s="69" customFormat="1" ht="15" hidden="1" customHeight="1" outlineLevel="2" x14ac:dyDescent="0.3">
      <c r="A81" s="26"/>
      <c r="B81" s="12" t="str">
        <f>CONCATENATE("          ","6376"," - ","TRAINING")</f>
        <v xml:space="preserve">          6376 - TRAINING</v>
      </c>
      <c r="C81" s="12"/>
      <c r="D81" s="8">
        <v>312</v>
      </c>
      <c r="E81" s="3"/>
      <c r="F81" s="7">
        <f t="shared" si="8"/>
        <v>3.7080524780700786E-4</v>
      </c>
      <c r="G81" s="3"/>
      <c r="H81" s="8"/>
      <c r="I81" s="3"/>
      <c r="J81" s="7">
        <f t="shared" si="9"/>
        <v>0</v>
      </c>
      <c r="K81" s="3"/>
      <c r="L81" s="8">
        <f t="shared" si="10"/>
        <v>312</v>
      </c>
      <c r="M81" s="3"/>
      <c r="N81" s="7">
        <f t="shared" si="11"/>
        <v>0</v>
      </c>
      <c r="O81" s="12"/>
      <c r="P81" s="8">
        <v>557</v>
      </c>
      <c r="Q81" s="3"/>
      <c r="R81" s="7">
        <f t="shared" si="12"/>
        <v>1.0378269012200679E-4</v>
      </c>
      <c r="S81" s="3"/>
      <c r="T81" s="8">
        <v>735</v>
      </c>
      <c r="U81" s="3"/>
      <c r="V81" s="7">
        <f t="shared" si="13"/>
        <v>8.0090313106050755E-4</v>
      </c>
      <c r="W81" s="3"/>
      <c r="X81" s="8">
        <f t="shared" si="14"/>
        <v>-178</v>
      </c>
      <c r="Y81" s="3"/>
      <c r="Z81" s="7">
        <f t="shared" si="15"/>
        <v>-0.24217687074829933</v>
      </c>
    </row>
    <row r="82" spans="1:26" s="68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SUM(OSRRefD22_17x_0)</f>
        <v>0</v>
      </c>
      <c r="E82" s="2"/>
      <c r="F82" s="6">
        <f t="shared" si="8"/>
        <v>0</v>
      </c>
      <c r="G82" s="2"/>
      <c r="H82" s="2">
        <f>SUM(OSRRefH22_17x_0)</f>
        <v>160.30000000000001</v>
      </c>
      <c r="I82" s="2"/>
      <c r="J82" s="6">
        <f t="shared" si="9"/>
        <v>1.7778361394049785E-3</v>
      </c>
      <c r="K82" s="2"/>
      <c r="L82" s="2">
        <f t="shared" si="10"/>
        <v>-160.30000000000001</v>
      </c>
      <c r="M82" s="2"/>
      <c r="N82" s="6">
        <f t="shared" si="11"/>
        <v>-1</v>
      </c>
      <c r="O82" s="14"/>
      <c r="P82" s="2">
        <f>SUM(OSRRefP22_17x_0)</f>
        <v>0</v>
      </c>
      <c r="Q82" s="2"/>
      <c r="R82" s="6">
        <f t="shared" si="12"/>
        <v>0</v>
      </c>
      <c r="S82" s="2"/>
      <c r="T82" s="2">
        <f>SUM(OSRRefT22_17x_0)</f>
        <v>160.30000000000001</v>
      </c>
      <c r="U82" s="2"/>
      <c r="V82" s="6">
        <f t="shared" si="13"/>
        <v>1.746731590598631E-4</v>
      </c>
      <c r="W82" s="2"/>
      <c r="X82" s="2">
        <f t="shared" si="14"/>
        <v>-160.30000000000001</v>
      </c>
      <c r="Y82" s="2"/>
      <c r="Z82" s="6">
        <f t="shared" si="15"/>
        <v>-1</v>
      </c>
    </row>
    <row r="83" spans="1:26" s="69" customFormat="1" ht="15" hidden="1" customHeight="1" outlineLevel="2" x14ac:dyDescent="0.3">
      <c r="A83" s="26"/>
      <c r="B83" s="12" t="str">
        <f>CONCATENATE("          ","6294"," - ","TRAVEL OPERATIONAL")</f>
        <v xml:space="preserve">          6294 - TRAVEL OPERATIONAL</v>
      </c>
      <c r="C83" s="12"/>
      <c r="D83" s="8"/>
      <c r="E83" s="3"/>
      <c r="F83" s="7">
        <f t="shared" si="8"/>
        <v>0</v>
      </c>
      <c r="G83" s="3"/>
      <c r="H83" s="8">
        <v>160.30000000000001</v>
      </c>
      <c r="I83" s="3"/>
      <c r="J83" s="7">
        <f t="shared" si="9"/>
        <v>1.7778361394049785E-3</v>
      </c>
      <c r="K83" s="3"/>
      <c r="L83" s="8">
        <f t="shared" si="10"/>
        <v>-160.30000000000001</v>
      </c>
      <c r="M83" s="3"/>
      <c r="N83" s="7">
        <f t="shared" si="11"/>
        <v>-1</v>
      </c>
      <c r="O83" s="12"/>
      <c r="P83" s="8"/>
      <c r="Q83" s="3"/>
      <c r="R83" s="7">
        <f t="shared" si="12"/>
        <v>0</v>
      </c>
      <c r="S83" s="3"/>
      <c r="T83" s="8">
        <v>160.30000000000001</v>
      </c>
      <c r="U83" s="3"/>
      <c r="V83" s="7">
        <f t="shared" si="13"/>
        <v>1.746731590598631E-4</v>
      </c>
      <c r="W83" s="3"/>
      <c r="X83" s="8">
        <f t="shared" si="14"/>
        <v>-160.30000000000001</v>
      </c>
      <c r="Y83" s="3"/>
      <c r="Z83" s="7">
        <f t="shared" si="15"/>
        <v>-1</v>
      </c>
    </row>
    <row r="84" spans="1:26" s="64" customFormat="1" ht="15" customHeight="1" x14ac:dyDescent="0.3">
      <c r="A84" s="36"/>
      <c r="B84" s="36"/>
      <c r="C84" s="36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2" customFormat="1" ht="15" customHeight="1" x14ac:dyDescent="0.3">
      <c r="A85" s="11"/>
      <c r="B85" s="27" t="s">
        <v>290</v>
      </c>
      <c r="C85" s="11"/>
      <c r="D85" s="5">
        <f>SUM(0)</f>
        <v>0</v>
      </c>
      <c r="E85" s="5"/>
      <c r="F85" s="13">
        <f>IF(D$12=0,0,D85/D$12)</f>
        <v>0</v>
      </c>
      <c r="G85" s="5"/>
      <c r="H85" s="5">
        <f>SUM(0)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SUM(0)</f>
        <v>0</v>
      </c>
      <c r="Q85" s="5"/>
      <c r="R85" s="13">
        <f>IF(P$12=0,0,P85/P$12)</f>
        <v>0</v>
      </c>
      <c r="S85" s="5"/>
      <c r="T85" s="5">
        <f>SUM(0)</f>
        <v>0</v>
      </c>
      <c r="U85" s="5"/>
      <c r="V85" s="13">
        <f>IF(T$12=0,0,T85/T$12)</f>
        <v>0</v>
      </c>
      <c r="W85" s="5"/>
      <c r="X85" s="5">
        <f>+P85-T85</f>
        <v>0</v>
      </c>
      <c r="Y85" s="5"/>
      <c r="Z85" s="13">
        <f>IF(T85=0,0,X85/T85)</f>
        <v>0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8" t="s">
        <v>291</v>
      </c>
      <c r="C87" s="28"/>
      <c r="D87" s="21">
        <f>+D21-D23+D85</f>
        <v>439717.89999999991</v>
      </c>
      <c r="E87" s="15"/>
      <c r="F87" s="23">
        <f>IF(D$12=0,0,D87/D$12)</f>
        <v>0.52259520793165726</v>
      </c>
      <c r="G87" s="15"/>
      <c r="H87" s="21">
        <f>+H21-H23+H85</f>
        <v>-89256.559999999983</v>
      </c>
      <c r="I87" s="15"/>
      <c r="J87" s="23">
        <f>IF(H$12=0,0,H87/H$12)</f>
        <v>-0.98991602025557579</v>
      </c>
      <c r="K87" s="16"/>
      <c r="L87" s="21">
        <f>+D87-H87</f>
        <v>528974.45999999985</v>
      </c>
      <c r="M87" s="16"/>
      <c r="N87" s="23">
        <f>IF(H87=0,0,L87/H87)</f>
        <v>-5.9264491035728906</v>
      </c>
      <c r="O87" s="27"/>
      <c r="P87" s="21">
        <f>+P21-P23+P85</f>
        <v>2200687.4499999993</v>
      </c>
      <c r="Q87" s="15"/>
      <c r="R87" s="23">
        <f>IF(P$12=0,0,P87/P$12)</f>
        <v>0.41004176603005249</v>
      </c>
      <c r="S87" s="15"/>
      <c r="T87" s="21">
        <f>+T21-T23+T85</f>
        <v>-641654.14000000036</v>
      </c>
      <c r="U87" s="15"/>
      <c r="V87" s="23">
        <f>IF(T$12=0,0,T87/T$12)</f>
        <v>-0.69918749630467691</v>
      </c>
      <c r="W87" s="16"/>
      <c r="X87" s="21">
        <f>+P87-T87</f>
        <v>2842341.59</v>
      </c>
      <c r="Y87" s="16"/>
      <c r="Z87" s="23">
        <f>IF(T87=0,0,X87/T87)</f>
        <v>-4.4297097342814595</v>
      </c>
    </row>
    <row r="88" spans="1:26" ht="15" customHeight="1" x14ac:dyDescent="0.3">
      <c r="A88" s="10"/>
      <c r="B88" s="11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2" customFormat="1" ht="15" customHeight="1" x14ac:dyDescent="0.3">
      <c r="A89" s="48"/>
      <c r="B89" s="11" t="s">
        <v>292</v>
      </c>
      <c r="C89" s="11"/>
      <c r="D89" s="5">
        <v>67876.86</v>
      </c>
      <c r="E89" s="5"/>
      <c r="F89" s="13">
        <f>IF(D$12=0,0,D89/D$12)</f>
        <v>8.0670179143146101E-2</v>
      </c>
      <c r="G89" s="5"/>
      <c r="H89" s="5">
        <v>21438.82</v>
      </c>
      <c r="I89" s="5"/>
      <c r="J89" s="13">
        <f>IF(H$12=0,0,H89/H$12)</f>
        <v>0.23777111030691353</v>
      </c>
      <c r="K89" s="5"/>
      <c r="L89" s="5">
        <f>+D89-H89</f>
        <v>46438.04</v>
      </c>
      <c r="M89" s="5"/>
      <c r="N89" s="13">
        <f>IF(H89=0,0,L89/H89)</f>
        <v>2.1660725730240751</v>
      </c>
      <c r="O89" s="11"/>
      <c r="P89" s="5">
        <v>607992.73</v>
      </c>
      <c r="Q89" s="5"/>
      <c r="R89" s="13">
        <f>IF(P$12=0,0,P89/P$12)</f>
        <v>0.11328387988154925</v>
      </c>
      <c r="S89" s="5"/>
      <c r="T89" s="5">
        <v>191989.48</v>
      </c>
      <c r="U89" s="5"/>
      <c r="V89" s="13">
        <f>IF(T$12=0,0,T89/T$12)</f>
        <v>0.2092040485206513</v>
      </c>
      <c r="W89" s="5"/>
      <c r="X89" s="5">
        <f>+P89-T89</f>
        <v>416003.25</v>
      </c>
      <c r="Y89" s="5"/>
      <c r="Z89" s="13">
        <f>IF(T89=0,0,X89/T89)</f>
        <v>2.1668023164602559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2" customFormat="1" ht="15" customHeight="1" x14ac:dyDescent="0.3">
      <c r="A91" s="11"/>
      <c r="B91" s="28" t="s">
        <v>293</v>
      </c>
      <c r="C91" s="28"/>
      <c r="D91" s="34">
        <f>+D87-D89</f>
        <v>371841.03999999992</v>
      </c>
      <c r="E91" s="15"/>
      <c r="F91" s="30">
        <f>IF(D$12=0,0,D91/D$12)</f>
        <v>0.4419250287885112</v>
      </c>
      <c r="G91" s="15"/>
      <c r="H91" s="34">
        <f>+H87-H89</f>
        <v>-110695.37999999998</v>
      </c>
      <c r="I91" s="15"/>
      <c r="J91" s="30">
        <f>IF(H$12=0,0,H91/H$12)</f>
        <v>-1.2276871305624892</v>
      </c>
      <c r="K91" s="16"/>
      <c r="L91" s="34">
        <f>D91-H91</f>
        <v>482536.41999999993</v>
      </c>
      <c r="M91" s="16"/>
      <c r="N91" s="30">
        <f>IF(H91=0,0,L91/H91)</f>
        <v>-4.3591378429705019</v>
      </c>
      <c r="O91" s="27"/>
      <c r="P91" s="34">
        <f>+P87-P89</f>
        <v>1592694.7199999993</v>
      </c>
      <c r="Q91" s="15"/>
      <c r="R91" s="30">
        <f>IF(P$12=0,0,P91/P$12)</f>
        <v>0.29675788614850324</v>
      </c>
      <c r="S91" s="15"/>
      <c r="T91" s="34">
        <f>+T87-T89</f>
        <v>-833643.62000000034</v>
      </c>
      <c r="U91" s="15"/>
      <c r="V91" s="30">
        <f>IF(T$12=0,0,T91/T$12)</f>
        <v>-0.90839154482532825</v>
      </c>
      <c r="W91" s="16"/>
      <c r="X91" s="34">
        <f>P91-T91</f>
        <v>2426338.34</v>
      </c>
      <c r="Y91" s="16"/>
      <c r="Z91" s="30">
        <f>IF(T91=0,0,X91/T91)</f>
        <v>-2.9105222924875247</v>
      </c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ht="15" customHeight="1" x14ac:dyDescent="0.3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2" customFormat="1" ht="15" customHeight="1" x14ac:dyDescent="0.3">
      <c r="A94" s="11"/>
      <c r="B94" s="28" t="s">
        <v>296</v>
      </c>
      <c r="C94" s="28"/>
      <c r="D94" s="29">
        <f>SUM(D91:D93)</f>
        <v>371841.03999999992</v>
      </c>
      <c r="E94" s="15"/>
      <c r="F94" s="35">
        <f>IF(D$12=0,0,D94/D$12)</f>
        <v>0.4419250287885112</v>
      </c>
      <c r="G94" s="15"/>
      <c r="H94" s="29">
        <f>SUM(H91:H93)</f>
        <v>-110695.37999999998</v>
      </c>
      <c r="I94" s="15"/>
      <c r="J94" s="35">
        <f>IF(H$12=0,0,H94/H$12)</f>
        <v>-1.2276871305624892</v>
      </c>
      <c r="K94" s="16"/>
      <c r="L94" s="29">
        <f>+D94-H94</f>
        <v>482536.41999999993</v>
      </c>
      <c r="M94" s="16"/>
      <c r="N94" s="35">
        <f>IF(H94=0,0,L94/H94)</f>
        <v>-4.3591378429705019</v>
      </c>
      <c r="O94" s="27"/>
      <c r="P94" s="29">
        <f>SUM(P91:P93)</f>
        <v>1592694.7199999993</v>
      </c>
      <c r="Q94" s="15"/>
      <c r="R94" s="35">
        <f>IF(P$12=0,0,P94/P$12)</f>
        <v>0.29675788614850324</v>
      </c>
      <c r="S94" s="15"/>
      <c r="T94" s="29">
        <f>SUM(T91:T93)</f>
        <v>-833643.62000000034</v>
      </c>
      <c r="U94" s="15"/>
      <c r="V94" s="35">
        <f>IF(T$12=0,0,T94/T$12)</f>
        <v>-0.90839154482532825</v>
      </c>
      <c r="W94" s="16"/>
      <c r="X94" s="29">
        <f>+P94-T94</f>
        <v>2426338.34</v>
      </c>
      <c r="Y94" s="16"/>
      <c r="Z94" s="35">
        <f>IF(T94=0,0,X94/T94)</f>
        <v>-2.9105222924875247</v>
      </c>
    </row>
    <row r="95" spans="1:26" ht="15" customHeight="1" x14ac:dyDescent="0.3">
      <c r="A95" s="10"/>
      <c r="C95" s="10"/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3">
      <c r="A96" s="10"/>
      <c r="B96" s="56">
        <v>44694.890829479169</v>
      </c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  <row r="97" spans="1:24" ht="15" customHeight="1" x14ac:dyDescent="0.3">
      <c r="A97" s="10"/>
      <c r="B97" s="52" t="s">
        <v>297</v>
      </c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  <row r="98" spans="1:24" ht="15" customHeight="1" x14ac:dyDescent="0.3">
      <c r="A98" s="10"/>
      <c r="B98" s="58"/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4" ht="15" customHeight="1" x14ac:dyDescent="0.3"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3175F-BD4D-75B9-738D-25F5BA643475}">
  <sheetPr>
    <tabColor rgb="FF92D050"/>
    <outlinePr summaryBelow="0" summaryRight="0"/>
  </sheetPr>
  <dimension ref="A2:Z9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","450"," - ","Beachside Dining Hall")</f>
        <v>Department 450 - Beachside Dining Hall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320679.87000000005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320679.87000000005</v>
      </c>
      <c r="M12" s="5"/>
      <c r="N12" s="13">
        <f>IF(H12=0,0,L12/H12)</f>
        <v>0</v>
      </c>
      <c r="O12" s="11"/>
      <c r="P12" s="5">
        <f>SUM(OSRRefP13x_0)</f>
        <v>1849485.28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1849485.28</v>
      </c>
      <c r="Y12" s="5"/>
      <c r="Z12" s="13">
        <f>IF(T12=0,0,X12/T12)</f>
        <v>0</v>
      </c>
    </row>
    <row r="13" spans="1:26" s="69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--71.71</f>
        <v>71.709999999999994</v>
      </c>
      <c r="E13" s="3"/>
      <c r="F13" s="20"/>
      <c r="G13" s="3"/>
      <c r="H13" s="3">
        <f>0</f>
        <v>0</v>
      </c>
      <c r="I13" s="3"/>
      <c r="J13" s="20"/>
      <c r="K13" s="3"/>
      <c r="L13" s="3">
        <f>+D13-H13</f>
        <v>71.709999999999994</v>
      </c>
      <c r="M13" s="3"/>
      <c r="N13" s="20">
        <f>IF(H13=0,0,L13/H13)</f>
        <v>0</v>
      </c>
      <c r="O13" s="12"/>
      <c r="P13" s="3">
        <f>--354.32</f>
        <v>354.32</v>
      </c>
      <c r="Q13" s="3"/>
      <c r="R13" s="20"/>
      <c r="S13" s="3"/>
      <c r="T13" s="3">
        <f>0</f>
        <v>0</v>
      </c>
      <c r="U13" s="3"/>
      <c r="V13" s="20"/>
      <c r="W13" s="3"/>
      <c r="X13" s="3">
        <f>+P13-T13</f>
        <v>354.32</v>
      </c>
      <c r="Y13" s="3"/>
      <c r="Z13" s="20">
        <f>IF(T13=0,0,X13/T13)</f>
        <v>0</v>
      </c>
    </row>
    <row r="14" spans="1:26" s="69" customFormat="1" ht="15" hidden="1" customHeight="1" outlineLevel="1" x14ac:dyDescent="0.3">
      <c r="A14" s="42"/>
      <c r="B14" s="12" t="str">
        <f>CONCATENATE("          ","4151"," - ","NON-TAXABLE SALES-FOOD")</f>
        <v xml:space="preserve">          4151 - NON-TAXABLE SALES-FOOD</v>
      </c>
      <c r="C14" s="12"/>
      <c r="D14" s="3">
        <f>--319316.57</f>
        <v>319316.57</v>
      </c>
      <c r="E14" s="3"/>
      <c r="F14" s="20"/>
      <c r="G14" s="3"/>
      <c r="H14" s="3">
        <f>0</f>
        <v>0</v>
      </c>
      <c r="I14" s="3"/>
      <c r="J14" s="20"/>
      <c r="K14" s="3"/>
      <c r="L14" s="3">
        <f>+D14-H14</f>
        <v>319316.57</v>
      </c>
      <c r="M14" s="3"/>
      <c r="N14" s="20">
        <f>IF(H14=0,0,L14/H14)</f>
        <v>0</v>
      </c>
      <c r="O14" s="12"/>
      <c r="P14" s="3">
        <f>--1840493.65</f>
        <v>1840493.65</v>
      </c>
      <c r="Q14" s="3"/>
      <c r="R14" s="20"/>
      <c r="S14" s="3"/>
      <c r="T14" s="3">
        <f>0</f>
        <v>0</v>
      </c>
      <c r="U14" s="3"/>
      <c r="V14" s="20"/>
      <c r="W14" s="3"/>
      <c r="X14" s="3">
        <f>+P14-T14</f>
        <v>1840493.65</v>
      </c>
      <c r="Y14" s="3"/>
      <c r="Z14" s="20">
        <f>IF(T14=0,0,X14/T14)</f>
        <v>0</v>
      </c>
    </row>
    <row r="15" spans="1:26" s="69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--1291.59</f>
        <v>1291.5899999999999</v>
      </c>
      <c r="E15" s="3"/>
      <c r="F15" s="20"/>
      <c r="G15" s="3"/>
      <c r="H15" s="3">
        <f>0</f>
        <v>0</v>
      </c>
      <c r="I15" s="3"/>
      <c r="J15" s="20"/>
      <c r="K15" s="3"/>
      <c r="L15" s="3">
        <f>+D15-H15</f>
        <v>1291.5899999999999</v>
      </c>
      <c r="M15" s="3"/>
      <c r="N15" s="20">
        <f>IF(H15=0,0,L15/H15)</f>
        <v>0</v>
      </c>
      <c r="O15" s="12"/>
      <c r="P15" s="3">
        <f>--8637.31</f>
        <v>8637.31</v>
      </c>
      <c r="Q15" s="3"/>
      <c r="R15" s="20"/>
      <c r="S15" s="3"/>
      <c r="T15" s="3">
        <f>0</f>
        <v>0</v>
      </c>
      <c r="U15" s="3"/>
      <c r="V15" s="20"/>
      <c r="W15" s="3"/>
      <c r="X15" s="3">
        <f>+P15-T15</f>
        <v>8637.31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collapsed="1" x14ac:dyDescent="0.3">
      <c r="A17" s="11"/>
      <c r="B17" s="27" t="s">
        <v>287</v>
      </c>
      <c r="C17" s="11"/>
      <c r="D17" s="5">
        <f>SUM(OSRRefD16x_0)</f>
        <v>59987.05</v>
      </c>
      <c r="E17" s="5"/>
      <c r="F17" s="13">
        <f>IF(D$12=0,0,D17/D$12)</f>
        <v>0.18706210028088135</v>
      </c>
      <c r="G17" s="5"/>
      <c r="H17" s="5">
        <f>SUM(OSRRefH16x_0)</f>
        <v>0</v>
      </c>
      <c r="I17" s="5"/>
      <c r="J17" s="13">
        <f>IF(H$12=0,0,H17/H$12)</f>
        <v>0</v>
      </c>
      <c r="K17" s="5"/>
      <c r="L17" s="5">
        <f>+D17-H17</f>
        <v>59987.05</v>
      </c>
      <c r="M17" s="5"/>
      <c r="N17" s="13">
        <f>IF(H17=0,0,L17/H17)</f>
        <v>0</v>
      </c>
      <c r="O17" s="11"/>
      <c r="P17" s="5">
        <f>SUM(OSRRefP16x_0)</f>
        <v>432544.65</v>
      </c>
      <c r="Q17" s="5"/>
      <c r="R17" s="13">
        <f>IF(P$12=0,0,P17/P$12)</f>
        <v>0.23387298870526832</v>
      </c>
      <c r="S17" s="5"/>
      <c r="T17" s="5">
        <f>SUM(OSRRefT16x_0)</f>
        <v>0</v>
      </c>
      <c r="U17" s="5"/>
      <c r="V17" s="13">
        <f>IF(T$12=0,0,T17/T$12)</f>
        <v>0</v>
      </c>
      <c r="W17" s="5"/>
      <c r="X17" s="5">
        <f>+P17-T17</f>
        <v>432544.65</v>
      </c>
      <c r="Y17" s="5"/>
      <c r="Z17" s="13">
        <f>IF(T17=0,0,X17/T17)</f>
        <v>0</v>
      </c>
    </row>
    <row r="18" spans="1:26" s="69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61532.05</v>
      </c>
      <c r="E18" s="3"/>
      <c r="F18" s="20">
        <f>IF(D$12=0,0,D18/D$12)</f>
        <v>0.19187998922414429</v>
      </c>
      <c r="G18" s="3"/>
      <c r="H18" s="3"/>
      <c r="I18" s="3"/>
      <c r="J18" s="20">
        <f>IF(H$12=0,0,H18/H$12)</f>
        <v>0</v>
      </c>
      <c r="K18" s="3"/>
      <c r="L18" s="3">
        <f>+D18-H18</f>
        <v>61532.05</v>
      </c>
      <c r="M18" s="3"/>
      <c r="N18" s="20">
        <f>IF(H18=0,0,L18/H18)</f>
        <v>0</v>
      </c>
      <c r="O18" s="12"/>
      <c r="P18" s="3">
        <v>446810.71</v>
      </c>
      <c r="Q18" s="3"/>
      <c r="R18" s="20">
        <f>IF(P$12=0,0,P18/P$12)</f>
        <v>0.24158651860154304</v>
      </c>
      <c r="S18" s="3"/>
      <c r="T18" s="3"/>
      <c r="U18" s="3"/>
      <c r="V18" s="20">
        <f>IF(T$12=0,0,T18/T$12)</f>
        <v>0</v>
      </c>
      <c r="W18" s="3"/>
      <c r="X18" s="3">
        <f>+P18-T18</f>
        <v>446810.71</v>
      </c>
      <c r="Y18" s="3"/>
      <c r="Z18" s="20">
        <f>IF(T18=0,0,X18/T18)</f>
        <v>0</v>
      </c>
    </row>
    <row r="19" spans="1:26" s="69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-1545</v>
      </c>
      <c r="E19" s="3"/>
      <c r="F19" s="20">
        <f>IF(D$12=0,0,D19/D$12)</f>
        <v>-4.8178889432629489E-3</v>
      </c>
      <c r="G19" s="3"/>
      <c r="H19" s="3"/>
      <c r="I19" s="3"/>
      <c r="J19" s="20">
        <f>IF(H$12=0,0,H19/H$12)</f>
        <v>0</v>
      </c>
      <c r="K19" s="3"/>
      <c r="L19" s="3">
        <f>+D19-H19</f>
        <v>-1545</v>
      </c>
      <c r="M19" s="3"/>
      <c r="N19" s="20">
        <f>IF(H19=0,0,L19/H19)</f>
        <v>0</v>
      </c>
      <c r="O19" s="12"/>
      <c r="P19" s="3">
        <v>-14266.06</v>
      </c>
      <c r="Q19" s="3"/>
      <c r="R19" s="20">
        <f>IF(P$12=0,0,P19/P$12)</f>
        <v>-7.7135298962747083E-3</v>
      </c>
      <c r="S19" s="3"/>
      <c r="T19" s="3"/>
      <c r="U19" s="3"/>
      <c r="V19" s="20">
        <f>IF(T$12=0,0,T19/T$12)</f>
        <v>0</v>
      </c>
      <c r="W19" s="3"/>
      <c r="X19" s="3">
        <f>+P19-T19</f>
        <v>-14266.06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2" customFormat="1" ht="15" customHeight="1" x14ac:dyDescent="0.3">
      <c r="A21" s="11"/>
      <c r="B21" s="28" t="s">
        <v>288</v>
      </c>
      <c r="C21" s="28"/>
      <c r="D21" s="21">
        <f>D12-D17</f>
        <v>260692.82000000007</v>
      </c>
      <c r="E21" s="15"/>
      <c r="F21" s="23">
        <f>IF(D$12=0,0,D21/D$12)</f>
        <v>0.81293789971911867</v>
      </c>
      <c r="G21" s="15"/>
      <c r="H21" s="21">
        <f>H12-H17</f>
        <v>0</v>
      </c>
      <c r="I21" s="15"/>
      <c r="J21" s="23">
        <f>IF(H$12=0,0,H21/H$12)</f>
        <v>0</v>
      </c>
      <c r="K21" s="16"/>
      <c r="L21" s="21">
        <f>+D21-H21</f>
        <v>260692.82000000007</v>
      </c>
      <c r="M21" s="16"/>
      <c r="N21" s="23">
        <f>IF(H21=0,0,L21/H21)</f>
        <v>0</v>
      </c>
      <c r="O21" s="27"/>
      <c r="P21" s="21">
        <f>P12-P17</f>
        <v>1416940.63</v>
      </c>
      <c r="Q21" s="15"/>
      <c r="R21" s="23">
        <f>IF(P$12=0,0,P21/P$12)</f>
        <v>0.7661270112947316</v>
      </c>
      <c r="S21" s="15"/>
      <c r="T21" s="21">
        <f>T12-T17</f>
        <v>0</v>
      </c>
      <c r="U21" s="15"/>
      <c r="V21" s="23">
        <f>IF(T$12=0,0,T21/T$12)</f>
        <v>0</v>
      </c>
      <c r="W21" s="16"/>
      <c r="X21" s="21">
        <f>+P21-T21</f>
        <v>1416940.63</v>
      </c>
      <c r="Y21" s="16"/>
      <c r="Z21" s="23">
        <f>IF(T21=0,0,X21/T21)</f>
        <v>0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2" customFormat="1" ht="15" customHeight="1" x14ac:dyDescent="0.3">
      <c r="A23" s="11"/>
      <c r="B23" s="27" t="s">
        <v>289</v>
      </c>
      <c r="C23" s="11"/>
      <c r="D23" s="22" cm="1">
        <f t="array" ref="D23">SUM(OSRRefD22x_0)</f>
        <v>156636.04</v>
      </c>
      <c r="E23" s="22"/>
      <c r="F23" s="32">
        <f t="shared" ref="F23:F54" si="0">IF(D$12=0,0,D23/D$12)</f>
        <v>0.48844986746439678</v>
      </c>
      <c r="G23" s="22"/>
      <c r="H23" s="22" cm="1">
        <f t="array" ref="H23">SUM(OSRRefH22x_0)</f>
        <v>41903.239999999991</v>
      </c>
      <c r="I23" s="22"/>
      <c r="J23" s="32">
        <f t="shared" ref="J23:J54" si="1">IF(H$12=0,0,H23/H$12)</f>
        <v>0</v>
      </c>
      <c r="K23" s="5"/>
      <c r="L23" s="22">
        <f t="shared" ref="L23:L54" si="2">+D23-H23</f>
        <v>114732.80000000002</v>
      </c>
      <c r="M23" s="5"/>
      <c r="N23" s="32">
        <f t="shared" ref="N23:N54" si="3">IF(H23=0,0,L23/H23)</f>
        <v>2.7380412588620842</v>
      </c>
      <c r="O23" s="11"/>
      <c r="P23" s="22" cm="1">
        <f t="array" ref="P23">SUM(OSRRefP22x_0)</f>
        <v>1174129.7700000003</v>
      </c>
      <c r="Q23" s="22"/>
      <c r="R23" s="32">
        <f t="shared" ref="R23:R54" si="4">IF(P$12=0,0,P23/P$12)</f>
        <v>0.63484137056770751</v>
      </c>
      <c r="S23" s="22"/>
      <c r="T23" s="22" cm="1">
        <f t="array" ref="T23">SUM(OSRRefT22x_0)</f>
        <v>411167.14999999997</v>
      </c>
      <c r="U23" s="22"/>
      <c r="V23" s="32">
        <f t="shared" ref="V23:V54" si="5">IF(T$12=0,0,T23/T$12)</f>
        <v>0</v>
      </c>
      <c r="W23" s="5"/>
      <c r="X23" s="22">
        <f t="shared" ref="X23:X54" si="6">+P23-T23</f>
        <v>762962.62000000034</v>
      </c>
      <c r="Y23" s="5"/>
      <c r="Z23" s="32">
        <f t="shared" ref="Z23:Z54" si="7">IF(T23=0,0,X23/T23)</f>
        <v>1.8556020829971471</v>
      </c>
    </row>
    <row r="24" spans="1:26" s="68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30711.189999999995</v>
      </c>
      <c r="E24" s="2"/>
      <c r="F24" s="6">
        <f t="shared" si="0"/>
        <v>9.5768998534270303E-2</v>
      </c>
      <c r="G24" s="2"/>
      <c r="H24" s="2">
        <f>SUM(OSRRefH22_0x_0)</f>
        <v>20739.579999999998</v>
      </c>
      <c r="I24" s="2"/>
      <c r="J24" s="6">
        <f t="shared" si="1"/>
        <v>0</v>
      </c>
      <c r="K24" s="2"/>
      <c r="L24" s="2">
        <f t="shared" si="2"/>
        <v>9971.6099999999969</v>
      </c>
      <c r="M24" s="2"/>
      <c r="N24" s="6">
        <f t="shared" si="3"/>
        <v>0.48080096125379579</v>
      </c>
      <c r="O24" s="14"/>
      <c r="P24" s="2">
        <f>SUM(OSRRefP22_0x_0)</f>
        <v>242808.15</v>
      </c>
      <c r="Q24" s="2"/>
      <c r="R24" s="6">
        <f t="shared" si="4"/>
        <v>0.13128417545448104</v>
      </c>
      <c r="S24" s="2"/>
      <c r="T24" s="2">
        <f>SUM(OSRRefT22_0x_0)</f>
        <v>194803.22999999995</v>
      </c>
      <c r="U24" s="2"/>
      <c r="V24" s="6">
        <f t="shared" si="5"/>
        <v>0</v>
      </c>
      <c r="W24" s="2"/>
      <c r="X24" s="2">
        <f t="shared" si="6"/>
        <v>48004.920000000042</v>
      </c>
      <c r="Y24" s="2"/>
      <c r="Z24" s="6">
        <f t="shared" si="7"/>
        <v>0.24642774147020075</v>
      </c>
    </row>
    <row r="25" spans="1:26" s="69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4995.6899999999996</v>
      </c>
      <c r="E25" s="3"/>
      <c r="F25" s="7">
        <f t="shared" si="0"/>
        <v>1.5578433407747106E-2</v>
      </c>
      <c r="G25" s="3"/>
      <c r="H25" s="8">
        <v>2307.2399999999998</v>
      </c>
      <c r="I25" s="3"/>
      <c r="J25" s="7">
        <f t="shared" si="1"/>
        <v>0</v>
      </c>
      <c r="K25" s="3"/>
      <c r="L25" s="8">
        <f t="shared" si="2"/>
        <v>2688.45</v>
      </c>
      <c r="M25" s="3"/>
      <c r="N25" s="7">
        <f t="shared" si="3"/>
        <v>1.1652233837832215</v>
      </c>
      <c r="O25" s="12"/>
      <c r="P25" s="8">
        <v>33041.19</v>
      </c>
      <c r="Q25" s="3"/>
      <c r="R25" s="7">
        <f t="shared" si="4"/>
        <v>1.7865073248920373E-2</v>
      </c>
      <c r="S25" s="3"/>
      <c r="T25" s="8">
        <v>17280.04</v>
      </c>
      <c r="U25" s="3"/>
      <c r="V25" s="7">
        <f t="shared" si="5"/>
        <v>0</v>
      </c>
      <c r="W25" s="3"/>
      <c r="X25" s="8">
        <f t="shared" si="6"/>
        <v>15761.150000000001</v>
      </c>
      <c r="Y25" s="3"/>
      <c r="Z25" s="7">
        <f t="shared" si="7"/>
        <v>0.91210147661695229</v>
      </c>
    </row>
    <row r="26" spans="1:26" s="69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2232.94</v>
      </c>
      <c r="E26" s="3"/>
      <c r="F26" s="7">
        <f t="shared" si="0"/>
        <v>6.963143648523993E-3</v>
      </c>
      <c r="G26" s="3"/>
      <c r="H26" s="8">
        <v>853.5</v>
      </c>
      <c r="I26" s="3"/>
      <c r="J26" s="7">
        <f t="shared" si="1"/>
        <v>0</v>
      </c>
      <c r="K26" s="3"/>
      <c r="L26" s="8">
        <f t="shared" si="2"/>
        <v>1379.44</v>
      </c>
      <c r="M26" s="3"/>
      <c r="N26" s="7">
        <f t="shared" si="3"/>
        <v>1.6162155828939662</v>
      </c>
      <c r="O26" s="12"/>
      <c r="P26" s="8">
        <v>20469.21</v>
      </c>
      <c r="Q26" s="3"/>
      <c r="R26" s="7">
        <f t="shared" si="4"/>
        <v>1.1067517120222768E-2</v>
      </c>
      <c r="S26" s="3"/>
      <c r="T26" s="8">
        <v>9186.2000000000007</v>
      </c>
      <c r="U26" s="3"/>
      <c r="V26" s="7">
        <f t="shared" si="5"/>
        <v>0</v>
      </c>
      <c r="W26" s="3"/>
      <c r="X26" s="8">
        <f t="shared" si="6"/>
        <v>11283.009999999998</v>
      </c>
      <c r="Y26" s="3"/>
      <c r="Z26" s="7">
        <f t="shared" si="7"/>
        <v>1.2282565152075937</v>
      </c>
    </row>
    <row r="27" spans="1:26" s="69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12774.22</v>
      </c>
      <c r="E27" s="3"/>
      <c r="F27" s="7">
        <f t="shared" si="0"/>
        <v>3.9834804722853348E-2</v>
      </c>
      <c r="G27" s="3"/>
      <c r="H27" s="8">
        <v>12477.9</v>
      </c>
      <c r="I27" s="3"/>
      <c r="J27" s="7">
        <f t="shared" si="1"/>
        <v>0</v>
      </c>
      <c r="K27" s="3"/>
      <c r="L27" s="8">
        <f t="shared" si="2"/>
        <v>296.31999999999971</v>
      </c>
      <c r="M27" s="3"/>
      <c r="N27" s="7">
        <f t="shared" si="3"/>
        <v>2.3747585731573401E-2</v>
      </c>
      <c r="O27" s="12"/>
      <c r="P27" s="8">
        <v>122574.31</v>
      </c>
      <c r="Q27" s="3"/>
      <c r="R27" s="7">
        <f t="shared" si="4"/>
        <v>6.6274823230818028E-2</v>
      </c>
      <c r="S27" s="3"/>
      <c r="T27" s="8">
        <v>125613.18</v>
      </c>
      <c r="U27" s="3"/>
      <c r="V27" s="7">
        <f t="shared" si="5"/>
        <v>0</v>
      </c>
      <c r="W27" s="3"/>
      <c r="X27" s="8">
        <f t="shared" si="6"/>
        <v>-3038.8699999999953</v>
      </c>
      <c r="Y27" s="3"/>
      <c r="Z27" s="7">
        <f t="shared" si="7"/>
        <v>-2.4192286191624123E-2</v>
      </c>
    </row>
    <row r="28" spans="1:26" s="69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161.25</v>
      </c>
      <c r="E28" s="3"/>
      <c r="F28" s="7">
        <f t="shared" si="0"/>
        <v>5.0283792369006498E-4</v>
      </c>
      <c r="G28" s="3"/>
      <c r="H28" s="8">
        <v>51.73</v>
      </c>
      <c r="I28" s="3"/>
      <c r="J28" s="7">
        <f t="shared" si="1"/>
        <v>0</v>
      </c>
      <c r="K28" s="3"/>
      <c r="L28" s="8">
        <f t="shared" si="2"/>
        <v>109.52000000000001</v>
      </c>
      <c r="M28" s="3"/>
      <c r="N28" s="7">
        <f t="shared" si="3"/>
        <v>2.1171467233713517</v>
      </c>
      <c r="O28" s="12"/>
      <c r="P28" s="8">
        <v>1478.33</v>
      </c>
      <c r="Q28" s="3"/>
      <c r="R28" s="7">
        <f t="shared" si="4"/>
        <v>7.9931968963818949E-4</v>
      </c>
      <c r="S28" s="3"/>
      <c r="T28" s="8">
        <v>565.41</v>
      </c>
      <c r="U28" s="3"/>
      <c r="V28" s="7">
        <f t="shared" si="5"/>
        <v>0</v>
      </c>
      <c r="W28" s="3"/>
      <c r="X28" s="8">
        <f t="shared" si="6"/>
        <v>912.92</v>
      </c>
      <c r="Y28" s="3"/>
      <c r="Z28" s="7">
        <f t="shared" si="7"/>
        <v>1.6146159424134698</v>
      </c>
    </row>
    <row r="29" spans="1:26" s="69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1595.35</v>
      </c>
      <c r="E29" s="3"/>
      <c r="F29" s="7">
        <f t="shared" si="0"/>
        <v>4.974899110443071E-3</v>
      </c>
      <c r="G29" s="3"/>
      <c r="H29" s="8">
        <v>494.19</v>
      </c>
      <c r="I29" s="3"/>
      <c r="J29" s="7">
        <f t="shared" si="1"/>
        <v>0</v>
      </c>
      <c r="K29" s="3"/>
      <c r="L29" s="8">
        <f t="shared" si="2"/>
        <v>1101.1599999999999</v>
      </c>
      <c r="M29" s="3"/>
      <c r="N29" s="7">
        <f t="shared" si="3"/>
        <v>2.2282118213642521</v>
      </c>
      <c r="O29" s="12"/>
      <c r="P29" s="8">
        <v>8730.57</v>
      </c>
      <c r="Q29" s="3"/>
      <c r="R29" s="7">
        <f t="shared" si="4"/>
        <v>4.7205404089509699E-3</v>
      </c>
      <c r="S29" s="3"/>
      <c r="T29" s="8">
        <v>5490.47</v>
      </c>
      <c r="U29" s="3"/>
      <c r="V29" s="7">
        <f t="shared" si="5"/>
        <v>0</v>
      </c>
      <c r="W29" s="3"/>
      <c r="X29" s="8">
        <f t="shared" si="6"/>
        <v>3240.0999999999995</v>
      </c>
      <c r="Y29" s="3"/>
      <c r="Z29" s="7">
        <f t="shared" si="7"/>
        <v>0.59013162807555619</v>
      </c>
    </row>
    <row r="30" spans="1:26" s="69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425.73</v>
      </c>
      <c r="E30" s="3"/>
      <c r="F30" s="7">
        <f t="shared" si="0"/>
        <v>1.3275856697833885E-3</v>
      </c>
      <c r="G30" s="3"/>
      <c r="H30" s="8">
        <v>502.56</v>
      </c>
      <c r="I30" s="3"/>
      <c r="J30" s="7">
        <f t="shared" si="1"/>
        <v>0</v>
      </c>
      <c r="K30" s="3"/>
      <c r="L30" s="8">
        <f t="shared" si="2"/>
        <v>-76.829999999999984</v>
      </c>
      <c r="M30" s="3"/>
      <c r="N30" s="7">
        <f t="shared" si="3"/>
        <v>-0.15287726838586435</v>
      </c>
      <c r="O30" s="12"/>
      <c r="P30" s="8">
        <v>6479.1</v>
      </c>
      <c r="Q30" s="3"/>
      <c r="R30" s="7">
        <f t="shared" si="4"/>
        <v>3.5031908986050435E-3</v>
      </c>
      <c r="S30" s="3"/>
      <c r="T30" s="8">
        <v>5884.77</v>
      </c>
      <c r="U30" s="3"/>
      <c r="V30" s="7">
        <f t="shared" si="5"/>
        <v>0</v>
      </c>
      <c r="W30" s="3"/>
      <c r="X30" s="8">
        <f t="shared" si="6"/>
        <v>594.32999999999993</v>
      </c>
      <c r="Y30" s="3"/>
      <c r="Z30" s="7">
        <f t="shared" si="7"/>
        <v>0.10099460131831828</v>
      </c>
    </row>
    <row r="31" spans="1:26" s="69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4120.71</v>
      </c>
      <c r="E31" s="3"/>
      <c r="F31" s="7">
        <f t="shared" si="0"/>
        <v>1.2849917894752793E-2</v>
      </c>
      <c r="G31" s="3"/>
      <c r="H31" s="8">
        <v>1872.24</v>
      </c>
      <c r="I31" s="3"/>
      <c r="J31" s="7">
        <f t="shared" si="1"/>
        <v>0</v>
      </c>
      <c r="K31" s="3"/>
      <c r="L31" s="8">
        <f t="shared" si="2"/>
        <v>2248.4700000000003</v>
      </c>
      <c r="M31" s="3"/>
      <c r="N31" s="7">
        <f t="shared" si="3"/>
        <v>1.2009518010511475</v>
      </c>
      <c r="O31" s="12"/>
      <c r="P31" s="8">
        <v>21057.88</v>
      </c>
      <c r="Q31" s="3"/>
      <c r="R31" s="7">
        <f t="shared" si="4"/>
        <v>1.1385805676701574E-2</v>
      </c>
      <c r="S31" s="3"/>
      <c r="T31" s="8">
        <v>13626.77</v>
      </c>
      <c r="U31" s="3"/>
      <c r="V31" s="7">
        <f t="shared" si="5"/>
        <v>0</v>
      </c>
      <c r="W31" s="3"/>
      <c r="X31" s="8">
        <f t="shared" si="6"/>
        <v>7431.1100000000006</v>
      </c>
      <c r="Y31" s="3"/>
      <c r="Z31" s="7">
        <f t="shared" si="7"/>
        <v>0.54533172571343025</v>
      </c>
    </row>
    <row r="32" spans="1:26" s="69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3167.16</v>
      </c>
      <c r="E32" s="3"/>
      <c r="F32" s="7">
        <f t="shared" si="0"/>
        <v>9.8763916799641943E-3</v>
      </c>
      <c r="G32" s="3"/>
      <c r="H32" s="8">
        <v>1425.51</v>
      </c>
      <c r="I32" s="3"/>
      <c r="J32" s="7">
        <f t="shared" si="1"/>
        <v>0</v>
      </c>
      <c r="K32" s="3"/>
      <c r="L32" s="8">
        <f t="shared" si="2"/>
        <v>1741.6499999999999</v>
      </c>
      <c r="M32" s="3"/>
      <c r="N32" s="7">
        <f t="shared" si="3"/>
        <v>1.2217732600963864</v>
      </c>
      <c r="O32" s="12"/>
      <c r="P32" s="8">
        <v>17541.64</v>
      </c>
      <c r="Q32" s="3"/>
      <c r="R32" s="7">
        <f t="shared" si="4"/>
        <v>9.4846064414202853E-3</v>
      </c>
      <c r="S32" s="3"/>
      <c r="T32" s="8">
        <v>10428.9</v>
      </c>
      <c r="U32" s="3"/>
      <c r="V32" s="7">
        <f t="shared" si="5"/>
        <v>0</v>
      </c>
      <c r="W32" s="3"/>
      <c r="X32" s="8">
        <f t="shared" si="6"/>
        <v>7112.74</v>
      </c>
      <c r="Y32" s="3"/>
      <c r="Z32" s="7">
        <f t="shared" si="7"/>
        <v>0.68202207327714337</v>
      </c>
    </row>
    <row r="33" spans="1:26" s="69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1238.1400000000001</v>
      </c>
      <c r="E33" s="3"/>
      <c r="F33" s="7">
        <f t="shared" si="0"/>
        <v>3.8609844765123543E-3</v>
      </c>
      <c r="G33" s="3"/>
      <c r="H33" s="8">
        <v>754.71</v>
      </c>
      <c r="I33" s="3"/>
      <c r="J33" s="7">
        <f t="shared" si="1"/>
        <v>0</v>
      </c>
      <c r="K33" s="3"/>
      <c r="L33" s="8">
        <f t="shared" si="2"/>
        <v>483.43000000000006</v>
      </c>
      <c r="M33" s="3"/>
      <c r="N33" s="7">
        <f t="shared" si="3"/>
        <v>0.64055067509374464</v>
      </c>
      <c r="O33" s="12"/>
      <c r="P33" s="8">
        <v>11435.92</v>
      </c>
      <c r="Q33" s="3"/>
      <c r="R33" s="7">
        <f t="shared" si="4"/>
        <v>6.1832987392038069E-3</v>
      </c>
      <c r="S33" s="3"/>
      <c r="T33" s="8">
        <v>6727.49</v>
      </c>
      <c r="U33" s="3"/>
      <c r="V33" s="7">
        <f t="shared" si="5"/>
        <v>0</v>
      </c>
      <c r="W33" s="3"/>
      <c r="X33" s="8">
        <f t="shared" si="6"/>
        <v>4708.43</v>
      </c>
      <c r="Y33" s="3"/>
      <c r="Z33" s="7">
        <f t="shared" si="7"/>
        <v>0.69987915255169464</v>
      </c>
    </row>
    <row r="34" spans="1:26" s="68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77426.409999999989</v>
      </c>
      <c r="E34" s="2"/>
      <c r="F34" s="6">
        <f t="shared" si="0"/>
        <v>0.24144455964760114</v>
      </c>
      <c r="G34" s="2"/>
      <c r="H34" s="2">
        <f>SUM(OSRRefH22_1x_0)</f>
        <v>20275.099999999999</v>
      </c>
      <c r="I34" s="2"/>
      <c r="J34" s="6">
        <f t="shared" si="1"/>
        <v>0</v>
      </c>
      <c r="K34" s="2"/>
      <c r="L34" s="2">
        <f t="shared" si="2"/>
        <v>57151.30999999999</v>
      </c>
      <c r="M34" s="2"/>
      <c r="N34" s="6">
        <f t="shared" si="3"/>
        <v>2.818793002253996</v>
      </c>
      <c r="O34" s="14"/>
      <c r="P34" s="2">
        <f>SUM(OSRRefP22_1x_0)</f>
        <v>627634.59</v>
      </c>
      <c r="Q34" s="2"/>
      <c r="R34" s="6">
        <f t="shared" si="4"/>
        <v>0.33935635865131081</v>
      </c>
      <c r="S34" s="2"/>
      <c r="T34" s="2">
        <f>SUM(OSRRefT22_1x_0)</f>
        <v>204659.38999999998</v>
      </c>
      <c r="U34" s="2"/>
      <c r="V34" s="6">
        <f t="shared" si="5"/>
        <v>0</v>
      </c>
      <c r="W34" s="2"/>
      <c r="X34" s="2">
        <f t="shared" si="6"/>
        <v>422975.19999999995</v>
      </c>
      <c r="Y34" s="2"/>
      <c r="Z34" s="6">
        <f t="shared" si="7"/>
        <v>2.0667275515675092</v>
      </c>
    </row>
    <row r="35" spans="1:26" s="69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16717.689999999999</v>
      </c>
      <c r="E35" s="3"/>
      <c r="F35" s="7">
        <f t="shared" si="0"/>
        <v>5.2132021882134338E-2</v>
      </c>
      <c r="G35" s="3"/>
      <c r="H35" s="8">
        <v>4256</v>
      </c>
      <c r="I35" s="3"/>
      <c r="J35" s="7">
        <f t="shared" si="1"/>
        <v>0</v>
      </c>
      <c r="K35" s="3"/>
      <c r="L35" s="8">
        <f t="shared" si="2"/>
        <v>12461.689999999999</v>
      </c>
      <c r="M35" s="3"/>
      <c r="N35" s="7">
        <f t="shared" si="3"/>
        <v>2.9280286654135335</v>
      </c>
      <c r="O35" s="12"/>
      <c r="P35" s="8">
        <v>97426.61</v>
      </c>
      <c r="Q35" s="3"/>
      <c r="R35" s="7">
        <f t="shared" si="4"/>
        <v>5.2677688789174899E-2</v>
      </c>
      <c r="S35" s="3"/>
      <c r="T35" s="8">
        <v>43288.99</v>
      </c>
      <c r="U35" s="3"/>
      <c r="V35" s="7">
        <f t="shared" si="5"/>
        <v>0</v>
      </c>
      <c r="W35" s="3"/>
      <c r="X35" s="8">
        <f t="shared" si="6"/>
        <v>54137.62</v>
      </c>
      <c r="Y35" s="3"/>
      <c r="Z35" s="7">
        <f t="shared" si="7"/>
        <v>1.2506094505785421</v>
      </c>
    </row>
    <row r="36" spans="1:26" s="69" customFormat="1" ht="15" hidden="1" customHeight="1" outlineLevel="2" x14ac:dyDescent="0.3">
      <c r="A36" s="26"/>
      <c r="B36" s="12" t="str">
        <f>CONCATENATE("          ","6004"," - ","STAFF HOURLY")</f>
        <v xml:space="preserve">          6004 - STAFF HOURLY</v>
      </c>
      <c r="C36" s="12"/>
      <c r="D36" s="8">
        <v>31964.34</v>
      </c>
      <c r="E36" s="3"/>
      <c r="F36" s="7">
        <f t="shared" si="0"/>
        <v>9.9676789815338257E-2</v>
      </c>
      <c r="G36" s="3"/>
      <c r="H36" s="8">
        <v>19629.099999999999</v>
      </c>
      <c r="I36" s="3"/>
      <c r="J36" s="7">
        <f t="shared" si="1"/>
        <v>0</v>
      </c>
      <c r="K36" s="3"/>
      <c r="L36" s="8">
        <f t="shared" si="2"/>
        <v>12335.240000000002</v>
      </c>
      <c r="M36" s="3"/>
      <c r="N36" s="7">
        <f t="shared" si="3"/>
        <v>0.62841597424232398</v>
      </c>
      <c r="O36" s="12"/>
      <c r="P36" s="8">
        <v>248860.54</v>
      </c>
      <c r="Q36" s="3"/>
      <c r="R36" s="7">
        <f t="shared" si="4"/>
        <v>0.13455664810698034</v>
      </c>
      <c r="S36" s="3"/>
      <c r="T36" s="8">
        <v>161370.4</v>
      </c>
      <c r="U36" s="3"/>
      <c r="V36" s="7">
        <f t="shared" si="5"/>
        <v>0</v>
      </c>
      <c r="W36" s="3"/>
      <c r="X36" s="8">
        <f t="shared" si="6"/>
        <v>87490.140000000014</v>
      </c>
      <c r="Y36" s="3"/>
      <c r="Z36" s="7">
        <f t="shared" si="7"/>
        <v>0.54216969159151873</v>
      </c>
    </row>
    <row r="37" spans="1:26" s="69" customFormat="1" ht="15" hidden="1" customHeight="1" outlineLevel="2" x14ac:dyDescent="0.3">
      <c r="A37" s="26"/>
      <c r="B37" s="12" t="str">
        <f>CONCATENATE("          ","6005"," - ","TEMPORARY WAGES-HOURLY")</f>
        <v xml:space="preserve">          6005 - TEMPORARY WAGES-HOURLY</v>
      </c>
      <c r="C37" s="12"/>
      <c r="D37" s="8">
        <v>7872.89</v>
      </c>
      <c r="E37" s="3"/>
      <c r="F37" s="7">
        <f t="shared" si="0"/>
        <v>2.4550621153738145E-2</v>
      </c>
      <c r="G37" s="3"/>
      <c r="H37" s="8"/>
      <c r="I37" s="3"/>
      <c r="J37" s="7">
        <f t="shared" si="1"/>
        <v>0</v>
      </c>
      <c r="K37" s="3"/>
      <c r="L37" s="8">
        <f t="shared" si="2"/>
        <v>7872.89</v>
      </c>
      <c r="M37" s="3"/>
      <c r="N37" s="7">
        <f t="shared" si="3"/>
        <v>0</v>
      </c>
      <c r="O37" s="12"/>
      <c r="P37" s="8">
        <v>95368.2</v>
      </c>
      <c r="Q37" s="3"/>
      <c r="R37" s="7">
        <f t="shared" si="4"/>
        <v>5.156472507853644E-2</v>
      </c>
      <c r="S37" s="3"/>
      <c r="T37" s="8"/>
      <c r="U37" s="3"/>
      <c r="V37" s="7">
        <f t="shared" si="5"/>
        <v>0</v>
      </c>
      <c r="W37" s="3"/>
      <c r="X37" s="8">
        <f t="shared" si="6"/>
        <v>95368.2</v>
      </c>
      <c r="Y37" s="3"/>
      <c r="Z37" s="7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9605.2900000000009</v>
      </c>
      <c r="E38" s="3"/>
      <c r="F38" s="7">
        <f t="shared" si="0"/>
        <v>2.9952893519633768E-2</v>
      </c>
      <c r="G38" s="3"/>
      <c r="H38" s="8">
        <v>-3610</v>
      </c>
      <c r="I38" s="3"/>
      <c r="J38" s="7">
        <f t="shared" si="1"/>
        <v>0</v>
      </c>
      <c r="K38" s="3"/>
      <c r="L38" s="8">
        <f t="shared" si="2"/>
        <v>13215.29</v>
      </c>
      <c r="M38" s="3"/>
      <c r="N38" s="7">
        <f t="shared" si="3"/>
        <v>-3.6607451523545711</v>
      </c>
      <c r="O38" s="12"/>
      <c r="P38" s="8">
        <v>140201.79</v>
      </c>
      <c r="Q38" s="3"/>
      <c r="R38" s="7">
        <f t="shared" si="4"/>
        <v>7.580584258556522E-2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140201.79</v>
      </c>
      <c r="Y38" s="3"/>
      <c r="Z38" s="7">
        <f t="shared" si="7"/>
        <v>0</v>
      </c>
    </row>
    <row r="39" spans="1:26" s="69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>
        <v>11266.2</v>
      </c>
      <c r="E39" s="3"/>
      <c r="F39" s="7">
        <f t="shared" si="0"/>
        <v>3.5132233276756658E-2</v>
      </c>
      <c r="G39" s="3"/>
      <c r="H39" s="8"/>
      <c r="I39" s="3"/>
      <c r="J39" s="7">
        <f t="shared" si="1"/>
        <v>0</v>
      </c>
      <c r="K39" s="3"/>
      <c r="L39" s="8">
        <f t="shared" si="2"/>
        <v>11266.2</v>
      </c>
      <c r="M39" s="3"/>
      <c r="N39" s="7">
        <f t="shared" si="3"/>
        <v>0</v>
      </c>
      <c r="O39" s="12"/>
      <c r="P39" s="8">
        <v>45777.45</v>
      </c>
      <c r="Q39" s="3"/>
      <c r="R39" s="7">
        <f t="shared" si="4"/>
        <v>2.4751454091053917E-2</v>
      </c>
      <c r="S39" s="3"/>
      <c r="T39" s="8"/>
      <c r="U39" s="3"/>
      <c r="V39" s="7">
        <f t="shared" si="5"/>
        <v>0</v>
      </c>
      <c r="W39" s="3"/>
      <c r="X39" s="8">
        <f t="shared" si="6"/>
        <v>45777.45</v>
      </c>
      <c r="Y39" s="3"/>
      <c r="Z39" s="7">
        <f t="shared" si="7"/>
        <v>0</v>
      </c>
    </row>
    <row r="40" spans="1:26" s="68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194.84</v>
      </c>
      <c r="E40" s="2"/>
      <c r="F40" s="6">
        <f t="shared" si="0"/>
        <v>6.0758413055362649E-4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194.84</v>
      </c>
      <c r="M40" s="2"/>
      <c r="N40" s="6">
        <f t="shared" si="3"/>
        <v>0</v>
      </c>
      <c r="O40" s="14"/>
      <c r="P40" s="2">
        <f>SUM(OSRRefP22_2x_0)</f>
        <v>1253</v>
      </c>
      <c r="Q40" s="2"/>
      <c r="R40" s="6">
        <f t="shared" si="4"/>
        <v>6.7748579215510163E-4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1253</v>
      </c>
      <c r="Y40" s="2"/>
      <c r="Z40" s="6">
        <f t="shared" si="7"/>
        <v>0</v>
      </c>
    </row>
    <row r="41" spans="1:26" s="69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>
        <v>194.84</v>
      </c>
      <c r="E41" s="3"/>
      <c r="F41" s="7">
        <f t="shared" si="0"/>
        <v>6.0758413055362649E-4</v>
      </c>
      <c r="G41" s="3"/>
      <c r="H41" s="8"/>
      <c r="I41" s="3"/>
      <c r="J41" s="7">
        <f t="shared" si="1"/>
        <v>0</v>
      </c>
      <c r="K41" s="3"/>
      <c r="L41" s="8">
        <f t="shared" si="2"/>
        <v>194.84</v>
      </c>
      <c r="M41" s="3"/>
      <c r="N41" s="7">
        <f t="shared" si="3"/>
        <v>0</v>
      </c>
      <c r="O41" s="12"/>
      <c r="P41" s="8">
        <v>1253</v>
      </c>
      <c r="Q41" s="3"/>
      <c r="R41" s="7">
        <f t="shared" si="4"/>
        <v>6.7748579215510163E-4</v>
      </c>
      <c r="S41" s="3"/>
      <c r="T41" s="8"/>
      <c r="U41" s="3"/>
      <c r="V41" s="7">
        <f t="shared" si="5"/>
        <v>0</v>
      </c>
      <c r="W41" s="3"/>
      <c r="X41" s="8">
        <f t="shared" si="6"/>
        <v>1253</v>
      </c>
      <c r="Y41" s="3"/>
      <c r="Z41" s="7">
        <f t="shared" si="7"/>
        <v>0</v>
      </c>
    </row>
    <row r="42" spans="1:26" s="68" customFormat="1" ht="15" customHeight="1" outlineLevel="1" collapsed="1" x14ac:dyDescent="0.3">
      <c r="A42" s="25"/>
      <c r="B42" s="14" t="str">
        <f>CONCATENATE("     ","Bad Debts/Over/Short                              ")</f>
        <v xml:space="preserve">     Bad Debts/Over/Short   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</v>
      </c>
      <c r="Q42" s="2"/>
      <c r="R42" s="6">
        <f t="shared" si="4"/>
        <v>4.325527803065294E-6</v>
      </c>
      <c r="S42" s="2"/>
      <c r="T42" s="2">
        <f>SUM(OSRRefT22_3x_0)</f>
        <v>29.74</v>
      </c>
      <c r="U42" s="2"/>
      <c r="V42" s="6">
        <f t="shared" si="5"/>
        <v>0</v>
      </c>
      <c r="W42" s="2"/>
      <c r="X42" s="2">
        <f t="shared" si="6"/>
        <v>-21.74</v>
      </c>
      <c r="Y42" s="2"/>
      <c r="Z42" s="6">
        <f t="shared" si="7"/>
        <v>-0.73100201748486882</v>
      </c>
    </row>
    <row r="43" spans="1:26" s="69" customFormat="1" ht="15" hidden="1" customHeight="1" outlineLevel="2" x14ac:dyDescent="0.3">
      <c r="A43" s="26"/>
      <c r="B43" s="12" t="str">
        <f>CONCATENATE("          ","6272"," - ","CASH (OVER/SHORT)")</f>
        <v xml:space="preserve">          6272 - CASH (OVER/SHORT)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8</v>
      </c>
      <c r="Q43" s="3"/>
      <c r="R43" s="7">
        <f t="shared" si="4"/>
        <v>4.325527803065294E-6</v>
      </c>
      <c r="S43" s="3"/>
      <c r="T43" s="8">
        <v>29.74</v>
      </c>
      <c r="U43" s="3"/>
      <c r="V43" s="7">
        <f t="shared" si="5"/>
        <v>0</v>
      </c>
      <c r="W43" s="3"/>
      <c r="X43" s="8">
        <f t="shared" si="6"/>
        <v>-21.74</v>
      </c>
      <c r="Y43" s="3"/>
      <c r="Z43" s="7">
        <f t="shared" si="7"/>
        <v>-0.73100201748486882</v>
      </c>
    </row>
    <row r="44" spans="1:26" s="68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SUM(OSRRefD22_4x_0)</f>
        <v>74.94</v>
      </c>
      <c r="E44" s="2"/>
      <c r="F44" s="6">
        <f t="shared" si="0"/>
        <v>2.3369100155865718E-4</v>
      </c>
      <c r="G44" s="2"/>
      <c r="H44" s="2">
        <f>SUM(OSRRefH22_4x_0)</f>
        <v>0</v>
      </c>
      <c r="I44" s="2"/>
      <c r="J44" s="6">
        <f t="shared" si="1"/>
        <v>0</v>
      </c>
      <c r="K44" s="2"/>
      <c r="L44" s="2">
        <f t="shared" si="2"/>
        <v>74.94</v>
      </c>
      <c r="M44" s="2"/>
      <c r="N44" s="6">
        <f t="shared" si="3"/>
        <v>0</v>
      </c>
      <c r="O44" s="14"/>
      <c r="P44" s="2">
        <f>SUM(OSRRefP22_4x_0)</f>
        <v>488.28</v>
      </c>
      <c r="Q44" s="2"/>
      <c r="R44" s="6">
        <f t="shared" si="4"/>
        <v>2.6400858946009021E-4</v>
      </c>
      <c r="S44" s="2"/>
      <c r="T44" s="2">
        <f>SUM(OSRRefT22_4x_0)</f>
        <v>0</v>
      </c>
      <c r="U44" s="2"/>
      <c r="V44" s="6">
        <f t="shared" si="5"/>
        <v>0</v>
      </c>
      <c r="W44" s="2"/>
      <c r="X44" s="2">
        <f t="shared" si="6"/>
        <v>488.28</v>
      </c>
      <c r="Y44" s="2"/>
      <c r="Z44" s="6">
        <f t="shared" si="7"/>
        <v>0</v>
      </c>
    </row>
    <row r="45" spans="1:26" s="69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74.94</v>
      </c>
      <c r="E45" s="3"/>
      <c r="F45" s="7">
        <f t="shared" si="0"/>
        <v>2.3369100155865718E-4</v>
      </c>
      <c r="G45" s="3"/>
      <c r="H45" s="8"/>
      <c r="I45" s="3"/>
      <c r="J45" s="7">
        <f t="shared" si="1"/>
        <v>0</v>
      </c>
      <c r="K45" s="3"/>
      <c r="L45" s="8">
        <f t="shared" si="2"/>
        <v>74.94</v>
      </c>
      <c r="M45" s="3"/>
      <c r="N45" s="7">
        <f t="shared" si="3"/>
        <v>0</v>
      </c>
      <c r="O45" s="12"/>
      <c r="P45" s="8">
        <v>488.28</v>
      </c>
      <c r="Q45" s="3"/>
      <c r="R45" s="7">
        <f t="shared" si="4"/>
        <v>2.6400858946009021E-4</v>
      </c>
      <c r="S45" s="3"/>
      <c r="T45" s="8"/>
      <c r="U45" s="3"/>
      <c r="V45" s="7">
        <f t="shared" si="5"/>
        <v>0</v>
      </c>
      <c r="W45" s="3"/>
      <c r="X45" s="8">
        <f t="shared" si="6"/>
        <v>488.28</v>
      </c>
      <c r="Y45" s="3"/>
      <c r="Z45" s="7">
        <f t="shared" si="7"/>
        <v>0</v>
      </c>
    </row>
    <row r="46" spans="1:26" s="68" customFormat="1" ht="15" customHeight="1" outlineLevel="1" collapsed="1" x14ac:dyDescent="0.3">
      <c r="A46" s="25"/>
      <c r="B46" s="14" t="str">
        <f>CONCATENATE("     ","Depreciation                                      ")</f>
        <v xml:space="preserve">     Depreciation                                      </v>
      </c>
      <c r="C46" s="14"/>
      <c r="D46" s="2">
        <f>SUM(OSRRefD22_5x_0)</f>
        <v>213.02</v>
      </c>
      <c r="E46" s="2"/>
      <c r="F46" s="6">
        <f t="shared" si="0"/>
        <v>6.642761829733808E-4</v>
      </c>
      <c r="G46" s="2"/>
      <c r="H46" s="2">
        <f>SUM(OSRRefH22_5x_0)</f>
        <v>213.02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2130.1999999999998</v>
      </c>
      <c r="Q46" s="2"/>
      <c r="R46" s="6">
        <f t="shared" si="4"/>
        <v>1.1517799157612111E-3</v>
      </c>
      <c r="S46" s="2"/>
      <c r="T46" s="2">
        <f>SUM(OSRRefT22_5x_0)</f>
        <v>2130.1999999999998</v>
      </c>
      <c r="U46" s="2"/>
      <c r="V46" s="6">
        <f t="shared" si="5"/>
        <v>0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","6322"," - ","EQUIPMENT DEPRECIATION EXPENSE")</f>
        <v xml:space="preserve">          6322 - EQUIPMENT DEPRECIATION EXPENSE</v>
      </c>
      <c r="C47" s="12"/>
      <c r="D47" s="8">
        <v>213.02</v>
      </c>
      <c r="E47" s="3"/>
      <c r="F47" s="7">
        <f t="shared" si="0"/>
        <v>6.642761829733808E-4</v>
      </c>
      <c r="G47" s="3"/>
      <c r="H47" s="8">
        <v>213.02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2130.1999999999998</v>
      </c>
      <c r="Q47" s="3"/>
      <c r="R47" s="7">
        <f t="shared" si="4"/>
        <v>1.1517799157612111E-3</v>
      </c>
      <c r="S47" s="3"/>
      <c r="T47" s="8">
        <v>2130.1999999999998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","Donations                                         ")</f>
        <v xml:space="preserve">     Donations                                         </v>
      </c>
      <c r="C48" s="14"/>
      <c r="D48" s="2">
        <f>SUM(OSRRefD22_6x_0)</f>
        <v>1797.46</v>
      </c>
      <c r="E48" s="2"/>
      <c r="F48" s="6">
        <f t="shared" si="0"/>
        <v>5.6051538252151582E-3</v>
      </c>
      <c r="G48" s="2"/>
      <c r="H48" s="2">
        <f>SUM(OSRRefH22_6x_0)</f>
        <v>0</v>
      </c>
      <c r="I48" s="2"/>
      <c r="J48" s="6">
        <f t="shared" si="1"/>
        <v>0</v>
      </c>
      <c r="K48" s="2"/>
      <c r="L48" s="2">
        <f t="shared" si="2"/>
        <v>1797.46</v>
      </c>
      <c r="M48" s="2"/>
      <c r="N48" s="6">
        <f t="shared" si="3"/>
        <v>0</v>
      </c>
      <c r="O48" s="14"/>
      <c r="P48" s="2">
        <f>SUM(OSRRefP22_6x_0)</f>
        <v>11401.03</v>
      </c>
      <c r="Q48" s="2"/>
      <c r="R48" s="6">
        <f t="shared" si="4"/>
        <v>6.1644340310726886E-3</v>
      </c>
      <c r="S48" s="2"/>
      <c r="T48" s="2">
        <f>SUM(OSRRefT22_6x_0)</f>
        <v>0</v>
      </c>
      <c r="U48" s="2"/>
      <c r="V48" s="6">
        <f t="shared" si="5"/>
        <v>0</v>
      </c>
      <c r="W48" s="2"/>
      <c r="X48" s="2">
        <f t="shared" si="6"/>
        <v>11401.03</v>
      </c>
      <c r="Y48" s="2"/>
      <c r="Z48" s="6">
        <f t="shared" si="7"/>
        <v>0</v>
      </c>
    </row>
    <row r="49" spans="1:26" s="69" customFormat="1" ht="15" hidden="1" customHeight="1" outlineLevel="2" x14ac:dyDescent="0.3">
      <c r="A49" s="26"/>
      <c r="B49" s="12" t="str">
        <f>CONCATENATE("          ","6399"," - ","DONATION-ON CAMPUS")</f>
        <v xml:space="preserve">          6399 - DONATION-ON CAMPUS</v>
      </c>
      <c r="C49" s="12"/>
      <c r="D49" s="8">
        <v>1797.46</v>
      </c>
      <c r="E49" s="3"/>
      <c r="F49" s="7">
        <f t="shared" si="0"/>
        <v>5.6051538252151582E-3</v>
      </c>
      <c r="G49" s="3"/>
      <c r="H49" s="8"/>
      <c r="I49" s="3"/>
      <c r="J49" s="7">
        <f t="shared" si="1"/>
        <v>0</v>
      </c>
      <c r="K49" s="3"/>
      <c r="L49" s="8">
        <f t="shared" si="2"/>
        <v>1797.46</v>
      </c>
      <c r="M49" s="3"/>
      <c r="N49" s="7">
        <f t="shared" si="3"/>
        <v>0</v>
      </c>
      <c r="O49" s="12"/>
      <c r="P49" s="8">
        <v>11401.03</v>
      </c>
      <c r="Q49" s="3"/>
      <c r="R49" s="7">
        <f t="shared" si="4"/>
        <v>6.1644340310726886E-3</v>
      </c>
      <c r="S49" s="3"/>
      <c r="T49" s="8"/>
      <c r="U49" s="3"/>
      <c r="V49" s="7">
        <f t="shared" si="5"/>
        <v>0</v>
      </c>
      <c r="W49" s="3"/>
      <c r="X49" s="8">
        <f t="shared" si="6"/>
        <v>11401.03</v>
      </c>
      <c r="Y49" s="3"/>
      <c r="Z49" s="7">
        <f t="shared" si="7"/>
        <v>0</v>
      </c>
    </row>
    <row r="50" spans="1:26" s="68" customFormat="1" ht="15" customHeight="1" outlineLevel="1" collapsed="1" x14ac:dyDescent="0.3">
      <c r="A50" s="25"/>
      <c r="B50" s="14" t="str">
        <f>CONCATENATE("     ","Employees' Appreciation                           ")</f>
        <v xml:space="preserve">     Employees' Appreciation                           </v>
      </c>
      <c r="C50" s="14"/>
      <c r="D50" s="2">
        <f>SUM(OSRRefD22_7x_0)</f>
        <v>0</v>
      </c>
      <c r="E50" s="2"/>
      <c r="F50" s="6">
        <f t="shared" si="0"/>
        <v>0</v>
      </c>
      <c r="G50" s="2"/>
      <c r="H50" s="2">
        <f>SUM(OSRRefH22_7x_0)</f>
        <v>0</v>
      </c>
      <c r="I50" s="2"/>
      <c r="J50" s="6">
        <f t="shared" si="1"/>
        <v>0</v>
      </c>
      <c r="K50" s="2"/>
      <c r="L50" s="2">
        <f t="shared" si="2"/>
        <v>0</v>
      </c>
      <c r="M50" s="2"/>
      <c r="N50" s="6">
        <f t="shared" si="3"/>
        <v>0</v>
      </c>
      <c r="O50" s="14"/>
      <c r="P50" s="2">
        <f>SUM(OSRRefP22_7x_0)</f>
        <v>90.47</v>
      </c>
      <c r="Q50" s="2"/>
      <c r="R50" s="6">
        <f t="shared" si="4"/>
        <v>4.8916312542914642E-5</v>
      </c>
      <c r="S50" s="2"/>
      <c r="T50" s="2">
        <f>SUM(OSRRefT22_7x_0)</f>
        <v>0</v>
      </c>
      <c r="U50" s="2"/>
      <c r="V50" s="6">
        <f t="shared" si="5"/>
        <v>0</v>
      </c>
      <c r="W50" s="2"/>
      <c r="X50" s="2">
        <f t="shared" si="6"/>
        <v>90.47</v>
      </c>
      <c r="Y50" s="2"/>
      <c r="Z50" s="6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","6277"," - ","EMPLOYEE APPRECIATION")</f>
        <v xml:space="preserve">          6277 - EMPLOYEE APPRECIATION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90.47</v>
      </c>
      <c r="Q51" s="3"/>
      <c r="R51" s="7">
        <f t="shared" si="4"/>
        <v>4.8916312542914642E-5</v>
      </c>
      <c r="S51" s="3"/>
      <c r="T51" s="8"/>
      <c r="U51" s="3"/>
      <c r="V51" s="7">
        <f t="shared" si="5"/>
        <v>0</v>
      </c>
      <c r="W51" s="3"/>
      <c r="X51" s="8">
        <f t="shared" si="6"/>
        <v>90.47</v>
      </c>
      <c r="Y51" s="3"/>
      <c r="Z51" s="7">
        <f t="shared" si="7"/>
        <v>0</v>
      </c>
    </row>
    <row r="52" spans="1:26" s="68" customFormat="1" ht="15" customHeight="1" outlineLevel="1" collapsed="1" x14ac:dyDescent="0.3">
      <c r="A52" s="25"/>
      <c r="B52" s="14" t="str">
        <f>CONCATENATE("     ","Equipment Rental                                  ")</f>
        <v xml:space="preserve">     Equipment Rental                                  </v>
      </c>
      <c r="C52" s="14"/>
      <c r="D52" s="2">
        <f>SUM(OSRRefD22_8x_0)</f>
        <v>0</v>
      </c>
      <c r="E52" s="2"/>
      <c r="F52" s="6">
        <f t="shared" si="0"/>
        <v>0</v>
      </c>
      <c r="G52" s="2"/>
      <c r="H52" s="2">
        <f>SUM(OSRRefH22_8x_0)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SUM(OSRRefP22_8x_0)</f>
        <v>0</v>
      </c>
      <c r="Q52" s="2"/>
      <c r="R52" s="6">
        <f t="shared" si="4"/>
        <v>0</v>
      </c>
      <c r="S52" s="2"/>
      <c r="T52" s="2">
        <f>SUM(OSRRefT22_8x_0)</f>
        <v>20</v>
      </c>
      <c r="U52" s="2"/>
      <c r="V52" s="6">
        <f t="shared" si="5"/>
        <v>0</v>
      </c>
      <c r="W52" s="2"/>
      <c r="X52" s="2">
        <f t="shared" si="6"/>
        <v>-20</v>
      </c>
      <c r="Y52" s="2"/>
      <c r="Z52" s="6">
        <f t="shared" si="7"/>
        <v>-1</v>
      </c>
    </row>
    <row r="53" spans="1:26" s="69" customFormat="1" ht="15" hidden="1" customHeight="1" outlineLevel="2" x14ac:dyDescent="0.3">
      <c r="A53" s="26"/>
      <c r="B53" s="12" t="str">
        <f>CONCATENATE("          ","6351"," - ","EQUIPMENT RENTAL")</f>
        <v xml:space="preserve">          6351 - EQUIPMENT RENTAL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20</v>
      </c>
      <c r="U53" s="3"/>
      <c r="V53" s="7">
        <f t="shared" si="5"/>
        <v>0</v>
      </c>
      <c r="W53" s="3"/>
      <c r="X53" s="8">
        <f t="shared" si="6"/>
        <v>-20</v>
      </c>
      <c r="Y53" s="3"/>
      <c r="Z53" s="7">
        <f t="shared" si="7"/>
        <v>-1</v>
      </c>
    </row>
    <row r="54" spans="1:26" s="68" customFormat="1" ht="15" customHeight="1" outlineLevel="1" collapsed="1" x14ac:dyDescent="0.3">
      <c r="A54" s="25"/>
      <c r="B54" s="14" t="str">
        <f>CONCATENATE("     ","General                                           ")</f>
        <v xml:space="preserve">     General                                           </v>
      </c>
      <c r="C54" s="14"/>
      <c r="D54" s="2">
        <f>SUM(OSRRefD22_9x_0)</f>
        <v>0</v>
      </c>
      <c r="E54" s="2"/>
      <c r="F54" s="6">
        <f t="shared" si="0"/>
        <v>0</v>
      </c>
      <c r="G54" s="2"/>
      <c r="H54" s="2">
        <f>SUM(OSRRefH22_9x_0)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SUM(OSRRefP22_9x_0)</f>
        <v>2071.98</v>
      </c>
      <c r="Q54" s="2"/>
      <c r="R54" s="6">
        <f t="shared" si="4"/>
        <v>1.1203008871744035E-3</v>
      </c>
      <c r="S54" s="2"/>
      <c r="T54" s="2">
        <f>SUM(OSRRefT22_9x_0)</f>
        <v>1875.87</v>
      </c>
      <c r="U54" s="2"/>
      <c r="V54" s="6">
        <f t="shared" si="5"/>
        <v>0</v>
      </c>
      <c r="W54" s="2"/>
      <c r="X54" s="2">
        <f t="shared" si="6"/>
        <v>196.11000000000013</v>
      </c>
      <c r="Y54" s="2"/>
      <c r="Z54" s="6">
        <f t="shared" si="7"/>
        <v>0.10454349181979569</v>
      </c>
    </row>
    <row r="55" spans="1:26" s="69" customFormat="1" ht="15" hidden="1" customHeight="1" outlineLevel="2" x14ac:dyDescent="0.3">
      <c r="A55" s="26"/>
      <c r="B55" s="12" t="str">
        <f>CONCATENATE("          ","6279"," - ","GENERAL EXPENSE")</f>
        <v xml:space="preserve">          6279 - GENERAL EXPENSE</v>
      </c>
      <c r="C55" s="12"/>
      <c r="D55" s="8"/>
      <c r="E55" s="3"/>
      <c r="F55" s="7">
        <f t="shared" ref="F55:F79" si="8">IF(D$12=0,0,D55/D$12)</f>
        <v>0</v>
      </c>
      <c r="G55" s="3"/>
      <c r="H55" s="8"/>
      <c r="I55" s="3"/>
      <c r="J55" s="7">
        <f t="shared" ref="J55:J79" si="9">IF(H$12=0,0,H55/H$12)</f>
        <v>0</v>
      </c>
      <c r="K55" s="3"/>
      <c r="L55" s="8">
        <f t="shared" ref="L55:L79" si="10">+D55-H55</f>
        <v>0</v>
      </c>
      <c r="M55" s="3"/>
      <c r="N55" s="7">
        <f t="shared" ref="N55:N79" si="11">IF(H55=0,0,L55/H55)</f>
        <v>0</v>
      </c>
      <c r="O55" s="12"/>
      <c r="P55" s="8">
        <v>2071.98</v>
      </c>
      <c r="Q55" s="3"/>
      <c r="R55" s="7">
        <f t="shared" ref="R55:R79" si="12">IF(P$12=0,0,P55/P$12)</f>
        <v>1.1203008871744035E-3</v>
      </c>
      <c r="S55" s="3"/>
      <c r="T55" s="8">
        <v>1875.87</v>
      </c>
      <c r="U55" s="3"/>
      <c r="V55" s="7">
        <f t="shared" ref="V55:V79" si="13">IF(T$12=0,0,T55/T$12)</f>
        <v>0</v>
      </c>
      <c r="W55" s="3"/>
      <c r="X55" s="8">
        <f t="shared" ref="X55:X79" si="14">+P55-T55</f>
        <v>196.11000000000013</v>
      </c>
      <c r="Y55" s="3"/>
      <c r="Z55" s="7">
        <f t="shared" ref="Z55:Z79" si="15">IF(T55=0,0,X55/T55)</f>
        <v>0.10454349181979569</v>
      </c>
    </row>
    <row r="56" spans="1:26" s="68" customFormat="1" ht="15" customHeight="1" outlineLevel="1" collapsed="1" x14ac:dyDescent="0.3">
      <c r="A56" s="25"/>
      <c r="B56" s="14" t="str">
        <f>CONCATENATE("     ","Insurance                                         ")</f>
        <v xml:space="preserve">     Insurance                                         </v>
      </c>
      <c r="C56" s="14"/>
      <c r="D56" s="2">
        <f>SUM(OSRRefD22_10x_0)</f>
        <v>5.21</v>
      </c>
      <c r="E56" s="2"/>
      <c r="F56" s="6">
        <f t="shared" si="8"/>
        <v>1.6246732294110008E-5</v>
      </c>
      <c r="G56" s="2"/>
      <c r="H56" s="2">
        <f>SUM(OSRRefH22_10x_0)</f>
        <v>5.9</v>
      </c>
      <c r="I56" s="2"/>
      <c r="J56" s="6">
        <f t="shared" si="9"/>
        <v>0</v>
      </c>
      <c r="K56" s="2"/>
      <c r="L56" s="2">
        <f t="shared" si="10"/>
        <v>-0.69000000000000039</v>
      </c>
      <c r="M56" s="2"/>
      <c r="N56" s="6">
        <f t="shared" si="11"/>
        <v>-0.11694915254237294</v>
      </c>
      <c r="O56" s="14"/>
      <c r="P56" s="2">
        <f>SUM(OSRRefP22_10x_0)</f>
        <v>52.11</v>
      </c>
      <c r="Q56" s="2"/>
      <c r="R56" s="6">
        <f t="shared" si="12"/>
        <v>2.8175406727216557E-5</v>
      </c>
      <c r="S56" s="2"/>
      <c r="T56" s="2">
        <f>SUM(OSRRefT22_10x_0)</f>
        <v>59</v>
      </c>
      <c r="U56" s="2"/>
      <c r="V56" s="6">
        <f t="shared" si="13"/>
        <v>0</v>
      </c>
      <c r="W56" s="2"/>
      <c r="X56" s="2">
        <f t="shared" si="14"/>
        <v>-6.8900000000000006</v>
      </c>
      <c r="Y56" s="2"/>
      <c r="Z56" s="6">
        <f t="shared" si="15"/>
        <v>-0.11677966101694916</v>
      </c>
    </row>
    <row r="57" spans="1:26" s="69" customFormat="1" ht="15" hidden="1" customHeight="1" outlineLevel="2" x14ac:dyDescent="0.3">
      <c r="A57" s="26"/>
      <c r="B57" s="12" t="str">
        <f>CONCATENATE("          ","6314"," - ","LIABILITY INSURANCE")</f>
        <v xml:space="preserve">          6314 - LIABILITY INSURANCE</v>
      </c>
      <c r="C57" s="12"/>
      <c r="D57" s="8">
        <v>5.21</v>
      </c>
      <c r="E57" s="3"/>
      <c r="F57" s="7">
        <f t="shared" si="8"/>
        <v>1.6246732294110008E-5</v>
      </c>
      <c r="G57" s="3"/>
      <c r="H57" s="8">
        <v>5.9</v>
      </c>
      <c r="I57" s="3"/>
      <c r="J57" s="7">
        <f t="shared" si="9"/>
        <v>0</v>
      </c>
      <c r="K57" s="3"/>
      <c r="L57" s="8">
        <f t="shared" si="10"/>
        <v>-0.69000000000000039</v>
      </c>
      <c r="M57" s="3"/>
      <c r="N57" s="7">
        <f t="shared" si="11"/>
        <v>-0.11694915254237294</v>
      </c>
      <c r="O57" s="12"/>
      <c r="P57" s="8">
        <v>52.11</v>
      </c>
      <c r="Q57" s="3"/>
      <c r="R57" s="7">
        <f t="shared" si="12"/>
        <v>2.8175406727216557E-5</v>
      </c>
      <c r="S57" s="3"/>
      <c r="T57" s="8">
        <v>59</v>
      </c>
      <c r="U57" s="3"/>
      <c r="V57" s="7">
        <f t="shared" si="13"/>
        <v>0</v>
      </c>
      <c r="W57" s="3"/>
      <c r="X57" s="8">
        <f t="shared" si="14"/>
        <v>-6.8900000000000006</v>
      </c>
      <c r="Y57" s="3"/>
      <c r="Z57" s="7">
        <f t="shared" si="15"/>
        <v>-0.11677966101694916</v>
      </c>
    </row>
    <row r="58" spans="1:26" s="68" customFormat="1" ht="15" customHeight="1" outlineLevel="1" collapsed="1" x14ac:dyDescent="0.3">
      <c r="A58" s="25"/>
      <c r="B58" s="14" t="str">
        <f>CONCATENATE("     ","R/H Commissions                                   ")</f>
        <v xml:space="preserve">     R/H Commissions                                   </v>
      </c>
      <c r="C58" s="14"/>
      <c r="D58" s="2">
        <f>SUM(OSRRefD22_11x_0)</f>
        <v>25401.53</v>
      </c>
      <c r="E58" s="2"/>
      <c r="F58" s="6">
        <f t="shared" si="8"/>
        <v>7.9211489015509437E-2</v>
      </c>
      <c r="G58" s="2"/>
      <c r="H58" s="2">
        <f>SUM(OSRRefH22_11x_0)</f>
        <v>0</v>
      </c>
      <c r="I58" s="2"/>
      <c r="J58" s="6">
        <f t="shared" si="9"/>
        <v>0</v>
      </c>
      <c r="K58" s="2"/>
      <c r="L58" s="2">
        <f t="shared" si="10"/>
        <v>25401.53</v>
      </c>
      <c r="M58" s="2"/>
      <c r="N58" s="6">
        <f t="shared" si="11"/>
        <v>0</v>
      </c>
      <c r="O58" s="14"/>
      <c r="P58" s="2">
        <f>SUM(OSRRefP22_11x_0)</f>
        <v>143317.92000000001</v>
      </c>
      <c r="Q58" s="2"/>
      <c r="R58" s="6">
        <f t="shared" si="12"/>
        <v>7.7490705954685948E-2</v>
      </c>
      <c r="S58" s="2"/>
      <c r="T58" s="2">
        <f>SUM(OSRRefT22_11x_0)</f>
        <v>0</v>
      </c>
      <c r="U58" s="2"/>
      <c r="V58" s="6">
        <f t="shared" si="13"/>
        <v>0</v>
      </c>
      <c r="W58" s="2"/>
      <c r="X58" s="2">
        <f t="shared" si="14"/>
        <v>143317.92000000001</v>
      </c>
      <c r="Y58" s="2"/>
      <c r="Z58" s="6">
        <f t="shared" si="15"/>
        <v>0</v>
      </c>
    </row>
    <row r="59" spans="1:26" s="69" customFormat="1" ht="15" hidden="1" customHeight="1" outlineLevel="2" x14ac:dyDescent="0.3">
      <c r="A59" s="26"/>
      <c r="B59" s="12" t="str">
        <f>CONCATENATE("          ","6387"," - ","COMMISSION DUE HOUSING")</f>
        <v xml:space="preserve">          6387 - COMMISSION DUE HOUSING</v>
      </c>
      <c r="C59" s="12"/>
      <c r="D59" s="8">
        <v>25401.53</v>
      </c>
      <c r="E59" s="3"/>
      <c r="F59" s="7">
        <f t="shared" si="8"/>
        <v>7.9211489015509437E-2</v>
      </c>
      <c r="G59" s="3"/>
      <c r="H59" s="8"/>
      <c r="I59" s="3"/>
      <c r="J59" s="7">
        <f t="shared" si="9"/>
        <v>0</v>
      </c>
      <c r="K59" s="3"/>
      <c r="L59" s="8">
        <f t="shared" si="10"/>
        <v>25401.53</v>
      </c>
      <c r="M59" s="3"/>
      <c r="N59" s="7">
        <f t="shared" si="11"/>
        <v>0</v>
      </c>
      <c r="O59" s="12"/>
      <c r="P59" s="8">
        <v>143317.92000000001</v>
      </c>
      <c r="Q59" s="3"/>
      <c r="R59" s="7">
        <f t="shared" si="12"/>
        <v>7.7490705954685948E-2</v>
      </c>
      <c r="S59" s="3"/>
      <c r="T59" s="8"/>
      <c r="U59" s="3"/>
      <c r="V59" s="7">
        <f t="shared" si="13"/>
        <v>0</v>
      </c>
      <c r="W59" s="3"/>
      <c r="X59" s="8">
        <f t="shared" si="14"/>
        <v>143317.92000000001</v>
      </c>
      <c r="Y59" s="3"/>
      <c r="Z59" s="7">
        <f t="shared" si="15"/>
        <v>0</v>
      </c>
    </row>
    <row r="60" spans="1:26" s="68" customFormat="1" ht="15" customHeight="1" outlineLevel="1" collapsed="1" x14ac:dyDescent="0.3">
      <c r="A60" s="25"/>
      <c r="B60" s="14" t="str">
        <f>CONCATENATE("     ","Repair and Maintenance                            ")</f>
        <v xml:space="preserve">     Repair and Maintenance                            </v>
      </c>
      <c r="C60" s="14"/>
      <c r="D60" s="2">
        <f>SUM(OSRRefD22_12x_0)</f>
        <v>0</v>
      </c>
      <c r="E60" s="2"/>
      <c r="F60" s="6">
        <f t="shared" si="8"/>
        <v>0</v>
      </c>
      <c r="G60" s="2"/>
      <c r="H60" s="2">
        <f>SUM(OSRRefH22_12x_0)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SUM(OSRRefP22_12x_0)</f>
        <v>2538.2799999999997</v>
      </c>
      <c r="Q60" s="2"/>
      <c r="R60" s="6">
        <f t="shared" si="12"/>
        <v>1.3724250889955716E-3</v>
      </c>
      <c r="S60" s="2"/>
      <c r="T60" s="2">
        <f>SUM(OSRRefT22_12x_0)</f>
        <v>216.99</v>
      </c>
      <c r="U60" s="2"/>
      <c r="V60" s="6">
        <f t="shared" si="13"/>
        <v>0</v>
      </c>
      <c r="W60" s="2"/>
      <c r="X60" s="2">
        <f t="shared" si="14"/>
        <v>2321.29</v>
      </c>
      <c r="Y60" s="2"/>
      <c r="Z60" s="6">
        <f t="shared" si="15"/>
        <v>10.697681920825843</v>
      </c>
    </row>
    <row r="61" spans="1:26" s="69" customFormat="1" ht="15" hidden="1" customHeight="1" outlineLevel="2" x14ac:dyDescent="0.3">
      <c r="A61" s="26"/>
      <c r="B61" s="12" t="str">
        <f>CONCATENATE("          ","6373"," - ","MAINTENANCE CONTRACTS")</f>
        <v xml:space="preserve">          6373 - MAINTENANCE CONTRACTS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221.66</v>
      </c>
      <c r="Q61" s="3"/>
      <c r="R61" s="7">
        <f t="shared" si="12"/>
        <v>1.1984956160343163E-4</v>
      </c>
      <c r="S61" s="3"/>
      <c r="T61" s="8">
        <v>216.99</v>
      </c>
      <c r="U61" s="3"/>
      <c r="V61" s="7">
        <f t="shared" si="13"/>
        <v>0</v>
      </c>
      <c r="W61" s="3"/>
      <c r="X61" s="8">
        <f t="shared" si="14"/>
        <v>4.6699999999999875</v>
      </c>
      <c r="Y61" s="3"/>
      <c r="Z61" s="7">
        <f t="shared" si="15"/>
        <v>2.1521729111940585E-2</v>
      </c>
    </row>
    <row r="62" spans="1:26" s="69" customFormat="1" ht="15" hidden="1" customHeight="1" outlineLevel="2" x14ac:dyDescent="0.3">
      <c r="A62" s="26"/>
      <c r="B62" s="12" t="str">
        <f>CONCATENATE("          ","6375"," - ","OUTSIDE REPAIRS &amp; MAINTENANCE")</f>
        <v xml:space="preserve">          6375 - OUTSIDE REPAIRS &amp; MAINTENANCE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2316.62</v>
      </c>
      <c r="Q62" s="3"/>
      <c r="R62" s="7">
        <f t="shared" si="12"/>
        <v>1.2525755273921401E-3</v>
      </c>
      <c r="S62" s="3"/>
      <c r="T62" s="8"/>
      <c r="U62" s="3"/>
      <c r="V62" s="7">
        <f t="shared" si="13"/>
        <v>0</v>
      </c>
      <c r="W62" s="3"/>
      <c r="X62" s="8">
        <f t="shared" si="14"/>
        <v>2316.62</v>
      </c>
      <c r="Y62" s="3"/>
      <c r="Z62" s="7">
        <f t="shared" si="15"/>
        <v>0</v>
      </c>
    </row>
    <row r="63" spans="1:26" s="68" customFormat="1" ht="15" customHeight="1" outlineLevel="1" collapsed="1" x14ac:dyDescent="0.3">
      <c r="A63" s="25"/>
      <c r="B63" s="14" t="str">
        <f>CONCATENATE("     ","Services                                          ")</f>
        <v xml:space="preserve">     Services                                          </v>
      </c>
      <c r="C63" s="14"/>
      <c r="D63" s="2">
        <f>SUM(OSRRefD22_13x_0)</f>
        <v>5548.13</v>
      </c>
      <c r="E63" s="2"/>
      <c r="F63" s="6">
        <f t="shared" si="8"/>
        <v>1.7301148338372468E-2</v>
      </c>
      <c r="G63" s="2"/>
      <c r="H63" s="2">
        <f>SUM(OSRRefH22_13x_0)</f>
        <v>669.64</v>
      </c>
      <c r="I63" s="2"/>
      <c r="J63" s="6">
        <f t="shared" si="9"/>
        <v>0</v>
      </c>
      <c r="K63" s="2"/>
      <c r="L63" s="2">
        <f t="shared" si="10"/>
        <v>4878.49</v>
      </c>
      <c r="M63" s="2"/>
      <c r="N63" s="6">
        <f t="shared" si="11"/>
        <v>7.2852428170360195</v>
      </c>
      <c r="O63" s="14"/>
      <c r="P63" s="2">
        <f>SUM(OSRRefP22_13x_0)</f>
        <v>49273.77</v>
      </c>
      <c r="Q63" s="2"/>
      <c r="R63" s="6">
        <f t="shared" si="12"/>
        <v>2.6641882762105572E-2</v>
      </c>
      <c r="S63" s="2"/>
      <c r="T63" s="2">
        <f>SUM(OSRRefT22_13x_0)</f>
        <v>6696.4</v>
      </c>
      <c r="U63" s="2"/>
      <c r="V63" s="6">
        <f t="shared" si="13"/>
        <v>0</v>
      </c>
      <c r="W63" s="2"/>
      <c r="X63" s="2">
        <f t="shared" si="14"/>
        <v>42577.369999999995</v>
      </c>
      <c r="Y63" s="2"/>
      <c r="Z63" s="6">
        <f t="shared" si="15"/>
        <v>6.3582477151902514</v>
      </c>
    </row>
    <row r="64" spans="1:26" s="69" customFormat="1" ht="15" hidden="1" customHeight="1" outlineLevel="2" x14ac:dyDescent="0.3">
      <c r="A64" s="26"/>
      <c r="B64" s="12" t="str">
        <f>CONCATENATE("          ","6282"," - ","JANITORIAL/EXTERMINATOR EXPENS")</f>
        <v xml:space="preserve">          6282 - JANITORIAL/EXTERMINATOR EXPENS</v>
      </c>
      <c r="C64" s="12"/>
      <c r="D64" s="8"/>
      <c r="E64" s="3"/>
      <c r="F64" s="7">
        <f t="shared" si="8"/>
        <v>0</v>
      </c>
      <c r="G64" s="3"/>
      <c r="H64" s="8">
        <v>669.64</v>
      </c>
      <c r="I64" s="3"/>
      <c r="J64" s="7">
        <f t="shared" si="9"/>
        <v>0</v>
      </c>
      <c r="K64" s="3"/>
      <c r="L64" s="8">
        <f t="shared" si="10"/>
        <v>-669.64</v>
      </c>
      <c r="M64" s="3"/>
      <c r="N64" s="7">
        <f t="shared" si="11"/>
        <v>-1</v>
      </c>
      <c r="O64" s="12"/>
      <c r="P64" s="8">
        <v>6608.25</v>
      </c>
      <c r="Q64" s="3"/>
      <c r="R64" s="7">
        <f t="shared" si="12"/>
        <v>3.5730211380757787E-3</v>
      </c>
      <c r="S64" s="3"/>
      <c r="T64" s="8">
        <v>6098.53</v>
      </c>
      <c r="U64" s="3"/>
      <c r="V64" s="7">
        <f t="shared" si="13"/>
        <v>0</v>
      </c>
      <c r="W64" s="3"/>
      <c r="X64" s="8">
        <f t="shared" si="14"/>
        <v>509.72000000000025</v>
      </c>
      <c r="Y64" s="3"/>
      <c r="Z64" s="7">
        <f t="shared" si="15"/>
        <v>8.3580797339686819E-2</v>
      </c>
    </row>
    <row r="65" spans="1:26" s="69" customFormat="1" ht="15" hidden="1" customHeight="1" outlineLevel="2" x14ac:dyDescent="0.3">
      <c r="A65" s="26"/>
      <c r="B65" s="12" t="str">
        <f>CONCATENATE("          ","6285"," - ","JANITORIAL SERVICES")</f>
        <v xml:space="preserve">          6285 - JANITORIAL SERVICES</v>
      </c>
      <c r="C65" s="12"/>
      <c r="D65" s="8">
        <v>5548.13</v>
      </c>
      <c r="E65" s="3"/>
      <c r="F65" s="7">
        <f t="shared" si="8"/>
        <v>1.7301148338372468E-2</v>
      </c>
      <c r="G65" s="3"/>
      <c r="H65" s="8"/>
      <c r="I65" s="3"/>
      <c r="J65" s="7">
        <f t="shared" si="9"/>
        <v>0</v>
      </c>
      <c r="K65" s="3"/>
      <c r="L65" s="8">
        <f t="shared" si="10"/>
        <v>5548.13</v>
      </c>
      <c r="M65" s="3"/>
      <c r="N65" s="7">
        <f t="shared" si="11"/>
        <v>0</v>
      </c>
      <c r="O65" s="12"/>
      <c r="P65" s="8">
        <v>35411.07</v>
      </c>
      <c r="Q65" s="3"/>
      <c r="R65" s="7">
        <f t="shared" si="12"/>
        <v>1.9146445977661415E-2</v>
      </c>
      <c r="S65" s="3"/>
      <c r="T65" s="8"/>
      <c r="U65" s="3"/>
      <c r="V65" s="7">
        <f t="shared" si="13"/>
        <v>0</v>
      </c>
      <c r="W65" s="3"/>
      <c r="X65" s="8">
        <f t="shared" si="14"/>
        <v>35411.07</v>
      </c>
      <c r="Y65" s="3"/>
      <c r="Z65" s="7">
        <f t="shared" si="15"/>
        <v>0</v>
      </c>
    </row>
    <row r="66" spans="1:26" s="69" customFormat="1" ht="15" hidden="1" customHeight="1" outlineLevel="2" x14ac:dyDescent="0.3">
      <c r="A66" s="26"/>
      <c r="B66" s="12" t="str">
        <f>CONCATENATE("          ","6286"," - ","LAUNDRY EXPENSE")</f>
        <v xml:space="preserve">          6286 - LAUNDRY EXPENSE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7254.45</v>
      </c>
      <c r="Q66" s="3"/>
      <c r="R66" s="7">
        <f t="shared" si="12"/>
        <v>3.9224156463683775E-3</v>
      </c>
      <c r="S66" s="3"/>
      <c r="T66" s="8">
        <v>597.87</v>
      </c>
      <c r="U66" s="3"/>
      <c r="V66" s="7">
        <f t="shared" si="13"/>
        <v>0</v>
      </c>
      <c r="W66" s="3"/>
      <c r="X66" s="8">
        <f t="shared" si="14"/>
        <v>6656.58</v>
      </c>
      <c r="Y66" s="3"/>
      <c r="Z66" s="7">
        <f t="shared" si="15"/>
        <v>11.133825079030558</v>
      </c>
    </row>
    <row r="67" spans="1:26" s="68" customFormat="1" ht="15" customHeight="1" outlineLevel="1" collapsed="1" x14ac:dyDescent="0.3">
      <c r="A67" s="25"/>
      <c r="B67" s="14" t="str">
        <f>CONCATENATE("     ","Supplies                                          ")</f>
        <v xml:space="preserve">     Supplies                                          </v>
      </c>
      <c r="C67" s="14"/>
      <c r="D67" s="2">
        <f>SUM(OSRRefD22_14x_0)</f>
        <v>14615.310000000001</v>
      </c>
      <c r="E67" s="2"/>
      <c r="F67" s="6">
        <f t="shared" si="8"/>
        <v>4.5576013237126484E-2</v>
      </c>
      <c r="G67" s="2"/>
      <c r="H67" s="2">
        <f>SUM(OSRRefH22_14x_0)</f>
        <v>0</v>
      </c>
      <c r="I67" s="2"/>
      <c r="J67" s="6">
        <f t="shared" si="9"/>
        <v>0</v>
      </c>
      <c r="K67" s="2"/>
      <c r="L67" s="2">
        <f t="shared" si="10"/>
        <v>14615.310000000001</v>
      </c>
      <c r="M67" s="2"/>
      <c r="N67" s="6">
        <f t="shared" si="11"/>
        <v>0</v>
      </c>
      <c r="O67" s="14"/>
      <c r="P67" s="2">
        <f>SUM(OSRRefP22_14x_0)</f>
        <v>88810.099999999991</v>
      </c>
      <c r="Q67" s="2"/>
      <c r="R67" s="6">
        <f t="shared" si="12"/>
        <v>4.8018819592876127E-2</v>
      </c>
      <c r="S67" s="2"/>
      <c r="T67" s="2">
        <f>SUM(OSRRefT22_14x_0)</f>
        <v>96.7</v>
      </c>
      <c r="U67" s="2"/>
      <c r="V67" s="6">
        <f t="shared" si="13"/>
        <v>0</v>
      </c>
      <c r="W67" s="2"/>
      <c r="X67" s="2">
        <f t="shared" si="14"/>
        <v>88713.4</v>
      </c>
      <c r="Y67" s="2"/>
      <c r="Z67" s="6">
        <f t="shared" si="15"/>
        <v>917.40847983453978</v>
      </c>
    </row>
    <row r="68" spans="1:26" s="69" customFormat="1" ht="15" hidden="1" customHeight="1" outlineLevel="2" x14ac:dyDescent="0.3">
      <c r="A68" s="26"/>
      <c r="B68" s="12" t="str">
        <f>CONCATENATE("          ","6237"," - ","JANITORIAL SUPPLIES")</f>
        <v xml:space="preserve">          6237 - JANITORIAL SUPPLIES</v>
      </c>
      <c r="C68" s="12"/>
      <c r="D68" s="8">
        <v>11638.4</v>
      </c>
      <c r="E68" s="3"/>
      <c r="F68" s="7">
        <f t="shared" si="8"/>
        <v>3.6292892347748545E-2</v>
      </c>
      <c r="G68" s="3"/>
      <c r="H68" s="8"/>
      <c r="I68" s="3"/>
      <c r="J68" s="7">
        <f t="shared" si="9"/>
        <v>0</v>
      </c>
      <c r="K68" s="3"/>
      <c r="L68" s="8">
        <f t="shared" si="10"/>
        <v>11638.4</v>
      </c>
      <c r="M68" s="3"/>
      <c r="N68" s="7">
        <f t="shared" si="11"/>
        <v>0</v>
      </c>
      <c r="O68" s="12"/>
      <c r="P68" s="8">
        <v>29786.2</v>
      </c>
      <c r="Q68" s="3"/>
      <c r="R68" s="7">
        <f t="shared" si="12"/>
        <v>1.6105129530957933E-2</v>
      </c>
      <c r="S68" s="3"/>
      <c r="T68" s="8"/>
      <c r="U68" s="3"/>
      <c r="V68" s="7">
        <f t="shared" si="13"/>
        <v>0</v>
      </c>
      <c r="W68" s="3"/>
      <c r="X68" s="8">
        <f t="shared" si="14"/>
        <v>29786.2</v>
      </c>
      <c r="Y68" s="3"/>
      <c r="Z68" s="7">
        <f t="shared" si="15"/>
        <v>0</v>
      </c>
    </row>
    <row r="69" spans="1:26" s="69" customFormat="1" ht="15" hidden="1" customHeight="1" outlineLevel="2" x14ac:dyDescent="0.3">
      <c r="A69" s="26"/>
      <c r="B69" s="12" t="str">
        <f>CONCATENATE("          ","6239"," - ","KITCHEN SUPPLIES")</f>
        <v xml:space="preserve">          6239 - KITCHEN SUPPLIES</v>
      </c>
      <c r="C69" s="12"/>
      <c r="D69" s="8">
        <v>1474.58</v>
      </c>
      <c r="E69" s="3"/>
      <c r="F69" s="7">
        <f t="shared" si="8"/>
        <v>4.5982929954412159E-3</v>
      </c>
      <c r="G69" s="3"/>
      <c r="H69" s="8"/>
      <c r="I69" s="3"/>
      <c r="J69" s="7">
        <f t="shared" si="9"/>
        <v>0</v>
      </c>
      <c r="K69" s="3"/>
      <c r="L69" s="8">
        <f t="shared" si="10"/>
        <v>1474.58</v>
      </c>
      <c r="M69" s="3"/>
      <c r="N69" s="7">
        <f t="shared" si="11"/>
        <v>0</v>
      </c>
      <c r="O69" s="12"/>
      <c r="P69" s="8">
        <v>11494.46</v>
      </c>
      <c r="Q69" s="3"/>
      <c r="R69" s="7">
        <f t="shared" si="12"/>
        <v>6.2149507889027369E-3</v>
      </c>
      <c r="S69" s="3"/>
      <c r="T69" s="8"/>
      <c r="U69" s="3"/>
      <c r="V69" s="7">
        <f t="shared" si="13"/>
        <v>0</v>
      </c>
      <c r="W69" s="3"/>
      <c r="X69" s="8">
        <f t="shared" si="14"/>
        <v>11494.46</v>
      </c>
      <c r="Y69" s="3"/>
      <c r="Z69" s="7">
        <f t="shared" si="15"/>
        <v>0</v>
      </c>
    </row>
    <row r="70" spans="1:26" s="69" customFormat="1" ht="15" hidden="1" customHeight="1" outlineLevel="2" x14ac:dyDescent="0.3">
      <c r="A70" s="26"/>
      <c r="B70" s="12" t="str">
        <f>CONCATENATE("          ","6241"," - ","OFFICE EXPENSE")</f>
        <v xml:space="preserve">          6241 - OFFICE EXPENSE</v>
      </c>
      <c r="C70" s="12"/>
      <c r="D70" s="8">
        <v>2.2000000000000002</v>
      </c>
      <c r="E70" s="3"/>
      <c r="F70" s="7">
        <f t="shared" si="8"/>
        <v>6.8604243852287949E-6</v>
      </c>
      <c r="G70" s="3"/>
      <c r="H70" s="8"/>
      <c r="I70" s="3"/>
      <c r="J70" s="7">
        <f t="shared" si="9"/>
        <v>0</v>
      </c>
      <c r="K70" s="3"/>
      <c r="L70" s="8">
        <f t="shared" si="10"/>
        <v>2.2000000000000002</v>
      </c>
      <c r="M70" s="3"/>
      <c r="N70" s="7">
        <f t="shared" si="11"/>
        <v>0</v>
      </c>
      <c r="O70" s="12"/>
      <c r="P70" s="8">
        <v>6324.34</v>
      </c>
      <c r="Q70" s="3"/>
      <c r="R70" s="7">
        <f t="shared" si="12"/>
        <v>3.4195135632547453E-3</v>
      </c>
      <c r="S70" s="3"/>
      <c r="T70" s="8">
        <v>96.7</v>
      </c>
      <c r="U70" s="3"/>
      <c r="V70" s="7">
        <f t="shared" si="13"/>
        <v>0</v>
      </c>
      <c r="W70" s="3"/>
      <c r="X70" s="8">
        <f t="shared" si="14"/>
        <v>6227.64</v>
      </c>
      <c r="Y70" s="3"/>
      <c r="Z70" s="7">
        <f t="shared" si="15"/>
        <v>64.401654601861424</v>
      </c>
    </row>
    <row r="71" spans="1:26" s="69" customFormat="1" ht="15" hidden="1" customHeight="1" outlineLevel="2" x14ac:dyDescent="0.3">
      <c r="A71" s="26"/>
      <c r="B71" s="12" t="str">
        <f>CONCATENATE("          ","6243"," - ","PAPER SUPPLIES")</f>
        <v xml:space="preserve">          6243 - PAPER SUPPLIES</v>
      </c>
      <c r="C71" s="12"/>
      <c r="D71" s="8">
        <v>1500.13</v>
      </c>
      <c r="E71" s="3"/>
      <c r="F71" s="7">
        <f t="shared" si="8"/>
        <v>4.677967469551487E-3</v>
      </c>
      <c r="G71" s="3"/>
      <c r="H71" s="8"/>
      <c r="I71" s="3"/>
      <c r="J71" s="7">
        <f t="shared" si="9"/>
        <v>0</v>
      </c>
      <c r="K71" s="3"/>
      <c r="L71" s="8">
        <f t="shared" si="10"/>
        <v>1500.13</v>
      </c>
      <c r="M71" s="3"/>
      <c r="N71" s="7">
        <f t="shared" si="11"/>
        <v>0</v>
      </c>
      <c r="O71" s="12"/>
      <c r="P71" s="8">
        <v>38682.06</v>
      </c>
      <c r="Q71" s="3"/>
      <c r="R71" s="7">
        <f t="shared" si="12"/>
        <v>2.0915040751229984E-2</v>
      </c>
      <c r="S71" s="3"/>
      <c r="T71" s="8"/>
      <c r="U71" s="3"/>
      <c r="V71" s="7">
        <f t="shared" si="13"/>
        <v>0</v>
      </c>
      <c r="W71" s="3"/>
      <c r="X71" s="8">
        <f t="shared" si="14"/>
        <v>38682.06</v>
      </c>
      <c r="Y71" s="3"/>
      <c r="Z71" s="7">
        <f t="shared" si="15"/>
        <v>0</v>
      </c>
    </row>
    <row r="72" spans="1:26" s="69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652.62</v>
      </c>
      <c r="Q72" s="3"/>
      <c r="R72" s="7">
        <f t="shared" si="12"/>
        <v>3.5286574435455901E-4</v>
      </c>
      <c r="S72" s="3"/>
      <c r="T72" s="8"/>
      <c r="U72" s="3"/>
      <c r="V72" s="7">
        <f t="shared" si="13"/>
        <v>0</v>
      </c>
      <c r="W72" s="3"/>
      <c r="X72" s="8">
        <f t="shared" si="14"/>
        <v>652.62</v>
      </c>
      <c r="Y72" s="3"/>
      <c r="Z72" s="7">
        <f t="shared" si="15"/>
        <v>0</v>
      </c>
    </row>
    <row r="73" spans="1:26" s="69" customFormat="1" ht="15" hidden="1" customHeight="1" outlineLevel="2" x14ac:dyDescent="0.3">
      <c r="A73" s="26"/>
      <c r="B73" s="12" t="str">
        <f>CONCATENATE("          ","6248"," - ","UNIFORMS")</f>
        <v xml:space="preserve">          6248 - UNIFORMS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1870.42</v>
      </c>
      <c r="Q73" s="3"/>
      <c r="R73" s="7">
        <f t="shared" si="12"/>
        <v>1.0113192141761734E-3</v>
      </c>
      <c r="S73" s="3"/>
      <c r="T73" s="8"/>
      <c r="U73" s="3"/>
      <c r="V73" s="7">
        <f t="shared" si="13"/>
        <v>0</v>
      </c>
      <c r="W73" s="3"/>
      <c r="X73" s="8">
        <f t="shared" si="14"/>
        <v>1870.42</v>
      </c>
      <c r="Y73" s="3"/>
      <c r="Z73" s="7">
        <f t="shared" si="15"/>
        <v>0</v>
      </c>
    </row>
    <row r="74" spans="1:26" s="68" customFormat="1" ht="15" customHeight="1" outlineLevel="1" collapsed="1" x14ac:dyDescent="0.3">
      <c r="A74" s="25"/>
      <c r="B74" s="14" t="str">
        <f>CONCATENATE("     ","Telephone/Data Lines                              ")</f>
        <v xml:space="preserve">     Telephone/Data Lines                              </v>
      </c>
      <c r="C74" s="14"/>
      <c r="D74" s="2">
        <f>SUM(OSRRefD22_15x_0)</f>
        <v>336</v>
      </c>
      <c r="E74" s="2"/>
      <c r="F74" s="6">
        <f t="shared" si="8"/>
        <v>1.0477739061076703E-3</v>
      </c>
      <c r="G74" s="2"/>
      <c r="H74" s="2">
        <f>SUM(OSRRefH22_15x_0)</f>
        <v>0</v>
      </c>
      <c r="I74" s="2"/>
      <c r="J74" s="6">
        <f t="shared" si="9"/>
        <v>0</v>
      </c>
      <c r="K74" s="2"/>
      <c r="L74" s="2">
        <f t="shared" si="10"/>
        <v>336</v>
      </c>
      <c r="M74" s="2"/>
      <c r="N74" s="6">
        <f t="shared" si="11"/>
        <v>0</v>
      </c>
      <c r="O74" s="14"/>
      <c r="P74" s="2">
        <f>SUM(OSRRefP22_15x_0)</f>
        <v>1700.85</v>
      </c>
      <c r="Q74" s="2"/>
      <c r="R74" s="6">
        <f t="shared" si="12"/>
        <v>9.1963424548045054E-4</v>
      </c>
      <c r="S74" s="2"/>
      <c r="T74" s="2">
        <f>SUM(OSRRefT22_15x_0)</f>
        <v>579.63</v>
      </c>
      <c r="U74" s="2"/>
      <c r="V74" s="6">
        <f t="shared" si="13"/>
        <v>0</v>
      </c>
      <c r="W74" s="2"/>
      <c r="X74" s="2">
        <f t="shared" si="14"/>
        <v>1121.2199999999998</v>
      </c>
      <c r="Y74" s="2"/>
      <c r="Z74" s="6">
        <f t="shared" si="15"/>
        <v>1.9343719269188961</v>
      </c>
    </row>
    <row r="75" spans="1:26" s="69" customFormat="1" ht="15" hidden="1" customHeight="1" outlineLevel="2" x14ac:dyDescent="0.3">
      <c r="A75" s="26"/>
      <c r="B75" s="12" t="str">
        <f>CONCATENATE("          ","6309"," - ","TELEPHONE")</f>
        <v xml:space="preserve">          6309 - TELEPHONE</v>
      </c>
      <c r="C75" s="12"/>
      <c r="D75" s="8">
        <v>336</v>
      </c>
      <c r="E75" s="3"/>
      <c r="F75" s="7">
        <f t="shared" si="8"/>
        <v>1.0477739061076703E-3</v>
      </c>
      <c r="G75" s="3"/>
      <c r="H75" s="8">
        <v>0</v>
      </c>
      <c r="I75" s="3"/>
      <c r="J75" s="7">
        <f t="shared" si="9"/>
        <v>0</v>
      </c>
      <c r="K75" s="3"/>
      <c r="L75" s="8">
        <f t="shared" si="10"/>
        <v>336</v>
      </c>
      <c r="M75" s="3"/>
      <c r="N75" s="7">
        <f t="shared" si="11"/>
        <v>0</v>
      </c>
      <c r="O75" s="12"/>
      <c r="P75" s="8">
        <v>1700.85</v>
      </c>
      <c r="Q75" s="3"/>
      <c r="R75" s="7">
        <f t="shared" si="12"/>
        <v>9.1963424548045054E-4</v>
      </c>
      <c r="S75" s="3"/>
      <c r="T75" s="8">
        <v>579.63</v>
      </c>
      <c r="U75" s="3"/>
      <c r="V75" s="7">
        <f t="shared" si="13"/>
        <v>0</v>
      </c>
      <c r="W75" s="3"/>
      <c r="X75" s="8">
        <f t="shared" si="14"/>
        <v>1121.2199999999998</v>
      </c>
      <c r="Y75" s="3"/>
      <c r="Z75" s="7">
        <f t="shared" si="15"/>
        <v>1.9343719269188961</v>
      </c>
    </row>
    <row r="76" spans="1:26" s="68" customFormat="1" ht="15" customHeight="1" outlineLevel="1" collapsed="1" x14ac:dyDescent="0.3">
      <c r="A76" s="25"/>
      <c r="B76" s="14" t="str">
        <f>CONCATENATE("     ","Training                                          ")</f>
        <v xml:space="preserve">     Training                                          </v>
      </c>
      <c r="C76" s="14"/>
      <c r="D76" s="2">
        <f>SUM(OSRRefD22_16x_0)</f>
        <v>312</v>
      </c>
      <c r="E76" s="2"/>
      <c r="F76" s="6">
        <f t="shared" si="8"/>
        <v>9.7293291281426539E-4</v>
      </c>
      <c r="G76" s="2"/>
      <c r="H76" s="2">
        <f>SUM(OSRRefH22_16x_0)</f>
        <v>0</v>
      </c>
      <c r="I76" s="2"/>
      <c r="J76" s="6">
        <f t="shared" si="9"/>
        <v>0</v>
      </c>
      <c r="K76" s="2"/>
      <c r="L76" s="2">
        <f t="shared" si="10"/>
        <v>312</v>
      </c>
      <c r="M76" s="2"/>
      <c r="N76" s="6">
        <f t="shared" si="11"/>
        <v>0</v>
      </c>
      <c r="O76" s="14"/>
      <c r="P76" s="2">
        <f>SUM(OSRRefP22_16x_0)</f>
        <v>312</v>
      </c>
      <c r="Q76" s="2"/>
      <c r="R76" s="6">
        <f t="shared" si="12"/>
        <v>1.6869558431954645E-4</v>
      </c>
      <c r="S76" s="2"/>
      <c r="T76" s="2">
        <f>SUM(OSRRefT22_16x_0)</f>
        <v>0</v>
      </c>
      <c r="U76" s="2"/>
      <c r="V76" s="6">
        <f t="shared" si="13"/>
        <v>0</v>
      </c>
      <c r="W76" s="2"/>
      <c r="X76" s="2">
        <f t="shared" si="14"/>
        <v>312</v>
      </c>
      <c r="Y76" s="2"/>
      <c r="Z76" s="6">
        <f t="shared" si="15"/>
        <v>0</v>
      </c>
    </row>
    <row r="77" spans="1:26" s="69" customFormat="1" ht="15" hidden="1" customHeight="1" outlineLevel="2" x14ac:dyDescent="0.3">
      <c r="A77" s="26"/>
      <c r="B77" s="12" t="str">
        <f>CONCATENATE("          ","6376"," - ","TRAINING")</f>
        <v xml:space="preserve">          6376 - TRAINING</v>
      </c>
      <c r="C77" s="12"/>
      <c r="D77" s="8">
        <v>312</v>
      </c>
      <c r="E77" s="3"/>
      <c r="F77" s="7">
        <f t="shared" si="8"/>
        <v>9.7293291281426539E-4</v>
      </c>
      <c r="G77" s="3"/>
      <c r="H77" s="8"/>
      <c r="I77" s="3"/>
      <c r="J77" s="7">
        <f t="shared" si="9"/>
        <v>0</v>
      </c>
      <c r="K77" s="3"/>
      <c r="L77" s="8">
        <f t="shared" si="10"/>
        <v>312</v>
      </c>
      <c r="M77" s="3"/>
      <c r="N77" s="7">
        <f t="shared" si="11"/>
        <v>0</v>
      </c>
      <c r="O77" s="12"/>
      <c r="P77" s="8">
        <v>312</v>
      </c>
      <c r="Q77" s="3"/>
      <c r="R77" s="7">
        <f t="shared" si="12"/>
        <v>1.6869558431954645E-4</v>
      </c>
      <c r="S77" s="3"/>
      <c r="T77" s="8"/>
      <c r="U77" s="3"/>
      <c r="V77" s="7">
        <f t="shared" si="13"/>
        <v>0</v>
      </c>
      <c r="W77" s="3"/>
      <c r="X77" s="8">
        <f t="shared" si="14"/>
        <v>312</v>
      </c>
      <c r="Y77" s="3"/>
      <c r="Z77" s="7">
        <f t="shared" si="15"/>
        <v>0</v>
      </c>
    </row>
    <row r="78" spans="1:26" s="68" customFormat="1" ht="15" customHeight="1" outlineLevel="1" collapsed="1" x14ac:dyDescent="0.3">
      <c r="A78" s="25"/>
      <c r="B78" s="14" t="str">
        <f>CONCATENATE("     ","Travel                                            ")</f>
        <v xml:space="preserve">     Travel                                            </v>
      </c>
      <c r="C78" s="14"/>
      <c r="D78" s="2">
        <f>SUM(OSRRefD22_17x_0)</f>
        <v>0</v>
      </c>
      <c r="E78" s="2"/>
      <c r="F78" s="6">
        <f t="shared" si="8"/>
        <v>0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0</v>
      </c>
      <c r="M78" s="2"/>
      <c r="N78" s="6">
        <f t="shared" si="11"/>
        <v>0</v>
      </c>
      <c r="O78" s="14"/>
      <c r="P78" s="2">
        <f>SUM(OSRRefP22_17x_0)</f>
        <v>239.04</v>
      </c>
      <c r="Q78" s="2"/>
      <c r="R78" s="6">
        <f t="shared" si="12"/>
        <v>1.2924677075559099E-4</v>
      </c>
      <c r="S78" s="2"/>
      <c r="T78" s="2">
        <f>SUM(OSRRefT22_17x_0)</f>
        <v>0</v>
      </c>
      <c r="U78" s="2"/>
      <c r="V78" s="6">
        <f t="shared" si="13"/>
        <v>0</v>
      </c>
      <c r="W78" s="2"/>
      <c r="X78" s="2">
        <f t="shared" si="14"/>
        <v>239.04</v>
      </c>
      <c r="Y78" s="2"/>
      <c r="Z78" s="6">
        <f t="shared" si="15"/>
        <v>0</v>
      </c>
    </row>
    <row r="79" spans="1:26" s="69" customFormat="1" ht="15" hidden="1" customHeight="1" outlineLevel="2" x14ac:dyDescent="0.3">
      <c r="A79" s="26"/>
      <c r="B79" s="12" t="str">
        <f>CONCATENATE("          ","6298"," - ","VEHICLE MILEAGE")</f>
        <v xml:space="preserve">          6298 - VEHICLE MILEAGE</v>
      </c>
      <c r="C79" s="12"/>
      <c r="D79" s="8"/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0</v>
      </c>
      <c r="M79" s="3"/>
      <c r="N79" s="7">
        <f t="shared" si="11"/>
        <v>0</v>
      </c>
      <c r="O79" s="12"/>
      <c r="P79" s="8">
        <v>239.04</v>
      </c>
      <c r="Q79" s="3"/>
      <c r="R79" s="7">
        <f t="shared" si="12"/>
        <v>1.2924677075559099E-4</v>
      </c>
      <c r="S79" s="3"/>
      <c r="T79" s="8"/>
      <c r="U79" s="3"/>
      <c r="V79" s="7">
        <f t="shared" si="13"/>
        <v>0</v>
      </c>
      <c r="W79" s="3"/>
      <c r="X79" s="8">
        <f t="shared" si="14"/>
        <v>239.04</v>
      </c>
      <c r="Y79" s="3"/>
      <c r="Z79" s="7">
        <f t="shared" si="15"/>
        <v>0</v>
      </c>
    </row>
    <row r="80" spans="1:26" s="64" customFormat="1" ht="15" customHeight="1" x14ac:dyDescent="0.3">
      <c r="A80" s="36"/>
      <c r="B80" s="36"/>
      <c r="C80" s="36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3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62" customFormat="1" ht="15" customHeight="1" x14ac:dyDescent="0.3">
      <c r="A81" s="11"/>
      <c r="B81" s="27" t="s">
        <v>290</v>
      </c>
      <c r="C81" s="11"/>
      <c r="D81" s="5">
        <f>SUM(0)</f>
        <v>0</v>
      </c>
      <c r="E81" s="5"/>
      <c r="F81" s="13">
        <f>IF(D$12=0,0,D81/D$12)</f>
        <v>0</v>
      </c>
      <c r="G81" s="5"/>
      <c r="H81" s="5">
        <f>SUM(0)</f>
        <v>0</v>
      </c>
      <c r="I81" s="5"/>
      <c r="J81" s="13">
        <f>IF(H$12=0,0,H81/H$12)</f>
        <v>0</v>
      </c>
      <c r="K81" s="5"/>
      <c r="L81" s="5">
        <f>+D81-H81</f>
        <v>0</v>
      </c>
      <c r="M81" s="5"/>
      <c r="N81" s="13">
        <f>IF(H81=0,0,L81/H81)</f>
        <v>0</v>
      </c>
      <c r="O81" s="11"/>
      <c r="P81" s="5">
        <f>SUM(0)</f>
        <v>0</v>
      </c>
      <c r="Q81" s="5"/>
      <c r="R81" s="13">
        <f>IF(P$12=0,0,P81/P$12)</f>
        <v>0</v>
      </c>
      <c r="S81" s="5"/>
      <c r="T81" s="5">
        <f>SUM(0)</f>
        <v>0</v>
      </c>
      <c r="U81" s="5"/>
      <c r="V81" s="13">
        <f>IF(T$12=0,0,T81/T$12)</f>
        <v>0</v>
      </c>
      <c r="W81" s="5"/>
      <c r="X81" s="5">
        <f>+P81-T81</f>
        <v>0</v>
      </c>
      <c r="Y81" s="5"/>
      <c r="Z81" s="13">
        <f>IF(T81=0,0,X81/T81)</f>
        <v>0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2" customFormat="1" ht="15" customHeight="1" x14ac:dyDescent="0.3">
      <c r="A83" s="11"/>
      <c r="B83" s="28" t="s">
        <v>291</v>
      </c>
      <c r="C83" s="28"/>
      <c r="D83" s="21">
        <f>+D21-D23+D81</f>
        <v>104056.78000000006</v>
      </c>
      <c r="E83" s="15"/>
      <c r="F83" s="23">
        <f>IF(D$12=0,0,D83/D$12)</f>
        <v>0.32448803225472195</v>
      </c>
      <c r="G83" s="15"/>
      <c r="H83" s="21">
        <f>+H21-H23+H81</f>
        <v>-41903.239999999991</v>
      </c>
      <c r="I83" s="15"/>
      <c r="J83" s="23">
        <f>IF(H$12=0,0,H83/H$12)</f>
        <v>0</v>
      </c>
      <c r="K83" s="16"/>
      <c r="L83" s="21">
        <f>+D83-H83</f>
        <v>145960.02000000005</v>
      </c>
      <c r="M83" s="16"/>
      <c r="N83" s="23">
        <f>IF(H83=0,0,L83/H83)</f>
        <v>-3.4832633467006389</v>
      </c>
      <c r="O83" s="27"/>
      <c r="P83" s="21">
        <f>+P21-P23+P81</f>
        <v>242810.85999999964</v>
      </c>
      <c r="Q83" s="15"/>
      <c r="R83" s="23">
        <f>IF(P$12=0,0,P83/P$12)</f>
        <v>0.13128564072702414</v>
      </c>
      <c r="S83" s="15"/>
      <c r="T83" s="21">
        <f>+T21-T23+T81</f>
        <v>-411167.14999999997</v>
      </c>
      <c r="U83" s="15"/>
      <c r="V83" s="23">
        <f>IF(T$12=0,0,T83/T$12)</f>
        <v>0</v>
      </c>
      <c r="W83" s="16"/>
      <c r="X83" s="21">
        <f>+P83-T83</f>
        <v>653978.00999999954</v>
      </c>
      <c r="Y83" s="16"/>
      <c r="Z83" s="23">
        <f>IF(T83=0,0,X83/T83)</f>
        <v>-1.5905405137545634</v>
      </c>
    </row>
    <row r="84" spans="1:26" ht="15" customHeight="1" x14ac:dyDescent="0.3">
      <c r="A84" s="10"/>
      <c r="B84" s="11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2" customFormat="1" ht="15" customHeight="1" x14ac:dyDescent="0.3">
      <c r="A85" s="48"/>
      <c r="B85" s="11" t="s">
        <v>292</v>
      </c>
      <c r="C85" s="11"/>
      <c r="D85" s="5">
        <v>27057.69</v>
      </c>
      <c r="E85" s="5"/>
      <c r="F85" s="13">
        <f>IF(D$12=0,0,D85/D$12)</f>
        <v>8.4376016492709677E-2</v>
      </c>
      <c r="G85" s="5"/>
      <c r="H85" s="5"/>
      <c r="I85" s="5"/>
      <c r="J85" s="13">
        <f>IF(H$12=0,0,H85/H$12)</f>
        <v>0</v>
      </c>
      <c r="K85" s="5"/>
      <c r="L85" s="5">
        <f>+D85-H85</f>
        <v>27057.69</v>
      </c>
      <c r="M85" s="5"/>
      <c r="N85" s="13">
        <f>IF(H85=0,0,L85/H85)</f>
        <v>0</v>
      </c>
      <c r="O85" s="11"/>
      <c r="P85" s="5">
        <v>209516.87</v>
      </c>
      <c r="Q85" s="5"/>
      <c r="R85" s="13">
        <f>IF(P$12=0,0,P85/P$12)</f>
        <v>0.1132838807995271</v>
      </c>
      <c r="S85" s="5"/>
      <c r="T85" s="5">
        <v>0</v>
      </c>
      <c r="U85" s="5"/>
      <c r="V85" s="13">
        <f>IF(T$12=0,0,T85/T$12)</f>
        <v>0</v>
      </c>
      <c r="W85" s="5"/>
      <c r="X85" s="5">
        <f>+P85-T85</f>
        <v>209516.87</v>
      </c>
      <c r="Y85" s="5"/>
      <c r="Z85" s="13">
        <f>IF(T85=0,0,X85/T85)</f>
        <v>0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2" customFormat="1" ht="15" customHeight="1" x14ac:dyDescent="0.3">
      <c r="A87" s="11"/>
      <c r="B87" s="28" t="s">
        <v>293</v>
      </c>
      <c r="C87" s="28"/>
      <c r="D87" s="34">
        <f>+D83-D85</f>
        <v>76999.090000000055</v>
      </c>
      <c r="E87" s="15"/>
      <c r="F87" s="30">
        <f>IF(D$12=0,0,D87/D$12)</f>
        <v>0.24011201576201227</v>
      </c>
      <c r="G87" s="15"/>
      <c r="H87" s="34">
        <f>+H83-H85</f>
        <v>-41903.239999999991</v>
      </c>
      <c r="I87" s="15"/>
      <c r="J87" s="30">
        <f>IF(H$12=0,0,H87/H$12)</f>
        <v>0</v>
      </c>
      <c r="K87" s="16"/>
      <c r="L87" s="34">
        <f>D87-H87</f>
        <v>118902.33000000005</v>
      </c>
      <c r="M87" s="16"/>
      <c r="N87" s="30">
        <f>IF(H87=0,0,L87/H87)</f>
        <v>-2.8375450203850603</v>
      </c>
      <c r="O87" s="27"/>
      <c r="P87" s="34">
        <f>+P83-P85</f>
        <v>33293.989999999641</v>
      </c>
      <c r="Q87" s="15"/>
      <c r="R87" s="30">
        <f>IF(P$12=0,0,P87/P$12)</f>
        <v>1.800175992749704E-2</v>
      </c>
      <c r="S87" s="15"/>
      <c r="T87" s="34">
        <f>+T83-T85</f>
        <v>-411167.14999999997</v>
      </c>
      <c r="U87" s="15"/>
      <c r="V87" s="30">
        <f>IF(T$12=0,0,T87/T$12)</f>
        <v>0</v>
      </c>
      <c r="W87" s="16"/>
      <c r="X87" s="34">
        <f>P87-T87</f>
        <v>444461.13999999961</v>
      </c>
      <c r="Y87" s="16"/>
      <c r="Z87" s="30">
        <f>IF(T87=0,0,X87/T87)</f>
        <v>-1.0809743434026762</v>
      </c>
    </row>
    <row r="88" spans="1:26" ht="15" customHeight="1" x14ac:dyDescent="0.3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ht="15" customHeight="1" x14ac:dyDescent="0.3">
      <c r="A89" s="10"/>
      <c r="B89" s="10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2" customFormat="1" ht="15" customHeight="1" x14ac:dyDescent="0.3">
      <c r="A90" s="11"/>
      <c r="B90" s="28" t="s">
        <v>296</v>
      </c>
      <c r="C90" s="28"/>
      <c r="D90" s="29">
        <f>SUM(D87:D89)</f>
        <v>76999.090000000055</v>
      </c>
      <c r="E90" s="15"/>
      <c r="F90" s="35">
        <f>IF(D$12=0,0,D90/D$12)</f>
        <v>0.24011201576201227</v>
      </c>
      <c r="G90" s="15"/>
      <c r="H90" s="29">
        <f>SUM(H87:H89)</f>
        <v>-41903.239999999991</v>
      </c>
      <c r="I90" s="15"/>
      <c r="J90" s="35">
        <f>IF(H$12=0,0,H90/H$12)</f>
        <v>0</v>
      </c>
      <c r="K90" s="16"/>
      <c r="L90" s="29">
        <f>+D90-H90</f>
        <v>118902.33000000005</v>
      </c>
      <c r="M90" s="16"/>
      <c r="N90" s="35">
        <f>IF(H90=0,0,L90/H90)</f>
        <v>-2.8375450203850603</v>
      </c>
      <c r="O90" s="27"/>
      <c r="P90" s="29">
        <f>SUM(P87:P89)</f>
        <v>33293.989999999641</v>
      </c>
      <c r="Q90" s="15"/>
      <c r="R90" s="35">
        <f>IF(P$12=0,0,P90/P$12)</f>
        <v>1.800175992749704E-2</v>
      </c>
      <c r="S90" s="15"/>
      <c r="T90" s="29">
        <f>SUM(T87:T89)</f>
        <v>-411167.14999999997</v>
      </c>
      <c r="U90" s="15"/>
      <c r="V90" s="35">
        <f>IF(T$12=0,0,T90/T$12)</f>
        <v>0</v>
      </c>
      <c r="W90" s="16"/>
      <c r="X90" s="29">
        <f>+P90-T90</f>
        <v>444461.13999999961</v>
      </c>
      <c r="Y90" s="16"/>
      <c r="Z90" s="35">
        <f>IF(T90=0,0,X90/T90)</f>
        <v>-1.0809743434026762</v>
      </c>
    </row>
    <row r="91" spans="1:26" ht="15" customHeight="1" x14ac:dyDescent="0.3">
      <c r="A91" s="10"/>
      <c r="C91" s="10"/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3">
      <c r="A92" s="10"/>
      <c r="B92" s="56">
        <v>44694.890829479169</v>
      </c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3">
      <c r="A93" s="10"/>
      <c r="B93" s="52" t="s">
        <v>297</v>
      </c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3">
      <c r="A94" s="10"/>
      <c r="B94" s="58"/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  <row r="95" spans="1:26" ht="15" customHeight="1" x14ac:dyDescent="0.3"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484B9-155C-77F2-37D5-6DDF625B3C51}">
  <sheetPr>
    <tabColor rgb="FFFFC000"/>
    <outlinePr summaryBelow="0" summaryRight="0"/>
  </sheetPr>
  <dimension ref="A2:Z7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">
        <v>313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25067</v>
      </c>
      <c r="E12" s="5"/>
      <c r="F12" s="13"/>
      <c r="G12" s="5"/>
      <c r="H12" s="5">
        <f>SUM(OSRRefH13x_0)</f>
        <v>33674</v>
      </c>
      <c r="I12" s="5"/>
      <c r="J12" s="13"/>
      <c r="K12" s="5"/>
      <c r="L12" s="5">
        <f>+D12-H12</f>
        <v>-8607</v>
      </c>
      <c r="M12" s="5"/>
      <c r="N12" s="13">
        <f>IF(H12=0,0,L12/H12)</f>
        <v>-0.25559779058026966</v>
      </c>
      <c r="O12" s="11"/>
      <c r="P12" s="5">
        <f>SUM(OSRRefP13x_0)</f>
        <v>399472</v>
      </c>
      <c r="Q12" s="5"/>
      <c r="R12" s="13"/>
      <c r="S12" s="5"/>
      <c r="T12" s="5">
        <f>SUM(OSRRefT13x_0)</f>
        <v>477553</v>
      </c>
      <c r="U12" s="5"/>
      <c r="V12" s="13"/>
      <c r="W12" s="5"/>
      <c r="X12" s="5">
        <f>+P12-T12</f>
        <v>-78081</v>
      </c>
      <c r="Y12" s="5"/>
      <c r="Z12" s="13">
        <f>IF(T12=0,0,X12/T12)</f>
        <v>-0.16350227095212469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--25067</f>
        <v>25067</v>
      </c>
      <c r="E13" s="3"/>
      <c r="F13" s="20"/>
      <c r="G13" s="3"/>
      <c r="H13" s="3">
        <f>--33674</f>
        <v>33674</v>
      </c>
      <c r="I13" s="3"/>
      <c r="J13" s="20"/>
      <c r="K13" s="3"/>
      <c r="L13" s="3">
        <f>+D13-H13</f>
        <v>-8607</v>
      </c>
      <c r="M13" s="3"/>
      <c r="N13" s="20">
        <f>IF(H13=0,0,L13/H13)</f>
        <v>-0.25559779058026966</v>
      </c>
      <c r="O13" s="12"/>
      <c r="P13" s="3">
        <f>--399472</f>
        <v>399472</v>
      </c>
      <c r="Q13" s="3"/>
      <c r="R13" s="20"/>
      <c r="S13" s="3"/>
      <c r="T13" s="3">
        <f>--477553</f>
        <v>477553</v>
      </c>
      <c r="U13" s="3"/>
      <c r="V13" s="20"/>
      <c r="W13" s="3"/>
      <c r="X13" s="3">
        <f>+P13-T13</f>
        <v>-78081</v>
      </c>
      <c r="Y13" s="3"/>
      <c r="Z13" s="20">
        <f>IF(T13=0,0,X13/T13)</f>
        <v>-0.16350227095212469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7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1">
        <f>D12-D15</f>
        <v>25067</v>
      </c>
      <c r="E17" s="15"/>
      <c r="F17" s="23">
        <f>IF(D$12=0,0,D17/D$12)</f>
        <v>1</v>
      </c>
      <c r="G17" s="15"/>
      <c r="H17" s="21">
        <f>H12-H15</f>
        <v>33674</v>
      </c>
      <c r="I17" s="15"/>
      <c r="J17" s="23">
        <f>IF(H$12=0,0,H17/H$12)</f>
        <v>1</v>
      </c>
      <c r="K17" s="16"/>
      <c r="L17" s="21">
        <f>+D17-H17</f>
        <v>-8607</v>
      </c>
      <c r="M17" s="16"/>
      <c r="N17" s="23">
        <f>IF(H17=0,0,L17/H17)</f>
        <v>-0.25559779058026966</v>
      </c>
      <c r="O17" s="27"/>
      <c r="P17" s="21">
        <f>P12-P15</f>
        <v>399472</v>
      </c>
      <c r="Q17" s="15"/>
      <c r="R17" s="23">
        <f>IF(P$12=0,0,P17/P$12)</f>
        <v>1</v>
      </c>
      <c r="S17" s="15"/>
      <c r="T17" s="21">
        <f>T12-T15</f>
        <v>477553</v>
      </c>
      <c r="U17" s="15"/>
      <c r="V17" s="23">
        <f>IF(T$12=0,0,T17/T$12)</f>
        <v>1</v>
      </c>
      <c r="W17" s="16"/>
      <c r="X17" s="21">
        <f>+P17-T17</f>
        <v>-78081</v>
      </c>
      <c r="Y17" s="16"/>
      <c r="Z17" s="23">
        <f>IF(T17=0,0,X17/T17)</f>
        <v>-0.16350227095212469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2" cm="1">
        <f t="array" ref="D19">SUM(OSRRefD22x_0)</f>
        <v>25275.95</v>
      </c>
      <c r="E19" s="22"/>
      <c r="F19" s="32">
        <f t="shared" ref="F19:F59" si="0">IF(D$12=0,0,D19/D$12)</f>
        <v>1.0083356604300475</v>
      </c>
      <c r="G19" s="22"/>
      <c r="H19" s="22" cm="1">
        <f t="array" ref="H19">SUM(OSRRefH22x_0)</f>
        <v>20096.279999999995</v>
      </c>
      <c r="I19" s="22"/>
      <c r="J19" s="32">
        <f t="shared" ref="J19:J59" si="1">IF(H$12=0,0,H19/H$12)</f>
        <v>0.59678921423056353</v>
      </c>
      <c r="K19" s="5"/>
      <c r="L19" s="22">
        <f t="shared" ref="L19:L59" si="2">+D19-H19</f>
        <v>5179.6700000000055</v>
      </c>
      <c r="M19" s="5"/>
      <c r="N19" s="32">
        <f t="shared" ref="N19:N59" si="3">IF(H19=0,0,L19/H19)</f>
        <v>0.25774272651455926</v>
      </c>
      <c r="O19" s="11"/>
      <c r="P19" s="22" cm="1">
        <f t="array" ref="P19">SUM(OSRRefP22x_0)</f>
        <v>366004.61</v>
      </c>
      <c r="Q19" s="22"/>
      <c r="R19" s="32">
        <f t="shared" ref="R19:R59" si="4">IF(P$12=0,0,P19/P$12)</f>
        <v>0.91622093663635995</v>
      </c>
      <c r="S19" s="22"/>
      <c r="T19" s="22" cm="1">
        <f t="array" ref="T19">SUM(OSRRefT22x_0)</f>
        <v>388233.3</v>
      </c>
      <c r="U19" s="22"/>
      <c r="V19" s="32">
        <f t="shared" ref="V19:V59" si="5">IF(T$12=0,0,T19/T$12)</f>
        <v>0.81296379668853502</v>
      </c>
      <c r="W19" s="5"/>
      <c r="X19" s="22">
        <f t="shared" ref="X19:X59" si="6">+P19-T19</f>
        <v>-22228.690000000002</v>
      </c>
      <c r="Y19" s="5"/>
      <c r="Z19" s="32">
        <f t="shared" ref="Z19:Z59" si="7">IF(T19=0,0,X19/T19)</f>
        <v>-5.7256010754358273E-2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5219.9399999999987</v>
      </c>
      <c r="E20" s="2"/>
      <c r="F20" s="6">
        <f t="shared" si="0"/>
        <v>0.2082395180915147</v>
      </c>
      <c r="G20" s="2"/>
      <c r="H20" s="2">
        <f>SUM(OSRRefH22_0x_0)</f>
        <v>4442.8100000000004</v>
      </c>
      <c r="I20" s="2"/>
      <c r="J20" s="6">
        <f t="shared" si="1"/>
        <v>0.131935914949219</v>
      </c>
      <c r="K20" s="2"/>
      <c r="L20" s="2">
        <f t="shared" si="2"/>
        <v>777.12999999999829</v>
      </c>
      <c r="M20" s="2"/>
      <c r="N20" s="6">
        <f t="shared" si="3"/>
        <v>0.17491857630643629</v>
      </c>
      <c r="O20" s="14"/>
      <c r="P20" s="2">
        <f>SUM(OSRRefP22_0x_0)</f>
        <v>42342.96</v>
      </c>
      <c r="Q20" s="2"/>
      <c r="R20" s="6">
        <f t="shared" si="4"/>
        <v>0.1059973164577242</v>
      </c>
      <c r="S20" s="2"/>
      <c r="T20" s="2">
        <f>SUM(OSRRefT22_0x_0)</f>
        <v>42945.78</v>
      </c>
      <c r="U20" s="2"/>
      <c r="V20" s="6">
        <f t="shared" si="5"/>
        <v>8.9928824654017456E-2</v>
      </c>
      <c r="W20" s="2"/>
      <c r="X20" s="2">
        <f t="shared" si="6"/>
        <v>-602.81999999999971</v>
      </c>
      <c r="Y20" s="2"/>
      <c r="Z20" s="6">
        <f t="shared" si="7"/>
        <v>-1.4036769154035617E-2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1347.61</v>
      </c>
      <c r="E21" s="3"/>
      <c r="F21" s="7">
        <f t="shared" si="0"/>
        <v>5.3760322336139144E-2</v>
      </c>
      <c r="G21" s="3"/>
      <c r="H21" s="8">
        <v>1265.6400000000001</v>
      </c>
      <c r="I21" s="3"/>
      <c r="J21" s="7">
        <f t="shared" si="1"/>
        <v>3.7585080477519753E-2</v>
      </c>
      <c r="K21" s="3"/>
      <c r="L21" s="8">
        <f t="shared" si="2"/>
        <v>81.9699999999998</v>
      </c>
      <c r="M21" s="3"/>
      <c r="N21" s="7">
        <f t="shared" si="3"/>
        <v>6.4765652160171772E-2</v>
      </c>
      <c r="O21" s="12"/>
      <c r="P21" s="8">
        <v>10522.56</v>
      </c>
      <c r="Q21" s="3"/>
      <c r="R21" s="7">
        <f t="shared" si="4"/>
        <v>2.6341170344855207E-2</v>
      </c>
      <c r="S21" s="3"/>
      <c r="T21" s="8">
        <v>10347.290000000001</v>
      </c>
      <c r="U21" s="3"/>
      <c r="V21" s="7">
        <f t="shared" si="5"/>
        <v>2.16673123192609E-2</v>
      </c>
      <c r="W21" s="3"/>
      <c r="X21" s="8">
        <f t="shared" si="6"/>
        <v>175.26999999999862</v>
      </c>
      <c r="Y21" s="3"/>
      <c r="Z21" s="7">
        <f t="shared" si="7"/>
        <v>1.6938734683187445E-2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190.88</v>
      </c>
      <c r="E22" s="3"/>
      <c r="F22" s="7">
        <f t="shared" si="0"/>
        <v>7.6147923564846209E-3</v>
      </c>
      <c r="G22" s="3"/>
      <c r="H22" s="8">
        <v>14.14</v>
      </c>
      <c r="I22" s="3"/>
      <c r="J22" s="7">
        <f t="shared" si="1"/>
        <v>4.1990853477460359E-4</v>
      </c>
      <c r="K22" s="3"/>
      <c r="L22" s="8">
        <f t="shared" si="2"/>
        <v>176.74</v>
      </c>
      <c r="M22" s="3"/>
      <c r="N22" s="7">
        <f t="shared" si="3"/>
        <v>12.499292786421499</v>
      </c>
      <c r="O22" s="12"/>
      <c r="P22" s="8">
        <v>1698.32</v>
      </c>
      <c r="Q22" s="3"/>
      <c r="R22" s="7">
        <f t="shared" si="4"/>
        <v>4.2514118636600307E-3</v>
      </c>
      <c r="S22" s="3"/>
      <c r="T22" s="8">
        <v>782.22</v>
      </c>
      <c r="U22" s="3"/>
      <c r="V22" s="7">
        <f t="shared" si="5"/>
        <v>1.6379752613846002E-3</v>
      </c>
      <c r="W22" s="3"/>
      <c r="X22" s="8">
        <f t="shared" si="6"/>
        <v>916.09999999999991</v>
      </c>
      <c r="Y22" s="3"/>
      <c r="Z22" s="7">
        <f t="shared" si="7"/>
        <v>1.1711538953235661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3.8484860573662585E-2</v>
      </c>
      <c r="G23" s="3"/>
      <c r="H23" s="8">
        <v>1207.95</v>
      </c>
      <c r="I23" s="3"/>
      <c r="J23" s="7">
        <f t="shared" si="1"/>
        <v>3.5871889291441472E-2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10184.9</v>
      </c>
      <c r="Q23" s="3"/>
      <c r="R23" s="7">
        <f t="shared" si="4"/>
        <v>2.5495904594064162E-2</v>
      </c>
      <c r="S23" s="3"/>
      <c r="T23" s="8">
        <v>12234.8</v>
      </c>
      <c r="U23" s="3"/>
      <c r="V23" s="7">
        <f t="shared" si="5"/>
        <v>2.5619774140252495E-2</v>
      </c>
      <c r="W23" s="3"/>
      <c r="X23" s="8">
        <f t="shared" si="6"/>
        <v>-2049.8999999999996</v>
      </c>
      <c r="Y23" s="3"/>
      <c r="Z23" s="7">
        <f t="shared" si="7"/>
        <v>-0.16754667015398697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37.200000000000003</v>
      </c>
      <c r="E24" s="3"/>
      <c r="F24" s="7">
        <f t="shared" si="0"/>
        <v>1.4840228188454942E-3</v>
      </c>
      <c r="G24" s="3"/>
      <c r="H24" s="8">
        <v>11.14</v>
      </c>
      <c r="I24" s="3"/>
      <c r="J24" s="7">
        <f t="shared" si="1"/>
        <v>3.3081902951832278E-4</v>
      </c>
      <c r="K24" s="3"/>
      <c r="L24" s="8">
        <f t="shared" si="2"/>
        <v>26.060000000000002</v>
      </c>
      <c r="M24" s="3"/>
      <c r="N24" s="7">
        <f t="shared" si="3"/>
        <v>2.3393177737881508</v>
      </c>
      <c r="O24" s="12"/>
      <c r="P24" s="8">
        <v>335.4</v>
      </c>
      <c r="Q24" s="3"/>
      <c r="R24" s="7">
        <f t="shared" si="4"/>
        <v>8.3960828293347216E-4</v>
      </c>
      <c r="S24" s="3"/>
      <c r="T24" s="8">
        <v>358.12</v>
      </c>
      <c r="U24" s="3"/>
      <c r="V24" s="7">
        <f t="shared" si="5"/>
        <v>7.4990629312348582E-4</v>
      </c>
      <c r="W24" s="3"/>
      <c r="X24" s="8">
        <f t="shared" si="6"/>
        <v>-22.720000000000027</v>
      </c>
      <c r="Y24" s="3"/>
      <c r="Z24" s="7">
        <f t="shared" si="7"/>
        <v>-6.3442421534681187E-2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914.5</v>
      </c>
      <c r="E25" s="3"/>
      <c r="F25" s="7">
        <f t="shared" si="0"/>
        <v>3.6482227629951729E-2</v>
      </c>
      <c r="G25" s="3"/>
      <c r="H25" s="8">
        <v>640.35</v>
      </c>
      <c r="I25" s="3"/>
      <c r="J25" s="7">
        <f t="shared" si="1"/>
        <v>1.9016154896953141E-2</v>
      </c>
      <c r="K25" s="3"/>
      <c r="L25" s="8">
        <f t="shared" si="2"/>
        <v>274.14999999999998</v>
      </c>
      <c r="M25" s="3"/>
      <c r="N25" s="7">
        <f t="shared" si="3"/>
        <v>0.42812524400718355</v>
      </c>
      <c r="O25" s="12"/>
      <c r="P25" s="8">
        <v>6645.61</v>
      </c>
      <c r="Q25" s="3"/>
      <c r="R25" s="7">
        <f t="shared" si="4"/>
        <v>1.6635984499539392E-2</v>
      </c>
      <c r="S25" s="3"/>
      <c r="T25" s="8">
        <v>7701.28</v>
      </c>
      <c r="U25" s="3"/>
      <c r="V25" s="7">
        <f t="shared" si="5"/>
        <v>1.6126545116458276E-2</v>
      </c>
      <c r="W25" s="3"/>
      <c r="X25" s="8">
        <f t="shared" si="6"/>
        <v>-1055.67</v>
      </c>
      <c r="Y25" s="3"/>
      <c r="Z25" s="7">
        <f t="shared" si="7"/>
        <v>-0.13707721313859517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60</v>
      </c>
      <c r="E26" s="3"/>
      <c r="F26" s="7">
        <f t="shared" si="0"/>
        <v>2.3935851916862807E-3</v>
      </c>
      <c r="G26" s="3"/>
      <c r="H26" s="8">
        <v>74.67</v>
      </c>
      <c r="I26" s="3"/>
      <c r="J26" s="7">
        <f t="shared" si="1"/>
        <v>2.2174377858288296E-3</v>
      </c>
      <c r="K26" s="3"/>
      <c r="L26" s="8">
        <f t="shared" si="2"/>
        <v>-14.670000000000002</v>
      </c>
      <c r="M26" s="3"/>
      <c r="N26" s="7">
        <f t="shared" si="3"/>
        <v>-0.19646444355162718</v>
      </c>
      <c r="O26" s="12"/>
      <c r="P26" s="8">
        <v>275.14999999999998</v>
      </c>
      <c r="Q26" s="3"/>
      <c r="R26" s="7">
        <f t="shared" si="4"/>
        <v>6.8878419513758156E-4</v>
      </c>
      <c r="S26" s="3"/>
      <c r="T26" s="8">
        <v>889.45</v>
      </c>
      <c r="U26" s="3"/>
      <c r="V26" s="7">
        <f t="shared" si="5"/>
        <v>1.8625157835884185E-3</v>
      </c>
      <c r="W26" s="3"/>
      <c r="X26" s="8">
        <f t="shared" si="6"/>
        <v>-614.30000000000007</v>
      </c>
      <c r="Y26" s="3"/>
      <c r="Z26" s="7">
        <f t="shared" si="7"/>
        <v>-0.69065152622407111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925.81</v>
      </c>
      <c r="E27" s="3"/>
      <c r="F27" s="7">
        <f t="shared" si="0"/>
        <v>3.6933418438584588E-2</v>
      </c>
      <c r="G27" s="3"/>
      <c r="H27" s="8">
        <v>780.03</v>
      </c>
      <c r="I27" s="3"/>
      <c r="J27" s="7">
        <f t="shared" si="1"/>
        <v>2.3164162261685571E-2</v>
      </c>
      <c r="K27" s="3"/>
      <c r="L27" s="8">
        <f t="shared" si="2"/>
        <v>145.77999999999997</v>
      </c>
      <c r="M27" s="3"/>
      <c r="N27" s="7">
        <f t="shared" si="3"/>
        <v>0.1868902478109816</v>
      </c>
      <c r="O27" s="12"/>
      <c r="P27" s="8">
        <v>6826.85</v>
      </c>
      <c r="Q27" s="3"/>
      <c r="R27" s="7">
        <f t="shared" si="4"/>
        <v>1.7089683382064326E-2</v>
      </c>
      <c r="S27" s="3"/>
      <c r="T27" s="8">
        <v>5720.22</v>
      </c>
      <c r="U27" s="3"/>
      <c r="V27" s="7">
        <f t="shared" si="5"/>
        <v>1.1978188808362633E-2</v>
      </c>
      <c r="W27" s="3"/>
      <c r="X27" s="8">
        <f t="shared" si="6"/>
        <v>1106.6300000000001</v>
      </c>
      <c r="Y27" s="3"/>
      <c r="Z27" s="7">
        <f t="shared" si="7"/>
        <v>0.19345934247284197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588.70000000000005</v>
      </c>
      <c r="E28" s="3"/>
      <c r="F28" s="7">
        <f t="shared" si="0"/>
        <v>2.3485060039095226E-2</v>
      </c>
      <c r="G28" s="3"/>
      <c r="H28" s="8">
        <v>448.89</v>
      </c>
      <c r="I28" s="3"/>
      <c r="J28" s="7">
        <f t="shared" si="1"/>
        <v>1.3330462671497297E-2</v>
      </c>
      <c r="K28" s="3"/>
      <c r="L28" s="8">
        <f t="shared" si="2"/>
        <v>139.81000000000006</v>
      </c>
      <c r="M28" s="3"/>
      <c r="N28" s="7">
        <f t="shared" si="3"/>
        <v>0.31145714985854012</v>
      </c>
      <c r="O28" s="12"/>
      <c r="P28" s="8">
        <v>5087.38</v>
      </c>
      <c r="Q28" s="3"/>
      <c r="R28" s="7">
        <f t="shared" si="4"/>
        <v>1.2735260543917971E-2</v>
      </c>
      <c r="S28" s="3"/>
      <c r="T28" s="8">
        <v>3291.87</v>
      </c>
      <c r="U28" s="3"/>
      <c r="V28" s="7">
        <f t="shared" si="5"/>
        <v>6.8932034768915702E-3</v>
      </c>
      <c r="W28" s="3"/>
      <c r="X28" s="8">
        <f t="shared" si="6"/>
        <v>1795.5100000000002</v>
      </c>
      <c r="Y28" s="3"/>
      <c r="Z28" s="7">
        <f t="shared" si="7"/>
        <v>0.54543769954463583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190.54</v>
      </c>
      <c r="E29" s="3"/>
      <c r="F29" s="7">
        <f t="shared" si="0"/>
        <v>7.6012287070650652E-3</v>
      </c>
      <c r="G29" s="3"/>
      <c r="H29" s="8"/>
      <c r="I29" s="3"/>
      <c r="J29" s="7">
        <f t="shared" si="1"/>
        <v>0</v>
      </c>
      <c r="K29" s="3"/>
      <c r="L29" s="8">
        <f t="shared" si="2"/>
        <v>190.54</v>
      </c>
      <c r="M29" s="3"/>
      <c r="N29" s="7">
        <f t="shared" si="3"/>
        <v>0</v>
      </c>
      <c r="O29" s="12"/>
      <c r="P29" s="8">
        <v>766.79</v>
      </c>
      <c r="Q29" s="3"/>
      <c r="R29" s="7">
        <f t="shared" si="4"/>
        <v>1.9195087515520486E-3</v>
      </c>
      <c r="S29" s="3"/>
      <c r="T29" s="8">
        <v>1620.53</v>
      </c>
      <c r="U29" s="3"/>
      <c r="V29" s="7">
        <f t="shared" si="5"/>
        <v>3.3934034546950808E-3</v>
      </c>
      <c r="W29" s="3"/>
      <c r="X29" s="8">
        <f t="shared" si="6"/>
        <v>-853.74</v>
      </c>
      <c r="Y29" s="3"/>
      <c r="Z29" s="7">
        <f t="shared" si="7"/>
        <v>-0.52682764280821703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18557.16</v>
      </c>
      <c r="E30" s="2"/>
      <c r="F30" s="6">
        <f t="shared" si="0"/>
        <v>0.74030238959588301</v>
      </c>
      <c r="G30" s="2"/>
      <c r="H30" s="2">
        <f>SUM(OSRRefH22_1x_0)</f>
        <v>12186.69</v>
      </c>
      <c r="I30" s="2"/>
      <c r="J30" s="6">
        <f t="shared" si="1"/>
        <v>0.3619020609372216</v>
      </c>
      <c r="K30" s="2"/>
      <c r="L30" s="2">
        <f t="shared" si="2"/>
        <v>6370.4699999999993</v>
      </c>
      <c r="M30" s="2"/>
      <c r="N30" s="6">
        <f t="shared" si="3"/>
        <v>0.5227399728720431</v>
      </c>
      <c r="O30" s="14"/>
      <c r="P30" s="2">
        <f>SUM(OSRRefP22_1x_0)</f>
        <v>147822.22999999998</v>
      </c>
      <c r="Q30" s="2"/>
      <c r="R30" s="6">
        <f t="shared" si="4"/>
        <v>0.37004403312372325</v>
      </c>
      <c r="S30" s="2"/>
      <c r="T30" s="2">
        <f>SUM(OSRRefT22_1x_0)</f>
        <v>140334.41</v>
      </c>
      <c r="U30" s="2"/>
      <c r="V30" s="6">
        <f t="shared" si="5"/>
        <v>0.29386143527524694</v>
      </c>
      <c r="W30" s="2"/>
      <c r="X30" s="2">
        <f t="shared" si="6"/>
        <v>7487.8199999999779</v>
      </c>
      <c r="Y30" s="2"/>
      <c r="Z30" s="6">
        <f t="shared" si="7"/>
        <v>5.3356977807509774E-2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5589.48</v>
      </c>
      <c r="E31" s="3"/>
      <c r="F31" s="7">
        <f t="shared" si="0"/>
        <v>0.22298160928711053</v>
      </c>
      <c r="G31" s="3"/>
      <c r="H31" s="8">
        <v>4416.3900000000003</v>
      </c>
      <c r="I31" s="3"/>
      <c r="J31" s="7">
        <f t="shared" si="1"/>
        <v>0.13115133337292867</v>
      </c>
      <c r="K31" s="3"/>
      <c r="L31" s="8">
        <f t="shared" si="2"/>
        <v>1173.0899999999992</v>
      </c>
      <c r="M31" s="3"/>
      <c r="N31" s="7">
        <f t="shared" si="3"/>
        <v>0.26562192197699913</v>
      </c>
      <c r="O31" s="12"/>
      <c r="P31" s="8">
        <v>47666.58</v>
      </c>
      <c r="Q31" s="3"/>
      <c r="R31" s="7">
        <f t="shared" si="4"/>
        <v>0.11932395762406377</v>
      </c>
      <c r="S31" s="3"/>
      <c r="T31" s="8">
        <v>43739.44</v>
      </c>
      <c r="U31" s="3"/>
      <c r="V31" s="7">
        <f t="shared" si="5"/>
        <v>9.1590755371655092E-2</v>
      </c>
      <c r="W31" s="3"/>
      <c r="X31" s="8">
        <f t="shared" si="6"/>
        <v>3927.1399999999994</v>
      </c>
      <c r="Y31" s="3"/>
      <c r="Z31" s="7">
        <f t="shared" si="7"/>
        <v>8.978487150269869E-2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>
        <v>2040</v>
      </c>
      <c r="E32" s="3"/>
      <c r="F32" s="7">
        <f t="shared" si="0"/>
        <v>8.1381896517333546E-2</v>
      </c>
      <c r="G32" s="3"/>
      <c r="H32" s="8">
        <v>2395.9899999999998</v>
      </c>
      <c r="I32" s="3"/>
      <c r="J32" s="7">
        <f t="shared" si="1"/>
        <v>7.1152521232998742E-2</v>
      </c>
      <c r="K32" s="3"/>
      <c r="L32" s="8">
        <f t="shared" si="2"/>
        <v>-355.98999999999978</v>
      </c>
      <c r="M32" s="3"/>
      <c r="N32" s="7">
        <f t="shared" si="3"/>
        <v>-0.14857741476383449</v>
      </c>
      <c r="O32" s="12"/>
      <c r="P32" s="8">
        <v>18624.57</v>
      </c>
      <c r="Q32" s="3"/>
      <c r="R32" s="7">
        <f t="shared" si="4"/>
        <v>4.6622967316858249E-2</v>
      </c>
      <c r="S32" s="3"/>
      <c r="T32" s="8">
        <v>23507.68</v>
      </c>
      <c r="U32" s="3"/>
      <c r="V32" s="7">
        <f t="shared" si="5"/>
        <v>4.9225279707173865E-2</v>
      </c>
      <c r="W32" s="3"/>
      <c r="X32" s="8">
        <f t="shared" si="6"/>
        <v>-4883.1100000000006</v>
      </c>
      <c r="Y32" s="3"/>
      <c r="Z32" s="7">
        <f t="shared" si="7"/>
        <v>-0.20772402891310415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2481.75</v>
      </c>
      <c r="E33" s="3"/>
      <c r="F33" s="7">
        <f t="shared" si="0"/>
        <v>9.9004667491123785E-2</v>
      </c>
      <c r="G33" s="3"/>
      <c r="H33" s="8"/>
      <c r="I33" s="3"/>
      <c r="J33" s="7">
        <f t="shared" si="1"/>
        <v>0</v>
      </c>
      <c r="K33" s="3"/>
      <c r="L33" s="8">
        <f t="shared" si="2"/>
        <v>2481.75</v>
      </c>
      <c r="M33" s="3"/>
      <c r="N33" s="7">
        <f t="shared" si="3"/>
        <v>0</v>
      </c>
      <c r="O33" s="12"/>
      <c r="P33" s="8">
        <v>13322.22</v>
      </c>
      <c r="Q33" s="3"/>
      <c r="R33" s="7">
        <f t="shared" si="4"/>
        <v>3.3349571434293263E-2</v>
      </c>
      <c r="S33" s="3"/>
      <c r="T33" s="8"/>
      <c r="U33" s="3"/>
      <c r="V33" s="7">
        <f t="shared" si="5"/>
        <v>0</v>
      </c>
      <c r="W33" s="3"/>
      <c r="X33" s="8">
        <f t="shared" si="6"/>
        <v>13322.22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5524.33</v>
      </c>
      <c r="E34" s="3"/>
      <c r="F34" s="7">
        <f t="shared" si="0"/>
        <v>0.22038257469980452</v>
      </c>
      <c r="G34" s="3"/>
      <c r="H34" s="8">
        <v>6926.31</v>
      </c>
      <c r="I34" s="3"/>
      <c r="J34" s="7">
        <f t="shared" si="1"/>
        <v>0.20568717705054346</v>
      </c>
      <c r="K34" s="3"/>
      <c r="L34" s="8">
        <f t="shared" si="2"/>
        <v>-1401.9800000000005</v>
      </c>
      <c r="M34" s="3"/>
      <c r="N34" s="7">
        <f t="shared" si="3"/>
        <v>-0.20241369502664483</v>
      </c>
      <c r="O34" s="12"/>
      <c r="P34" s="8">
        <v>53895.56</v>
      </c>
      <c r="Q34" s="3"/>
      <c r="R34" s="7">
        <f t="shared" si="4"/>
        <v>0.1349169904273641</v>
      </c>
      <c r="S34" s="3"/>
      <c r="T34" s="8">
        <v>64897.63</v>
      </c>
      <c r="U34" s="3"/>
      <c r="V34" s="7">
        <f t="shared" si="5"/>
        <v>0.13589618325086431</v>
      </c>
      <c r="W34" s="3"/>
      <c r="X34" s="8">
        <f t="shared" si="6"/>
        <v>-11002.07</v>
      </c>
      <c r="Y34" s="3"/>
      <c r="Z34" s="7">
        <f t="shared" si="7"/>
        <v>-0.16952961148196014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2921.6</v>
      </c>
      <c r="E35" s="3"/>
      <c r="F35" s="7">
        <f t="shared" si="0"/>
        <v>0.11655164160051062</v>
      </c>
      <c r="G35" s="3"/>
      <c r="H35" s="8">
        <v>-1552</v>
      </c>
      <c r="I35" s="3"/>
      <c r="J35" s="7">
        <f t="shared" si="1"/>
        <v>-4.6088970719249271E-2</v>
      </c>
      <c r="K35" s="3"/>
      <c r="L35" s="8">
        <f t="shared" si="2"/>
        <v>4473.6000000000004</v>
      </c>
      <c r="M35" s="3"/>
      <c r="N35" s="7">
        <f t="shared" si="3"/>
        <v>-2.8824742268041241</v>
      </c>
      <c r="O35" s="12"/>
      <c r="P35" s="8">
        <v>14149.08</v>
      </c>
      <c r="Q35" s="3"/>
      <c r="R35" s="7">
        <f t="shared" si="4"/>
        <v>3.5419453678856093E-2</v>
      </c>
      <c r="S35" s="3"/>
      <c r="T35" s="8">
        <v>4277.78</v>
      </c>
      <c r="U35" s="3"/>
      <c r="V35" s="7">
        <f t="shared" si="5"/>
        <v>8.9577073120679796E-3</v>
      </c>
      <c r="W35" s="3"/>
      <c r="X35" s="8">
        <f t="shared" si="6"/>
        <v>9871.2999999999993</v>
      </c>
      <c r="Y35" s="3"/>
      <c r="Z35" s="7">
        <f t="shared" si="7"/>
        <v>2.3075754246361431</v>
      </c>
    </row>
    <row r="36" spans="1:26" s="69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164.22</v>
      </c>
      <c r="Q36" s="3"/>
      <c r="R36" s="7">
        <f t="shared" si="4"/>
        <v>4.1109264228781994E-4</v>
      </c>
      <c r="S36" s="3"/>
      <c r="T36" s="8">
        <v>3911.88</v>
      </c>
      <c r="U36" s="3"/>
      <c r="V36" s="7">
        <f t="shared" si="5"/>
        <v>8.1915096334857079E-3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6.2877998958625386E-4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251.18</v>
      </c>
      <c r="Q38" s="3"/>
      <c r="R38" s="7">
        <f t="shared" si="4"/>
        <v>6.2877998958625386E-4</v>
      </c>
      <c r="S38" s="3"/>
      <c r="T38" s="8"/>
      <c r="U38" s="3"/>
      <c r="V38" s="7">
        <f t="shared" si="5"/>
        <v>0</v>
      </c>
      <c r="W38" s="3"/>
      <c r="X38" s="8">
        <f t="shared" si="6"/>
        <v>251.18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579.9</v>
      </c>
      <c r="E39" s="2"/>
      <c r="F39" s="6">
        <f t="shared" si="0"/>
        <v>2.3134000877647904E-2</v>
      </c>
      <c r="G39" s="2"/>
      <c r="H39" s="2">
        <f>SUM(OSRRefH22_3x_0)</f>
        <v>50.67</v>
      </c>
      <c r="I39" s="2"/>
      <c r="J39" s="6">
        <f t="shared" si="1"/>
        <v>1.5047217437785829E-3</v>
      </c>
      <c r="K39" s="2"/>
      <c r="L39" s="2">
        <f t="shared" si="2"/>
        <v>529.23</v>
      </c>
      <c r="M39" s="2"/>
      <c r="N39" s="6">
        <f t="shared" si="3"/>
        <v>10.444641799881587</v>
      </c>
      <c r="O39" s="14"/>
      <c r="P39" s="2">
        <f>SUM(OSRRefP22_3x_0)</f>
        <v>4014.13</v>
      </c>
      <c r="Q39" s="2"/>
      <c r="R39" s="6">
        <f t="shared" si="4"/>
        <v>1.0048589137661714E-2</v>
      </c>
      <c r="S39" s="2"/>
      <c r="T39" s="2">
        <f>SUM(OSRRefT22_3x_0)</f>
        <v>803.94</v>
      </c>
      <c r="U39" s="2"/>
      <c r="V39" s="6">
        <f t="shared" si="5"/>
        <v>1.683457124130725E-3</v>
      </c>
      <c r="W39" s="2"/>
      <c r="X39" s="2">
        <f t="shared" si="6"/>
        <v>3210.19</v>
      </c>
      <c r="Y39" s="2"/>
      <c r="Z39" s="6">
        <f t="shared" si="7"/>
        <v>3.9930716222603673</v>
      </c>
    </row>
    <row r="40" spans="1:26" s="69" customFormat="1" ht="15" hidden="1" customHeight="1" outlineLevel="2" x14ac:dyDescent="0.3">
      <c r="A40" s="26"/>
      <c r="B40" s="12" t="str">
        <f>CONCATENATE("          ","6381"," - ","BANK/CREDIT CARD FEES")</f>
        <v xml:space="preserve">          6381 - BANK/CREDIT CARD FEES</v>
      </c>
      <c r="C40" s="12"/>
      <c r="D40" s="8">
        <v>579.9</v>
      </c>
      <c r="E40" s="3"/>
      <c r="F40" s="7">
        <f t="shared" si="0"/>
        <v>2.3134000877647904E-2</v>
      </c>
      <c r="G40" s="3"/>
      <c r="H40" s="8">
        <v>50.67</v>
      </c>
      <c r="I40" s="3"/>
      <c r="J40" s="7">
        <f t="shared" si="1"/>
        <v>1.5047217437785829E-3</v>
      </c>
      <c r="K40" s="3"/>
      <c r="L40" s="8">
        <f t="shared" si="2"/>
        <v>529.23</v>
      </c>
      <c r="M40" s="3"/>
      <c r="N40" s="7">
        <f t="shared" si="3"/>
        <v>10.444641799881587</v>
      </c>
      <c r="O40" s="12"/>
      <c r="P40" s="8">
        <v>4014.13</v>
      </c>
      <c r="Q40" s="3"/>
      <c r="R40" s="7">
        <f t="shared" si="4"/>
        <v>1.0048589137661714E-2</v>
      </c>
      <c r="S40" s="3"/>
      <c r="T40" s="8">
        <v>803.94</v>
      </c>
      <c r="U40" s="3"/>
      <c r="V40" s="7">
        <f t="shared" si="5"/>
        <v>1.683457124130725E-3</v>
      </c>
      <c r="W40" s="3"/>
      <c r="X40" s="8">
        <f t="shared" si="6"/>
        <v>3210.19</v>
      </c>
      <c r="Y40" s="3"/>
      <c r="Z40" s="7">
        <f t="shared" si="7"/>
        <v>3.9930716222603673</v>
      </c>
    </row>
    <row r="41" spans="1:26" s="68" customFormat="1" ht="15" customHeight="1" outlineLevel="1" collapsed="1" x14ac:dyDescent="0.3">
      <c r="A41" s="25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1.5520487042896624E-6</v>
      </c>
      <c r="S41" s="2"/>
      <c r="T41" s="2">
        <f>SUM(OSRRefT22_4x_0)</f>
        <v>2.12</v>
      </c>
      <c r="U41" s="2"/>
      <c r="V41" s="6">
        <f t="shared" si="5"/>
        <v>4.4392978370987095E-6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6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1.5520487042896624E-6</v>
      </c>
      <c r="S42" s="3"/>
      <c r="T42" s="8">
        <v>1.62</v>
      </c>
      <c r="U42" s="3"/>
      <c r="V42" s="7">
        <f t="shared" si="5"/>
        <v>3.3922936302358064E-6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6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1.0470042068629033E-6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1.5729844018031675E-3</v>
      </c>
      <c r="G44" s="2"/>
      <c r="H44" s="2">
        <f>SUM(OSRRefH22_5x_0)</f>
        <v>29.01</v>
      </c>
      <c r="I44" s="2"/>
      <c r="J44" s="6">
        <f t="shared" si="1"/>
        <v>8.6149551582823548E-4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394.3</v>
      </c>
      <c r="Q44" s="2"/>
      <c r="R44" s="6">
        <f t="shared" si="4"/>
        <v>9.8705290984099007E-4</v>
      </c>
      <c r="S44" s="2"/>
      <c r="T44" s="2">
        <f>SUM(OSRRefT22_5x_0)</f>
        <v>290.10000000000002</v>
      </c>
      <c r="U44" s="2"/>
      <c r="V44" s="6">
        <f t="shared" si="5"/>
        <v>6.0747184082185642E-4</v>
      </c>
      <c r="W44" s="2"/>
      <c r="X44" s="2">
        <f t="shared" si="6"/>
        <v>104.19999999999999</v>
      </c>
      <c r="Y44" s="2"/>
      <c r="Z44" s="6">
        <f t="shared" si="7"/>
        <v>0.35918648741813158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1.5729844018031675E-3</v>
      </c>
      <c r="G45" s="3"/>
      <c r="H45" s="8">
        <v>29.01</v>
      </c>
      <c r="I45" s="3"/>
      <c r="J45" s="7">
        <f t="shared" si="1"/>
        <v>8.6149551582823548E-4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394.3</v>
      </c>
      <c r="Q45" s="3"/>
      <c r="R45" s="7">
        <f t="shared" si="4"/>
        <v>9.8705290984099007E-4</v>
      </c>
      <c r="S45" s="3"/>
      <c r="T45" s="8">
        <v>290.10000000000002</v>
      </c>
      <c r="U45" s="3"/>
      <c r="V45" s="7">
        <f t="shared" si="5"/>
        <v>6.0747184082185642E-4</v>
      </c>
      <c r="W45" s="3"/>
      <c r="X45" s="8">
        <f t="shared" si="6"/>
        <v>104.19999999999999</v>
      </c>
      <c r="Y45" s="3"/>
      <c r="Z45" s="7">
        <f t="shared" si="7"/>
        <v>0.35918648741813158</v>
      </c>
    </row>
    <row r="46" spans="1:26" s="68" customFormat="1" ht="15" customHeight="1" outlineLevel="1" collapsed="1" x14ac:dyDescent="0.3">
      <c r="A46" s="25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3.1914469222483741E-2</v>
      </c>
      <c r="G46" s="2"/>
      <c r="H46" s="2">
        <f>SUM(OSRRefH22_6x_0)</f>
        <v>800</v>
      </c>
      <c r="I46" s="2"/>
      <c r="J46" s="6">
        <f t="shared" si="1"/>
        <v>2.3757201401674883E-2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8000</v>
      </c>
      <c r="Q46" s="2"/>
      <c r="R46" s="6">
        <f t="shared" si="4"/>
        <v>2.0026434894060158E-2</v>
      </c>
      <c r="S46" s="2"/>
      <c r="T46" s="2">
        <f>SUM(OSRRefT22_6x_0)</f>
        <v>8000</v>
      </c>
      <c r="U46" s="2"/>
      <c r="V46" s="6">
        <f t="shared" si="5"/>
        <v>1.675206730980645E-2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3.1914469222483741E-2</v>
      </c>
      <c r="G47" s="3"/>
      <c r="H47" s="8">
        <v>800</v>
      </c>
      <c r="I47" s="3"/>
      <c r="J47" s="7">
        <f t="shared" si="1"/>
        <v>2.3757201401674883E-2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8000</v>
      </c>
      <c r="Q47" s="3"/>
      <c r="R47" s="7">
        <f t="shared" si="4"/>
        <v>2.0026434894060158E-2</v>
      </c>
      <c r="S47" s="3"/>
      <c r="T47" s="8">
        <v>8000</v>
      </c>
      <c r="U47" s="3"/>
      <c r="V47" s="7">
        <f t="shared" si="5"/>
        <v>1.675206730980645E-2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131139.97</v>
      </c>
      <c r="Q48" s="2"/>
      <c r="R48" s="6">
        <f t="shared" si="4"/>
        <v>0.32828325890175031</v>
      </c>
      <c r="S48" s="2"/>
      <c r="T48" s="2">
        <f>SUM(OSRRefT22_7x_0)</f>
        <v>149496.13</v>
      </c>
      <c r="U48" s="2"/>
      <c r="V48" s="6">
        <f t="shared" si="5"/>
        <v>0.31304615403944697</v>
      </c>
      <c r="W48" s="2"/>
      <c r="X48" s="2">
        <f t="shared" si="6"/>
        <v>-18356.160000000003</v>
      </c>
      <c r="Y48" s="2"/>
      <c r="Z48" s="6">
        <f t="shared" si="7"/>
        <v>-0.12278685742567384</v>
      </c>
    </row>
    <row r="49" spans="1:26" s="69" customFormat="1" ht="15" hidden="1" customHeight="1" outlineLevel="2" x14ac:dyDescent="0.3">
      <c r="A49" s="26"/>
      <c r="B49" s="12" t="str">
        <f>CONCATENATE("          ","6371"," - ","COMPUTER SOFTWARE MAINTENANCE")</f>
        <v xml:space="preserve">          6371 - COMPUTER SOFTWARE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1.8984309288260504E-2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3.8942654303680863E-3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122000.62</v>
      </c>
      <c r="Q51" s="3"/>
      <c r="R51" s="7">
        <f t="shared" si="4"/>
        <v>0.30540468418312172</v>
      </c>
      <c r="S51" s="3"/>
      <c r="T51" s="8">
        <v>142934.13</v>
      </c>
      <c r="U51" s="3"/>
      <c r="V51" s="7">
        <f t="shared" si="5"/>
        <v>0.29930527082857822</v>
      </c>
      <c r="W51" s="3"/>
      <c r="X51" s="8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6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1.3740883210868741E-2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5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23.08</v>
      </c>
      <c r="E53" s="2"/>
      <c r="F53" s="6">
        <f t="shared" si="0"/>
        <v>9.2073243706865596E-4</v>
      </c>
      <c r="G53" s="2"/>
      <c r="H53" s="2">
        <f>SUM(OSRRefH22_8x_0)</f>
        <v>2500</v>
      </c>
      <c r="I53" s="2"/>
      <c r="J53" s="6">
        <f t="shared" si="1"/>
        <v>7.4241254380234004E-2</v>
      </c>
      <c r="K53" s="2"/>
      <c r="L53" s="2">
        <f t="shared" si="2"/>
        <v>-2476.92</v>
      </c>
      <c r="M53" s="2"/>
      <c r="N53" s="6">
        <f t="shared" si="3"/>
        <v>-0.99076799999999998</v>
      </c>
      <c r="O53" s="14"/>
      <c r="P53" s="2">
        <f>SUM(OSRRefP22_8x_0)</f>
        <v>29615.53</v>
      </c>
      <c r="Q53" s="2"/>
      <c r="R53" s="6">
        <f t="shared" si="4"/>
        <v>7.4136685424760679E-2</v>
      </c>
      <c r="S53" s="2"/>
      <c r="T53" s="2">
        <f>SUM(OSRRefT22_8x_0)</f>
        <v>44561.89</v>
      </c>
      <c r="U53" s="2"/>
      <c r="V53" s="6">
        <f t="shared" si="5"/>
        <v>9.3312972591523866E-2</v>
      </c>
      <c r="W53" s="2"/>
      <c r="X53" s="2">
        <f t="shared" si="6"/>
        <v>-14946.36</v>
      </c>
      <c r="Y53" s="2"/>
      <c r="Z53" s="6">
        <f t="shared" si="7"/>
        <v>-0.33540677920079243</v>
      </c>
    </row>
    <row r="54" spans="1:26" s="69" customFormat="1" ht="15" hidden="1" customHeight="1" outlineLevel="2" x14ac:dyDescent="0.3">
      <c r="A54" s="26"/>
      <c r="B54" s="12" t="str">
        <f>CONCATENATE("          ","6241"," - ","OFFICE EXPENSE")</f>
        <v xml:space="preserve">          6241 - OFFICE EXPENSE</v>
      </c>
      <c r="C54" s="12"/>
      <c r="D54" s="8">
        <v>23.08</v>
      </c>
      <c r="E54" s="3"/>
      <c r="F54" s="7">
        <f t="shared" si="0"/>
        <v>9.2073243706865596E-4</v>
      </c>
      <c r="G54" s="3"/>
      <c r="H54" s="8">
        <v>2500</v>
      </c>
      <c r="I54" s="3"/>
      <c r="J54" s="7">
        <f t="shared" si="1"/>
        <v>7.4241254380234004E-2</v>
      </c>
      <c r="K54" s="3"/>
      <c r="L54" s="8">
        <f t="shared" si="2"/>
        <v>-2476.92</v>
      </c>
      <c r="M54" s="3"/>
      <c r="N54" s="7">
        <f t="shared" si="3"/>
        <v>-0.99076799999999998</v>
      </c>
      <c r="O54" s="12"/>
      <c r="P54" s="8">
        <v>29590.18</v>
      </c>
      <c r="Q54" s="3"/>
      <c r="R54" s="7">
        <f t="shared" si="4"/>
        <v>7.4073226659190125E-2</v>
      </c>
      <c r="S54" s="3"/>
      <c r="T54" s="8">
        <v>44561.89</v>
      </c>
      <c r="U54" s="3"/>
      <c r="V54" s="7">
        <f t="shared" si="5"/>
        <v>9.3312972591523866E-2</v>
      </c>
      <c r="W54" s="3"/>
      <c r="X54" s="8">
        <f t="shared" si="6"/>
        <v>-14971.71</v>
      </c>
      <c r="Y54" s="3"/>
      <c r="Z54" s="7">
        <f t="shared" si="7"/>
        <v>-0.33597565094299187</v>
      </c>
    </row>
    <row r="55" spans="1:26" s="69" customFormat="1" ht="15" hidden="1" customHeight="1" outlineLevel="2" x14ac:dyDescent="0.3">
      <c r="A55" s="26"/>
      <c r="B55" s="12" t="str">
        <f>CONCATENATE("          ","6247"," - ","STORE SUPPLIES")</f>
        <v xml:space="preserve">          6247 - STORE SUPPLIES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25.35</v>
      </c>
      <c r="Q55" s="3"/>
      <c r="R55" s="7">
        <f t="shared" si="4"/>
        <v>6.3458765570553134E-5</v>
      </c>
      <c r="S55" s="3"/>
      <c r="T55" s="8"/>
      <c r="U55" s="3"/>
      <c r="V55" s="7">
        <f t="shared" si="5"/>
        <v>0</v>
      </c>
      <c r="W55" s="3"/>
      <c r="X55" s="8">
        <f t="shared" si="6"/>
        <v>25.35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5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56.44</v>
      </c>
      <c r="E56" s="2"/>
      <c r="F56" s="6">
        <f t="shared" si="0"/>
        <v>2.2515658036462282E-3</v>
      </c>
      <c r="G56" s="2"/>
      <c r="H56" s="2">
        <f>SUM(OSRRefH22_9x_0)</f>
        <v>87.1</v>
      </c>
      <c r="I56" s="2"/>
      <c r="J56" s="6">
        <f t="shared" si="1"/>
        <v>2.5865653026073527E-3</v>
      </c>
      <c r="K56" s="2"/>
      <c r="L56" s="2">
        <f t="shared" si="2"/>
        <v>-30.659999999999997</v>
      </c>
      <c r="M56" s="2"/>
      <c r="N56" s="6">
        <f t="shared" si="3"/>
        <v>-0.35200918484500571</v>
      </c>
      <c r="O56" s="14"/>
      <c r="P56" s="2">
        <f>SUM(OSRRefP22_9x_0)</f>
        <v>423.69</v>
      </c>
      <c r="Q56" s="2"/>
      <c r="R56" s="6">
        <f t="shared" si="4"/>
        <v>1.0606250250330437E-3</v>
      </c>
      <c r="S56" s="2"/>
      <c r="T56" s="2">
        <f>SUM(OSRRefT22_9x_0)</f>
        <v>1798.93</v>
      </c>
      <c r="U56" s="2"/>
      <c r="V56" s="6">
        <f t="shared" si="5"/>
        <v>3.7669745557037649E-3</v>
      </c>
      <c r="W56" s="2"/>
      <c r="X56" s="2">
        <f t="shared" si="6"/>
        <v>-1375.24</v>
      </c>
      <c r="Y56" s="2"/>
      <c r="Z56" s="6">
        <f t="shared" si="7"/>
        <v>-0.76447666112633617</v>
      </c>
    </row>
    <row r="57" spans="1:26" s="69" customFormat="1" ht="15" hidden="1" customHeight="1" outlineLevel="2" x14ac:dyDescent="0.3">
      <c r="A57" s="26"/>
      <c r="B57" s="12" t="str">
        <f>CONCATENATE("          ","6309"," - ","TELEPHONE")</f>
        <v xml:space="preserve">          6309 - TELEPHONE</v>
      </c>
      <c r="C57" s="12"/>
      <c r="D57" s="8">
        <v>56.44</v>
      </c>
      <c r="E57" s="3"/>
      <c r="F57" s="7">
        <f t="shared" si="0"/>
        <v>2.2515658036462282E-3</v>
      </c>
      <c r="G57" s="3"/>
      <c r="H57" s="8">
        <v>87.1</v>
      </c>
      <c r="I57" s="3"/>
      <c r="J57" s="7">
        <f t="shared" si="1"/>
        <v>2.5865653026073527E-3</v>
      </c>
      <c r="K57" s="3"/>
      <c r="L57" s="8">
        <f t="shared" si="2"/>
        <v>-30.659999999999997</v>
      </c>
      <c r="M57" s="3"/>
      <c r="N57" s="7">
        <f t="shared" si="3"/>
        <v>-0.35200918484500571</v>
      </c>
      <c r="O57" s="12"/>
      <c r="P57" s="8">
        <v>423.69</v>
      </c>
      <c r="Q57" s="3"/>
      <c r="R57" s="7">
        <f t="shared" si="4"/>
        <v>1.0606250250330437E-3</v>
      </c>
      <c r="S57" s="3"/>
      <c r="T57" s="8">
        <v>1798.93</v>
      </c>
      <c r="U57" s="3"/>
      <c r="V57" s="7">
        <f t="shared" si="5"/>
        <v>3.7669745557037649E-3</v>
      </c>
      <c r="W57" s="3"/>
      <c r="X57" s="8">
        <f t="shared" si="6"/>
        <v>-1375.24</v>
      </c>
      <c r="Y57" s="3"/>
      <c r="Z57" s="7">
        <f t="shared" si="7"/>
        <v>-0.76447666112633617</v>
      </c>
    </row>
    <row r="58" spans="1:26" s="68" customFormat="1" ht="15" customHeight="1" outlineLevel="1" collapsed="1" x14ac:dyDescent="0.3">
      <c r="A58" s="25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5.0066087235150396E-3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5.0066087235150396E-3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7" t="s">
        <v>290</v>
      </c>
      <c r="C61" s="11"/>
      <c r="D61" s="5">
        <f>SUM(OSRRefD25x_0)</f>
        <v>1642</v>
      </c>
      <c r="E61" s="5"/>
      <c r="F61" s="13">
        <f>IF(D$12=0,0,D61/D$12)</f>
        <v>6.5504448079147889E-2</v>
      </c>
      <c r="G61" s="5"/>
      <c r="H61" s="5">
        <f>SUM(OSRRefH25x_0)</f>
        <v>221.44</v>
      </c>
      <c r="I61" s="5"/>
      <c r="J61" s="13">
        <f>IF(H$12=0,0,H61/H$12)</f>
        <v>6.5759933479836077E-3</v>
      </c>
      <c r="K61" s="5"/>
      <c r="L61" s="5">
        <f>+D61-H61</f>
        <v>1420.56</v>
      </c>
      <c r="M61" s="5"/>
      <c r="N61" s="13">
        <f>IF(H61=0,0,L61/H61)</f>
        <v>6.4151011560693636</v>
      </c>
      <c r="O61" s="11"/>
      <c r="P61" s="5">
        <f>SUM(OSRRefP25x_0)</f>
        <v>11216.88</v>
      </c>
      <c r="Q61" s="5"/>
      <c r="R61" s="13">
        <f>IF(P$12=0,0,P61/P$12)</f>
        <v>2.8079264629310687E-2</v>
      </c>
      <c r="S61" s="5"/>
      <c r="T61" s="5">
        <f>SUM(OSRRefT25x_0)</f>
        <v>2160.12</v>
      </c>
      <c r="U61" s="5"/>
      <c r="V61" s="13">
        <f>IF(T$12=0,0,T61/T$12)</f>
        <v>4.5233094546573887E-3</v>
      </c>
      <c r="W61" s="5"/>
      <c r="X61" s="5">
        <f>+P61-T61</f>
        <v>9056.7599999999984</v>
      </c>
      <c r="Y61" s="5"/>
      <c r="Z61" s="13">
        <f>IF(T61=0,0,X61/T61)</f>
        <v>4.1927115160268871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--1642</f>
        <v>1642</v>
      </c>
      <c r="E62" s="3"/>
      <c r="F62" s="20">
        <f>IF(D$12=0,0,D62/D$12)</f>
        <v>6.5504448079147889E-2</v>
      </c>
      <c r="G62" s="3"/>
      <c r="H62" s="3">
        <f>--221.44</f>
        <v>221.44</v>
      </c>
      <c r="I62" s="3"/>
      <c r="J62" s="20">
        <f>IF(H$12=0,0,H62/H$12)</f>
        <v>6.5759933479836077E-3</v>
      </c>
      <c r="K62" s="3"/>
      <c r="L62" s="3">
        <f>+D62-H62</f>
        <v>1420.56</v>
      </c>
      <c r="M62" s="3"/>
      <c r="N62" s="20">
        <f>IF(H62=0,0,L62/H62)</f>
        <v>6.4151011560693636</v>
      </c>
      <c r="O62" s="12"/>
      <c r="P62" s="3">
        <f>--11216.88</f>
        <v>11216.88</v>
      </c>
      <c r="Q62" s="3"/>
      <c r="R62" s="20">
        <f>IF(P$12=0,0,P62/P$12)</f>
        <v>2.8079264629310687E-2</v>
      </c>
      <c r="S62" s="3"/>
      <c r="T62" s="3">
        <f>--2160.12</f>
        <v>2160.12</v>
      </c>
      <c r="U62" s="3"/>
      <c r="V62" s="20">
        <f>IF(T$12=0,0,T62/T$12)</f>
        <v>4.5233094546573887E-3</v>
      </c>
      <c r="W62" s="3"/>
      <c r="X62" s="3">
        <f>+P62-T62</f>
        <v>9056.7599999999984</v>
      </c>
      <c r="Y62" s="3"/>
      <c r="Z62" s="20">
        <f>IF(T62=0,0,X62/T62)</f>
        <v>4.1927115160268871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8" t="s">
        <v>291</v>
      </c>
      <c r="C64" s="28"/>
      <c r="D64" s="21">
        <f>+D17-D19+D61</f>
        <v>1433.0499999999993</v>
      </c>
      <c r="E64" s="15"/>
      <c r="F64" s="23">
        <f>IF(D$12=0,0,D64/D$12)</f>
        <v>5.7168787649100383E-2</v>
      </c>
      <c r="G64" s="15"/>
      <c r="H64" s="21">
        <f>+H17-H19+H61</f>
        <v>13799.160000000005</v>
      </c>
      <c r="I64" s="15"/>
      <c r="J64" s="23">
        <f>IF(H$12=0,0,H64/H$12)</f>
        <v>0.40978677911742012</v>
      </c>
      <c r="K64" s="16"/>
      <c r="L64" s="21">
        <f>+D64-H64</f>
        <v>-12366.110000000006</v>
      </c>
      <c r="M64" s="16"/>
      <c r="N64" s="23">
        <f>IF(H64=0,0,L64/H64)</f>
        <v>-0.89614947576519155</v>
      </c>
      <c r="O64" s="27"/>
      <c r="P64" s="21">
        <f>+P17-P19+P61</f>
        <v>44684.270000000011</v>
      </c>
      <c r="Q64" s="15"/>
      <c r="R64" s="23">
        <f>IF(P$12=0,0,P64/P$12)</f>
        <v>0.11185832799295073</v>
      </c>
      <c r="S64" s="15"/>
      <c r="T64" s="21">
        <f>+T17-T19+T61</f>
        <v>91479.82</v>
      </c>
      <c r="U64" s="15"/>
      <c r="V64" s="23">
        <f>IF(T$12=0,0,T64/T$12)</f>
        <v>0.19155951276612232</v>
      </c>
      <c r="W64" s="16"/>
      <c r="X64" s="21">
        <f>+P64-T64</f>
        <v>-46795.549999999996</v>
      </c>
      <c r="Y64" s="16"/>
      <c r="Z64" s="23">
        <f>IF(T64=0,0,X64/T64)</f>
        <v>-0.51153959419684025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569.41999999999996</v>
      </c>
      <c r="E66" s="5"/>
      <c r="F66" s="13">
        <f>IF(D$12=0,0,D66/D$12)</f>
        <v>2.2715921330833364E-2</v>
      </c>
      <c r="G66" s="5"/>
      <c r="H66" s="5">
        <v>8426.34</v>
      </c>
      <c r="I66" s="5"/>
      <c r="J66" s="13">
        <f>IF(H$12=0,0,H66/H$12)</f>
        <v>0.25023282057373641</v>
      </c>
      <c r="K66" s="5"/>
      <c r="L66" s="5">
        <f>+D66-H66</f>
        <v>-7856.92</v>
      </c>
      <c r="M66" s="5"/>
      <c r="N66" s="13">
        <f>IF(H66=0,0,L66/H66)</f>
        <v>-0.9324238044038099</v>
      </c>
      <c r="O66" s="11"/>
      <c r="P66" s="5">
        <v>45253.74</v>
      </c>
      <c r="Q66" s="5"/>
      <c r="R66" s="13">
        <f>IF(P$12=0,0,P66/P$12)</f>
        <v>0.11328388472784075</v>
      </c>
      <c r="S66" s="5"/>
      <c r="T66" s="5">
        <v>99906.03</v>
      </c>
      <c r="U66" s="5"/>
      <c r="V66" s="13">
        <f>IF(T$12=0,0,T66/T$12)</f>
        <v>0.20920406740194281</v>
      </c>
      <c r="W66" s="5"/>
      <c r="X66" s="5">
        <f>+P66-T66</f>
        <v>-54652.29</v>
      </c>
      <c r="Y66" s="5"/>
      <c r="Z66" s="13">
        <f>IF(T66=0,0,X66/T66)</f>
        <v>-0.54703695062250002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293</v>
      </c>
      <c r="C68" s="28"/>
      <c r="D68" s="34">
        <f>+D64-D66</f>
        <v>863.62999999999931</v>
      </c>
      <c r="E68" s="15"/>
      <c r="F68" s="30">
        <f>IF(D$12=0,0,D68/D$12)</f>
        <v>3.4452866318267016E-2</v>
      </c>
      <c r="G68" s="15"/>
      <c r="H68" s="34">
        <f>+H64-H66</f>
        <v>5372.8200000000052</v>
      </c>
      <c r="I68" s="15"/>
      <c r="J68" s="30">
        <f>IF(H$12=0,0,H68/H$12)</f>
        <v>0.1595539585436837</v>
      </c>
      <c r="K68" s="16"/>
      <c r="L68" s="34">
        <f>D68-H68</f>
        <v>-4509.190000000006</v>
      </c>
      <c r="M68" s="16"/>
      <c r="N68" s="30">
        <f>IF(H68=0,0,L68/H68)</f>
        <v>-0.83925945778939215</v>
      </c>
      <c r="O68" s="27"/>
      <c r="P68" s="34">
        <f>+P64-P66</f>
        <v>-569.46999999998661</v>
      </c>
      <c r="Q68" s="15"/>
      <c r="R68" s="30">
        <f>IF(P$12=0,0,P68/P$12)</f>
        <v>-1.4255567348900214E-3</v>
      </c>
      <c r="S68" s="15"/>
      <c r="T68" s="34">
        <f>+T64-T66</f>
        <v>-8426.2099999999919</v>
      </c>
      <c r="U68" s="15"/>
      <c r="V68" s="30">
        <f>IF(T$12=0,0,T68/T$12)</f>
        <v>-1.7644554635820511E-2</v>
      </c>
      <c r="W68" s="16"/>
      <c r="X68" s="34">
        <f>P68-T68</f>
        <v>7856.7400000000052</v>
      </c>
      <c r="Y68" s="16"/>
      <c r="Z68" s="30">
        <f>IF(T68=0,0,X68/T68)</f>
        <v>-0.93241682796892233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8" t="s">
        <v>296</v>
      </c>
      <c r="C71" s="28"/>
      <c r="D71" s="29">
        <f>SUM(D68:D70)</f>
        <v>863.62999999999931</v>
      </c>
      <c r="E71" s="15"/>
      <c r="F71" s="35">
        <f>IF(D$12=0,0,D71/D$12)</f>
        <v>3.4452866318267016E-2</v>
      </c>
      <c r="G71" s="15"/>
      <c r="H71" s="29">
        <f>SUM(H68:H70)</f>
        <v>5372.8200000000052</v>
      </c>
      <c r="I71" s="15"/>
      <c r="J71" s="35">
        <f>IF(H$12=0,0,H71/H$12)</f>
        <v>0.1595539585436837</v>
      </c>
      <c r="K71" s="16"/>
      <c r="L71" s="29">
        <f>+D71-H71</f>
        <v>-4509.190000000006</v>
      </c>
      <c r="M71" s="16"/>
      <c r="N71" s="35">
        <f>IF(H71=0,0,L71/H71)</f>
        <v>-0.83925945778939215</v>
      </c>
      <c r="O71" s="27"/>
      <c r="P71" s="29">
        <f>SUM(P68:P70)</f>
        <v>-569.46999999998661</v>
      </c>
      <c r="Q71" s="15"/>
      <c r="R71" s="35">
        <f>IF(P$12=0,0,P71/P$12)</f>
        <v>-1.4255567348900214E-3</v>
      </c>
      <c r="S71" s="15"/>
      <c r="T71" s="29">
        <f>SUM(T68:T70)</f>
        <v>-8426.2099999999919</v>
      </c>
      <c r="U71" s="15"/>
      <c r="V71" s="35">
        <f>IF(T$12=0,0,T71/T$12)</f>
        <v>-1.7644554635820511E-2</v>
      </c>
      <c r="W71" s="16"/>
      <c r="X71" s="29">
        <f>+P71-T71</f>
        <v>7856.7400000000052</v>
      </c>
      <c r="Y71" s="16"/>
      <c r="Z71" s="35">
        <f>IF(T71=0,0,X71/T71)</f>
        <v>-0.93241682796892233</v>
      </c>
    </row>
    <row r="72" spans="1:26" ht="15" customHeight="1" x14ac:dyDescent="0.3">
      <c r="A72" s="10"/>
      <c r="C72" s="10"/>
      <c r="D72" s="18"/>
      <c r="E72" s="18"/>
      <c r="G72" s="18"/>
      <c r="H72" s="18"/>
      <c r="I72" s="18"/>
      <c r="J72" s="40"/>
      <c r="K72" s="18"/>
      <c r="L72" s="18"/>
      <c r="M72" s="18"/>
      <c r="P72" s="18"/>
      <c r="Q72" s="18"/>
      <c r="R72" s="40"/>
      <c r="S72" s="18"/>
      <c r="T72" s="18"/>
      <c r="U72" s="18"/>
      <c r="V72" s="40"/>
      <c r="W72" s="18"/>
      <c r="X72" s="18"/>
    </row>
    <row r="73" spans="1:26" ht="15" customHeight="1" x14ac:dyDescent="0.3">
      <c r="A73" s="10"/>
      <c r="B73" s="56">
        <v>44694.890804826391</v>
      </c>
      <c r="D73" s="18"/>
      <c r="E73" s="18"/>
      <c r="G73" s="18"/>
      <c r="H73" s="18"/>
      <c r="I73" s="18"/>
      <c r="J73" s="40"/>
      <c r="K73" s="18"/>
      <c r="L73" s="18"/>
      <c r="M73" s="18"/>
      <c r="P73" s="18"/>
      <c r="Q73" s="18"/>
      <c r="R73" s="40"/>
      <c r="S73" s="18"/>
      <c r="T73" s="18"/>
      <c r="U73" s="18"/>
      <c r="V73" s="40"/>
      <c r="W73" s="18"/>
      <c r="X73" s="18"/>
    </row>
    <row r="74" spans="1:26" ht="15" customHeight="1" x14ac:dyDescent="0.3">
      <c r="A74" s="10"/>
      <c r="B74" s="52" t="s">
        <v>297</v>
      </c>
      <c r="D74" s="18"/>
      <c r="E74" s="18"/>
      <c r="G74" s="18"/>
      <c r="H74" s="18"/>
      <c r="I74" s="18"/>
      <c r="J74" s="40"/>
      <c r="K74" s="18"/>
      <c r="L74" s="18"/>
      <c r="M74" s="18"/>
      <c r="P74" s="18"/>
      <c r="Q74" s="18"/>
      <c r="R74" s="40"/>
      <c r="S74" s="18"/>
      <c r="T74" s="18"/>
      <c r="U74" s="18"/>
      <c r="V74" s="40"/>
      <c r="W74" s="18"/>
      <c r="X74" s="18"/>
    </row>
    <row r="75" spans="1:26" ht="15" customHeight="1" x14ac:dyDescent="0.3">
      <c r="A75" s="10"/>
      <c r="B75" s="58"/>
      <c r="D75" s="18"/>
      <c r="E75" s="18"/>
      <c r="G75" s="18"/>
      <c r="H75" s="18"/>
      <c r="I75" s="18"/>
      <c r="J75" s="40"/>
      <c r="K75" s="18"/>
      <c r="L75" s="18"/>
      <c r="M75" s="18"/>
      <c r="P75" s="18"/>
      <c r="Q75" s="18"/>
      <c r="R75" s="40"/>
      <c r="S75" s="18"/>
      <c r="T75" s="18"/>
      <c r="U75" s="18"/>
      <c r="V75" s="40"/>
      <c r="W75" s="18"/>
      <c r="X75" s="18"/>
    </row>
    <row r="76" spans="1:26" ht="15" customHeight="1" x14ac:dyDescent="0.3">
      <c r="D76" s="18"/>
      <c r="E76" s="18"/>
      <c r="G76" s="18"/>
      <c r="H76" s="18"/>
      <c r="I76" s="18"/>
      <c r="J76" s="40"/>
      <c r="K76" s="18"/>
      <c r="L76" s="18"/>
      <c r="M76" s="18"/>
      <c r="P76" s="18"/>
      <c r="Q76" s="18"/>
      <c r="R76" s="40"/>
      <c r="S76" s="18"/>
      <c r="T76" s="18"/>
      <c r="U76" s="18"/>
      <c r="V76" s="40"/>
      <c r="W76" s="18"/>
      <c r="X7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AD9F-1EE9-2C32-2BC4-5E7ADADE4CF8}">
  <sheetPr>
    <tabColor rgb="FF92D050"/>
    <outlinePr summaryBelow="0" summaryRight="0"/>
  </sheetPr>
  <dimension ref="A2:Z76"/>
  <sheetViews>
    <sheetView showGridLines="0" defaultGridColor="0" colorId="8" zoomScale="80" workbookViewId="0">
      <pane xSplit="3" ySplit="10" topLeftCell="D3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str">
        <f>CONCATENATE("Period ",RIGHT(202210,2),", ",2022)</f>
        <v>Period 10, 2022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59">
        <v>44681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str">
        <f>CONCATENATE("Department ","501"," - ","ID Card Services")</f>
        <v>Department 501 - ID Card Services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>
        <f>SUM(OSRRefD13x_0)</f>
        <v>25067</v>
      </c>
      <c r="E12" s="5"/>
      <c r="F12" s="13"/>
      <c r="G12" s="5"/>
      <c r="H12" s="5">
        <f>SUM(OSRRefH13x_0)</f>
        <v>33674</v>
      </c>
      <c r="I12" s="5"/>
      <c r="J12" s="13"/>
      <c r="K12" s="5"/>
      <c r="L12" s="5">
        <f>+D12-H12</f>
        <v>-8607</v>
      </c>
      <c r="M12" s="5"/>
      <c r="N12" s="13">
        <f>IF(H12=0,0,L12/H12)</f>
        <v>-0.25559779058026966</v>
      </c>
      <c r="O12" s="11"/>
      <c r="P12" s="5">
        <f>SUM(OSRRefP13x_0)</f>
        <v>399472</v>
      </c>
      <c r="Q12" s="5"/>
      <c r="R12" s="13"/>
      <c r="S12" s="5"/>
      <c r="T12" s="5">
        <f>SUM(OSRRefT13x_0)</f>
        <v>477553</v>
      </c>
      <c r="U12" s="5"/>
      <c r="V12" s="13"/>
      <c r="W12" s="5"/>
      <c r="X12" s="5">
        <f>+P12-T12</f>
        <v>-78081</v>
      </c>
      <c r="Y12" s="5"/>
      <c r="Z12" s="13">
        <f>IF(T12=0,0,X12/T12)</f>
        <v>-0.16350227095212469</v>
      </c>
    </row>
    <row r="13" spans="1:26" s="69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--25067</f>
        <v>25067</v>
      </c>
      <c r="E13" s="3"/>
      <c r="F13" s="20"/>
      <c r="G13" s="3"/>
      <c r="H13" s="3">
        <f>--33674</f>
        <v>33674</v>
      </c>
      <c r="I13" s="3"/>
      <c r="J13" s="20"/>
      <c r="K13" s="3"/>
      <c r="L13" s="3">
        <f>+D13-H13</f>
        <v>-8607</v>
      </c>
      <c r="M13" s="3"/>
      <c r="N13" s="20">
        <f>IF(H13=0,0,L13/H13)</f>
        <v>-0.25559779058026966</v>
      </c>
      <c r="O13" s="12"/>
      <c r="P13" s="3">
        <f>--399472</f>
        <v>399472</v>
      </c>
      <c r="Q13" s="3"/>
      <c r="R13" s="20"/>
      <c r="S13" s="3"/>
      <c r="T13" s="3">
        <f>--477553</f>
        <v>477553</v>
      </c>
      <c r="U13" s="3"/>
      <c r="V13" s="20"/>
      <c r="W13" s="3"/>
      <c r="X13" s="3">
        <f>+P13-T13</f>
        <v>-78081</v>
      </c>
      <c r="Y13" s="3"/>
      <c r="Z13" s="20">
        <f>IF(T13=0,0,X13/T13)</f>
        <v>-0.16350227095212469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x14ac:dyDescent="0.3">
      <c r="A15" s="11"/>
      <c r="B15" s="27" t="s">
        <v>287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2" customFormat="1" ht="15" customHeight="1" x14ac:dyDescent="0.3">
      <c r="A17" s="11"/>
      <c r="B17" s="28" t="s">
        <v>288</v>
      </c>
      <c r="C17" s="28"/>
      <c r="D17" s="21">
        <f>D12-D15</f>
        <v>25067</v>
      </c>
      <c r="E17" s="15"/>
      <c r="F17" s="23">
        <f>IF(D$12=0,0,D17/D$12)</f>
        <v>1</v>
      </c>
      <c r="G17" s="15"/>
      <c r="H17" s="21">
        <f>H12-H15</f>
        <v>33674</v>
      </c>
      <c r="I17" s="15"/>
      <c r="J17" s="23">
        <f>IF(H$12=0,0,H17/H$12)</f>
        <v>1</v>
      </c>
      <c r="K17" s="16"/>
      <c r="L17" s="21">
        <f>+D17-H17</f>
        <v>-8607</v>
      </c>
      <c r="M17" s="16"/>
      <c r="N17" s="23">
        <f>IF(H17=0,0,L17/H17)</f>
        <v>-0.25559779058026966</v>
      </c>
      <c r="O17" s="27"/>
      <c r="P17" s="21">
        <f>P12-P15</f>
        <v>399472</v>
      </c>
      <c r="Q17" s="15"/>
      <c r="R17" s="23">
        <f>IF(P$12=0,0,P17/P$12)</f>
        <v>1</v>
      </c>
      <c r="S17" s="15"/>
      <c r="T17" s="21">
        <f>T12-T15</f>
        <v>477553</v>
      </c>
      <c r="U17" s="15"/>
      <c r="V17" s="23">
        <f>IF(T$12=0,0,T17/T$12)</f>
        <v>1</v>
      </c>
      <c r="W17" s="16"/>
      <c r="X17" s="21">
        <f>+P17-T17</f>
        <v>-78081</v>
      </c>
      <c r="Y17" s="16"/>
      <c r="Z17" s="23">
        <f>IF(T17=0,0,X17/T17)</f>
        <v>-0.16350227095212469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2" customFormat="1" ht="15" customHeight="1" x14ac:dyDescent="0.3">
      <c r="A19" s="11"/>
      <c r="B19" s="27" t="s">
        <v>289</v>
      </c>
      <c r="C19" s="11"/>
      <c r="D19" s="22" cm="1">
        <f t="array" ref="D19">SUM(OSRRefD22x_0)</f>
        <v>25275.95</v>
      </c>
      <c r="E19" s="22"/>
      <c r="F19" s="32">
        <f t="shared" ref="F19:F59" si="0">IF(D$12=0,0,D19/D$12)</f>
        <v>1.0083356604300475</v>
      </c>
      <c r="G19" s="22"/>
      <c r="H19" s="22" cm="1">
        <f t="array" ref="H19">SUM(OSRRefH22x_0)</f>
        <v>20096.279999999995</v>
      </c>
      <c r="I19" s="22"/>
      <c r="J19" s="32">
        <f t="shared" ref="J19:J59" si="1">IF(H$12=0,0,H19/H$12)</f>
        <v>0.59678921423056353</v>
      </c>
      <c r="K19" s="5"/>
      <c r="L19" s="22">
        <f t="shared" ref="L19:L59" si="2">+D19-H19</f>
        <v>5179.6700000000055</v>
      </c>
      <c r="M19" s="5"/>
      <c r="N19" s="32">
        <f t="shared" ref="N19:N59" si="3">IF(H19=0,0,L19/H19)</f>
        <v>0.25774272651455926</v>
      </c>
      <c r="O19" s="11"/>
      <c r="P19" s="22" cm="1">
        <f t="array" ref="P19">SUM(OSRRefP22x_0)</f>
        <v>366004.61</v>
      </c>
      <c r="Q19" s="22"/>
      <c r="R19" s="32">
        <f t="shared" ref="R19:R59" si="4">IF(P$12=0,0,P19/P$12)</f>
        <v>0.91622093663635995</v>
      </c>
      <c r="S19" s="22"/>
      <c r="T19" s="22" cm="1">
        <f t="array" ref="T19">SUM(OSRRefT22x_0)</f>
        <v>388233.3</v>
      </c>
      <c r="U19" s="22"/>
      <c r="V19" s="32">
        <f t="shared" ref="V19:V59" si="5">IF(T$12=0,0,T19/T$12)</f>
        <v>0.81296379668853502</v>
      </c>
      <c r="W19" s="5"/>
      <c r="X19" s="22">
        <f t="shared" ref="X19:X59" si="6">+P19-T19</f>
        <v>-22228.690000000002</v>
      </c>
      <c r="Y19" s="5"/>
      <c r="Z19" s="32">
        <f t="shared" ref="Z19:Z59" si="7">IF(T19=0,0,X19/T19)</f>
        <v>-5.7256010754358273E-2</v>
      </c>
    </row>
    <row r="20" spans="1:26" s="68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5219.9399999999987</v>
      </c>
      <c r="E20" s="2"/>
      <c r="F20" s="6">
        <f t="shared" si="0"/>
        <v>0.2082395180915147</v>
      </c>
      <c r="G20" s="2"/>
      <c r="H20" s="2">
        <f>SUM(OSRRefH22_0x_0)</f>
        <v>4442.8100000000004</v>
      </c>
      <c r="I20" s="2"/>
      <c r="J20" s="6">
        <f t="shared" si="1"/>
        <v>0.131935914949219</v>
      </c>
      <c r="K20" s="2"/>
      <c r="L20" s="2">
        <f t="shared" si="2"/>
        <v>777.12999999999829</v>
      </c>
      <c r="M20" s="2"/>
      <c r="N20" s="6">
        <f t="shared" si="3"/>
        <v>0.17491857630643629</v>
      </c>
      <c r="O20" s="14"/>
      <c r="P20" s="2">
        <f>SUM(OSRRefP22_0x_0)</f>
        <v>42342.96</v>
      </c>
      <c r="Q20" s="2"/>
      <c r="R20" s="6">
        <f t="shared" si="4"/>
        <v>0.1059973164577242</v>
      </c>
      <c r="S20" s="2"/>
      <c r="T20" s="2">
        <f>SUM(OSRRefT22_0x_0)</f>
        <v>42945.78</v>
      </c>
      <c r="U20" s="2"/>
      <c r="V20" s="6">
        <f t="shared" si="5"/>
        <v>8.9928824654017456E-2</v>
      </c>
      <c r="W20" s="2"/>
      <c r="X20" s="2">
        <f t="shared" si="6"/>
        <v>-602.81999999999971</v>
      </c>
      <c r="Y20" s="2"/>
      <c r="Z20" s="6">
        <f t="shared" si="7"/>
        <v>-1.4036769154035617E-2</v>
      </c>
    </row>
    <row r="21" spans="1:26" s="69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1347.61</v>
      </c>
      <c r="E21" s="3"/>
      <c r="F21" s="7">
        <f t="shared" si="0"/>
        <v>5.3760322336139144E-2</v>
      </c>
      <c r="G21" s="3"/>
      <c r="H21" s="8">
        <v>1265.6400000000001</v>
      </c>
      <c r="I21" s="3"/>
      <c r="J21" s="7">
        <f t="shared" si="1"/>
        <v>3.7585080477519753E-2</v>
      </c>
      <c r="K21" s="3"/>
      <c r="L21" s="8">
        <f t="shared" si="2"/>
        <v>81.9699999999998</v>
      </c>
      <c r="M21" s="3"/>
      <c r="N21" s="7">
        <f t="shared" si="3"/>
        <v>6.4765652160171772E-2</v>
      </c>
      <c r="O21" s="12"/>
      <c r="P21" s="8">
        <v>10522.56</v>
      </c>
      <c r="Q21" s="3"/>
      <c r="R21" s="7">
        <f t="shared" si="4"/>
        <v>2.6341170344855207E-2</v>
      </c>
      <c r="S21" s="3"/>
      <c r="T21" s="8">
        <v>10347.290000000001</v>
      </c>
      <c r="U21" s="3"/>
      <c r="V21" s="7">
        <f t="shared" si="5"/>
        <v>2.16673123192609E-2</v>
      </c>
      <c r="W21" s="3"/>
      <c r="X21" s="8">
        <f t="shared" si="6"/>
        <v>175.26999999999862</v>
      </c>
      <c r="Y21" s="3"/>
      <c r="Z21" s="7">
        <f t="shared" si="7"/>
        <v>1.6938734683187445E-2</v>
      </c>
    </row>
    <row r="22" spans="1:26" s="69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190.88</v>
      </c>
      <c r="E22" s="3"/>
      <c r="F22" s="7">
        <f t="shared" si="0"/>
        <v>7.6147923564846209E-3</v>
      </c>
      <c r="G22" s="3"/>
      <c r="H22" s="8">
        <v>14.14</v>
      </c>
      <c r="I22" s="3"/>
      <c r="J22" s="7">
        <f t="shared" si="1"/>
        <v>4.1990853477460359E-4</v>
      </c>
      <c r="K22" s="3"/>
      <c r="L22" s="8">
        <f t="shared" si="2"/>
        <v>176.74</v>
      </c>
      <c r="M22" s="3"/>
      <c r="N22" s="7">
        <f t="shared" si="3"/>
        <v>12.499292786421499</v>
      </c>
      <c r="O22" s="12"/>
      <c r="P22" s="8">
        <v>1698.32</v>
      </c>
      <c r="Q22" s="3"/>
      <c r="R22" s="7">
        <f t="shared" si="4"/>
        <v>4.2514118636600307E-3</v>
      </c>
      <c r="S22" s="3"/>
      <c r="T22" s="8">
        <v>782.22</v>
      </c>
      <c r="U22" s="3"/>
      <c r="V22" s="7">
        <f t="shared" si="5"/>
        <v>1.6379752613846002E-3</v>
      </c>
      <c r="W22" s="3"/>
      <c r="X22" s="8">
        <f t="shared" si="6"/>
        <v>916.09999999999991</v>
      </c>
      <c r="Y22" s="3"/>
      <c r="Z22" s="7">
        <f t="shared" si="7"/>
        <v>1.1711538953235661</v>
      </c>
    </row>
    <row r="23" spans="1:26" s="69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3.8484860573662585E-2</v>
      </c>
      <c r="G23" s="3"/>
      <c r="H23" s="8">
        <v>1207.95</v>
      </c>
      <c r="I23" s="3"/>
      <c r="J23" s="7">
        <f t="shared" si="1"/>
        <v>3.5871889291441472E-2</v>
      </c>
      <c r="K23" s="3"/>
      <c r="L23" s="8">
        <f t="shared" si="2"/>
        <v>-243.25</v>
      </c>
      <c r="M23" s="3"/>
      <c r="N23" s="7">
        <f t="shared" si="3"/>
        <v>-0.20137422906577257</v>
      </c>
      <c r="O23" s="12"/>
      <c r="P23" s="8">
        <v>10184.9</v>
      </c>
      <c r="Q23" s="3"/>
      <c r="R23" s="7">
        <f t="shared" si="4"/>
        <v>2.5495904594064162E-2</v>
      </c>
      <c r="S23" s="3"/>
      <c r="T23" s="8">
        <v>12234.8</v>
      </c>
      <c r="U23" s="3"/>
      <c r="V23" s="7">
        <f t="shared" si="5"/>
        <v>2.5619774140252495E-2</v>
      </c>
      <c r="W23" s="3"/>
      <c r="X23" s="8">
        <f t="shared" si="6"/>
        <v>-2049.8999999999996</v>
      </c>
      <c r="Y23" s="3"/>
      <c r="Z23" s="7">
        <f t="shared" si="7"/>
        <v>-0.16754667015398697</v>
      </c>
    </row>
    <row r="24" spans="1:26" s="69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37.200000000000003</v>
      </c>
      <c r="E24" s="3"/>
      <c r="F24" s="7">
        <f t="shared" si="0"/>
        <v>1.4840228188454942E-3</v>
      </c>
      <c r="G24" s="3"/>
      <c r="H24" s="8">
        <v>11.14</v>
      </c>
      <c r="I24" s="3"/>
      <c r="J24" s="7">
        <f t="shared" si="1"/>
        <v>3.3081902951832278E-4</v>
      </c>
      <c r="K24" s="3"/>
      <c r="L24" s="8">
        <f t="shared" si="2"/>
        <v>26.060000000000002</v>
      </c>
      <c r="M24" s="3"/>
      <c r="N24" s="7">
        <f t="shared" si="3"/>
        <v>2.3393177737881508</v>
      </c>
      <c r="O24" s="12"/>
      <c r="P24" s="8">
        <v>335.4</v>
      </c>
      <c r="Q24" s="3"/>
      <c r="R24" s="7">
        <f t="shared" si="4"/>
        <v>8.3960828293347216E-4</v>
      </c>
      <c r="S24" s="3"/>
      <c r="T24" s="8">
        <v>358.12</v>
      </c>
      <c r="U24" s="3"/>
      <c r="V24" s="7">
        <f t="shared" si="5"/>
        <v>7.4990629312348582E-4</v>
      </c>
      <c r="W24" s="3"/>
      <c r="X24" s="8">
        <f t="shared" si="6"/>
        <v>-22.720000000000027</v>
      </c>
      <c r="Y24" s="3"/>
      <c r="Z24" s="7">
        <f t="shared" si="7"/>
        <v>-6.3442421534681187E-2</v>
      </c>
    </row>
    <row r="25" spans="1:26" s="69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914.5</v>
      </c>
      <c r="E25" s="3"/>
      <c r="F25" s="7">
        <f t="shared" si="0"/>
        <v>3.6482227629951729E-2</v>
      </c>
      <c r="G25" s="3"/>
      <c r="H25" s="8">
        <v>640.35</v>
      </c>
      <c r="I25" s="3"/>
      <c r="J25" s="7">
        <f t="shared" si="1"/>
        <v>1.9016154896953141E-2</v>
      </c>
      <c r="K25" s="3"/>
      <c r="L25" s="8">
        <f t="shared" si="2"/>
        <v>274.14999999999998</v>
      </c>
      <c r="M25" s="3"/>
      <c r="N25" s="7">
        <f t="shared" si="3"/>
        <v>0.42812524400718355</v>
      </c>
      <c r="O25" s="12"/>
      <c r="P25" s="8">
        <v>6645.61</v>
      </c>
      <c r="Q25" s="3"/>
      <c r="R25" s="7">
        <f t="shared" si="4"/>
        <v>1.6635984499539392E-2</v>
      </c>
      <c r="S25" s="3"/>
      <c r="T25" s="8">
        <v>7701.28</v>
      </c>
      <c r="U25" s="3"/>
      <c r="V25" s="7">
        <f t="shared" si="5"/>
        <v>1.6126545116458276E-2</v>
      </c>
      <c r="W25" s="3"/>
      <c r="X25" s="8">
        <f t="shared" si="6"/>
        <v>-1055.67</v>
      </c>
      <c r="Y25" s="3"/>
      <c r="Z25" s="7">
        <f t="shared" si="7"/>
        <v>-0.13707721313859517</v>
      </c>
    </row>
    <row r="26" spans="1:26" s="69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60</v>
      </c>
      <c r="E26" s="3"/>
      <c r="F26" s="7">
        <f t="shared" si="0"/>
        <v>2.3935851916862807E-3</v>
      </c>
      <c r="G26" s="3"/>
      <c r="H26" s="8">
        <v>74.67</v>
      </c>
      <c r="I26" s="3"/>
      <c r="J26" s="7">
        <f t="shared" si="1"/>
        <v>2.2174377858288296E-3</v>
      </c>
      <c r="K26" s="3"/>
      <c r="L26" s="8">
        <f t="shared" si="2"/>
        <v>-14.670000000000002</v>
      </c>
      <c r="M26" s="3"/>
      <c r="N26" s="7">
        <f t="shared" si="3"/>
        <v>-0.19646444355162718</v>
      </c>
      <c r="O26" s="12"/>
      <c r="P26" s="8">
        <v>275.14999999999998</v>
      </c>
      <c r="Q26" s="3"/>
      <c r="R26" s="7">
        <f t="shared" si="4"/>
        <v>6.8878419513758156E-4</v>
      </c>
      <c r="S26" s="3"/>
      <c r="T26" s="8">
        <v>889.45</v>
      </c>
      <c r="U26" s="3"/>
      <c r="V26" s="7">
        <f t="shared" si="5"/>
        <v>1.8625157835884185E-3</v>
      </c>
      <c r="W26" s="3"/>
      <c r="X26" s="8">
        <f t="shared" si="6"/>
        <v>-614.30000000000007</v>
      </c>
      <c r="Y26" s="3"/>
      <c r="Z26" s="7">
        <f t="shared" si="7"/>
        <v>-0.69065152622407111</v>
      </c>
    </row>
    <row r="27" spans="1:26" s="69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925.81</v>
      </c>
      <c r="E27" s="3"/>
      <c r="F27" s="7">
        <f t="shared" si="0"/>
        <v>3.6933418438584588E-2</v>
      </c>
      <c r="G27" s="3"/>
      <c r="H27" s="8">
        <v>780.03</v>
      </c>
      <c r="I27" s="3"/>
      <c r="J27" s="7">
        <f t="shared" si="1"/>
        <v>2.3164162261685571E-2</v>
      </c>
      <c r="K27" s="3"/>
      <c r="L27" s="8">
        <f t="shared" si="2"/>
        <v>145.77999999999997</v>
      </c>
      <c r="M27" s="3"/>
      <c r="N27" s="7">
        <f t="shared" si="3"/>
        <v>0.1868902478109816</v>
      </c>
      <c r="O27" s="12"/>
      <c r="P27" s="8">
        <v>6826.85</v>
      </c>
      <c r="Q27" s="3"/>
      <c r="R27" s="7">
        <f t="shared" si="4"/>
        <v>1.7089683382064326E-2</v>
      </c>
      <c r="S27" s="3"/>
      <c r="T27" s="8">
        <v>5720.22</v>
      </c>
      <c r="U27" s="3"/>
      <c r="V27" s="7">
        <f t="shared" si="5"/>
        <v>1.1978188808362633E-2</v>
      </c>
      <c r="W27" s="3"/>
      <c r="X27" s="8">
        <f t="shared" si="6"/>
        <v>1106.6300000000001</v>
      </c>
      <c r="Y27" s="3"/>
      <c r="Z27" s="7">
        <f t="shared" si="7"/>
        <v>0.19345934247284197</v>
      </c>
    </row>
    <row r="28" spans="1:26" s="69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588.70000000000005</v>
      </c>
      <c r="E28" s="3"/>
      <c r="F28" s="7">
        <f t="shared" si="0"/>
        <v>2.3485060039095226E-2</v>
      </c>
      <c r="G28" s="3"/>
      <c r="H28" s="8">
        <v>448.89</v>
      </c>
      <c r="I28" s="3"/>
      <c r="J28" s="7">
        <f t="shared" si="1"/>
        <v>1.3330462671497297E-2</v>
      </c>
      <c r="K28" s="3"/>
      <c r="L28" s="8">
        <f t="shared" si="2"/>
        <v>139.81000000000006</v>
      </c>
      <c r="M28" s="3"/>
      <c r="N28" s="7">
        <f t="shared" si="3"/>
        <v>0.31145714985854012</v>
      </c>
      <c r="O28" s="12"/>
      <c r="P28" s="8">
        <v>5087.38</v>
      </c>
      <c r="Q28" s="3"/>
      <c r="R28" s="7">
        <f t="shared" si="4"/>
        <v>1.2735260543917971E-2</v>
      </c>
      <c r="S28" s="3"/>
      <c r="T28" s="8">
        <v>3291.87</v>
      </c>
      <c r="U28" s="3"/>
      <c r="V28" s="7">
        <f t="shared" si="5"/>
        <v>6.8932034768915702E-3</v>
      </c>
      <c r="W28" s="3"/>
      <c r="X28" s="8">
        <f t="shared" si="6"/>
        <v>1795.5100000000002</v>
      </c>
      <c r="Y28" s="3"/>
      <c r="Z28" s="7">
        <f t="shared" si="7"/>
        <v>0.54543769954463583</v>
      </c>
    </row>
    <row r="29" spans="1:26" s="69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190.54</v>
      </c>
      <c r="E29" s="3"/>
      <c r="F29" s="7">
        <f t="shared" si="0"/>
        <v>7.6012287070650652E-3</v>
      </c>
      <c r="G29" s="3"/>
      <c r="H29" s="8"/>
      <c r="I29" s="3"/>
      <c r="J29" s="7">
        <f t="shared" si="1"/>
        <v>0</v>
      </c>
      <c r="K29" s="3"/>
      <c r="L29" s="8">
        <f t="shared" si="2"/>
        <v>190.54</v>
      </c>
      <c r="M29" s="3"/>
      <c r="N29" s="7">
        <f t="shared" si="3"/>
        <v>0</v>
      </c>
      <c r="O29" s="12"/>
      <c r="P29" s="8">
        <v>766.79</v>
      </c>
      <c r="Q29" s="3"/>
      <c r="R29" s="7">
        <f t="shared" si="4"/>
        <v>1.9195087515520486E-3</v>
      </c>
      <c r="S29" s="3"/>
      <c r="T29" s="8">
        <v>1620.53</v>
      </c>
      <c r="U29" s="3"/>
      <c r="V29" s="7">
        <f t="shared" si="5"/>
        <v>3.3934034546950808E-3</v>
      </c>
      <c r="W29" s="3"/>
      <c r="X29" s="8">
        <f t="shared" si="6"/>
        <v>-853.74</v>
      </c>
      <c r="Y29" s="3"/>
      <c r="Z29" s="7">
        <f t="shared" si="7"/>
        <v>-0.52682764280821703</v>
      </c>
    </row>
    <row r="30" spans="1:26" s="68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18557.16</v>
      </c>
      <c r="E30" s="2"/>
      <c r="F30" s="6">
        <f t="shared" si="0"/>
        <v>0.74030238959588301</v>
      </c>
      <c r="G30" s="2"/>
      <c r="H30" s="2">
        <f>SUM(OSRRefH22_1x_0)</f>
        <v>12186.69</v>
      </c>
      <c r="I30" s="2"/>
      <c r="J30" s="6">
        <f t="shared" si="1"/>
        <v>0.3619020609372216</v>
      </c>
      <c r="K30" s="2"/>
      <c r="L30" s="2">
        <f t="shared" si="2"/>
        <v>6370.4699999999993</v>
      </c>
      <c r="M30" s="2"/>
      <c r="N30" s="6">
        <f t="shared" si="3"/>
        <v>0.5227399728720431</v>
      </c>
      <c r="O30" s="14"/>
      <c r="P30" s="2">
        <f>SUM(OSRRefP22_1x_0)</f>
        <v>147822.22999999998</v>
      </c>
      <c r="Q30" s="2"/>
      <c r="R30" s="6">
        <f t="shared" si="4"/>
        <v>0.37004403312372325</v>
      </c>
      <c r="S30" s="2"/>
      <c r="T30" s="2">
        <f>SUM(OSRRefT22_1x_0)</f>
        <v>140334.41</v>
      </c>
      <c r="U30" s="2"/>
      <c r="V30" s="6">
        <f t="shared" si="5"/>
        <v>0.29386143527524694</v>
      </c>
      <c r="W30" s="2"/>
      <c r="X30" s="2">
        <f t="shared" si="6"/>
        <v>7487.8199999999779</v>
      </c>
      <c r="Y30" s="2"/>
      <c r="Z30" s="6">
        <f t="shared" si="7"/>
        <v>5.3356977807509774E-2</v>
      </c>
    </row>
    <row r="31" spans="1:26" s="69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5589.48</v>
      </c>
      <c r="E31" s="3"/>
      <c r="F31" s="7">
        <f t="shared" si="0"/>
        <v>0.22298160928711053</v>
      </c>
      <c r="G31" s="3"/>
      <c r="H31" s="8">
        <v>4416.3900000000003</v>
      </c>
      <c r="I31" s="3"/>
      <c r="J31" s="7">
        <f t="shared" si="1"/>
        <v>0.13115133337292867</v>
      </c>
      <c r="K31" s="3"/>
      <c r="L31" s="8">
        <f t="shared" si="2"/>
        <v>1173.0899999999992</v>
      </c>
      <c r="M31" s="3"/>
      <c r="N31" s="7">
        <f t="shared" si="3"/>
        <v>0.26562192197699913</v>
      </c>
      <c r="O31" s="12"/>
      <c r="P31" s="8">
        <v>47666.58</v>
      </c>
      <c r="Q31" s="3"/>
      <c r="R31" s="7">
        <f t="shared" si="4"/>
        <v>0.11932395762406377</v>
      </c>
      <c r="S31" s="3"/>
      <c r="T31" s="8">
        <v>43739.44</v>
      </c>
      <c r="U31" s="3"/>
      <c r="V31" s="7">
        <f t="shared" si="5"/>
        <v>9.1590755371655092E-2</v>
      </c>
      <c r="W31" s="3"/>
      <c r="X31" s="8">
        <f t="shared" si="6"/>
        <v>3927.1399999999994</v>
      </c>
      <c r="Y31" s="3"/>
      <c r="Z31" s="7">
        <f t="shared" si="7"/>
        <v>8.978487150269869E-2</v>
      </c>
    </row>
    <row r="32" spans="1:26" s="69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>
        <v>2040</v>
      </c>
      <c r="E32" s="3"/>
      <c r="F32" s="7">
        <f t="shared" si="0"/>
        <v>8.1381896517333546E-2</v>
      </c>
      <c r="G32" s="3"/>
      <c r="H32" s="8">
        <v>2395.9899999999998</v>
      </c>
      <c r="I32" s="3"/>
      <c r="J32" s="7">
        <f t="shared" si="1"/>
        <v>7.1152521232998742E-2</v>
      </c>
      <c r="K32" s="3"/>
      <c r="L32" s="8">
        <f t="shared" si="2"/>
        <v>-355.98999999999978</v>
      </c>
      <c r="M32" s="3"/>
      <c r="N32" s="7">
        <f t="shared" si="3"/>
        <v>-0.14857741476383449</v>
      </c>
      <c r="O32" s="12"/>
      <c r="P32" s="8">
        <v>18624.57</v>
      </c>
      <c r="Q32" s="3"/>
      <c r="R32" s="7">
        <f t="shared" si="4"/>
        <v>4.6622967316858249E-2</v>
      </c>
      <c r="S32" s="3"/>
      <c r="T32" s="8">
        <v>23507.68</v>
      </c>
      <c r="U32" s="3"/>
      <c r="V32" s="7">
        <f t="shared" si="5"/>
        <v>4.9225279707173865E-2</v>
      </c>
      <c r="W32" s="3"/>
      <c r="X32" s="8">
        <f t="shared" si="6"/>
        <v>-4883.1100000000006</v>
      </c>
      <c r="Y32" s="3"/>
      <c r="Z32" s="7">
        <f t="shared" si="7"/>
        <v>-0.20772402891310415</v>
      </c>
    </row>
    <row r="33" spans="1:26" s="69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2481.75</v>
      </c>
      <c r="E33" s="3"/>
      <c r="F33" s="7">
        <f t="shared" si="0"/>
        <v>9.9004667491123785E-2</v>
      </c>
      <c r="G33" s="3"/>
      <c r="H33" s="8"/>
      <c r="I33" s="3"/>
      <c r="J33" s="7">
        <f t="shared" si="1"/>
        <v>0</v>
      </c>
      <c r="K33" s="3"/>
      <c r="L33" s="8">
        <f t="shared" si="2"/>
        <v>2481.75</v>
      </c>
      <c r="M33" s="3"/>
      <c r="N33" s="7">
        <f t="shared" si="3"/>
        <v>0</v>
      </c>
      <c r="O33" s="12"/>
      <c r="P33" s="8">
        <v>13322.22</v>
      </c>
      <c r="Q33" s="3"/>
      <c r="R33" s="7">
        <f t="shared" si="4"/>
        <v>3.3349571434293263E-2</v>
      </c>
      <c r="S33" s="3"/>
      <c r="T33" s="8"/>
      <c r="U33" s="3"/>
      <c r="V33" s="7">
        <f t="shared" si="5"/>
        <v>0</v>
      </c>
      <c r="W33" s="3"/>
      <c r="X33" s="8">
        <f t="shared" si="6"/>
        <v>13322.22</v>
      </c>
      <c r="Y33" s="3"/>
      <c r="Z33" s="7">
        <f t="shared" si="7"/>
        <v>0</v>
      </c>
    </row>
    <row r="34" spans="1:26" s="69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5524.33</v>
      </c>
      <c r="E34" s="3"/>
      <c r="F34" s="7">
        <f t="shared" si="0"/>
        <v>0.22038257469980452</v>
      </c>
      <c r="G34" s="3"/>
      <c r="H34" s="8">
        <v>6926.31</v>
      </c>
      <c r="I34" s="3"/>
      <c r="J34" s="7">
        <f t="shared" si="1"/>
        <v>0.20568717705054346</v>
      </c>
      <c r="K34" s="3"/>
      <c r="L34" s="8">
        <f t="shared" si="2"/>
        <v>-1401.9800000000005</v>
      </c>
      <c r="M34" s="3"/>
      <c r="N34" s="7">
        <f t="shared" si="3"/>
        <v>-0.20241369502664483</v>
      </c>
      <c r="O34" s="12"/>
      <c r="P34" s="8">
        <v>53895.56</v>
      </c>
      <c r="Q34" s="3"/>
      <c r="R34" s="7">
        <f t="shared" si="4"/>
        <v>0.1349169904273641</v>
      </c>
      <c r="S34" s="3"/>
      <c r="T34" s="8">
        <v>64897.63</v>
      </c>
      <c r="U34" s="3"/>
      <c r="V34" s="7">
        <f t="shared" si="5"/>
        <v>0.13589618325086431</v>
      </c>
      <c r="W34" s="3"/>
      <c r="X34" s="8">
        <f t="shared" si="6"/>
        <v>-11002.07</v>
      </c>
      <c r="Y34" s="3"/>
      <c r="Z34" s="7">
        <f t="shared" si="7"/>
        <v>-0.16952961148196014</v>
      </c>
    </row>
    <row r="35" spans="1:26" s="69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>
        <v>2921.6</v>
      </c>
      <c r="E35" s="3"/>
      <c r="F35" s="7">
        <f t="shared" si="0"/>
        <v>0.11655164160051062</v>
      </c>
      <c r="G35" s="3"/>
      <c r="H35" s="8">
        <v>-1552</v>
      </c>
      <c r="I35" s="3"/>
      <c r="J35" s="7">
        <f t="shared" si="1"/>
        <v>-4.6088970719249271E-2</v>
      </c>
      <c r="K35" s="3"/>
      <c r="L35" s="8">
        <f t="shared" si="2"/>
        <v>4473.6000000000004</v>
      </c>
      <c r="M35" s="3"/>
      <c r="N35" s="7">
        <f t="shared" si="3"/>
        <v>-2.8824742268041241</v>
      </c>
      <c r="O35" s="12"/>
      <c r="P35" s="8">
        <v>14149.08</v>
      </c>
      <c r="Q35" s="3"/>
      <c r="R35" s="7">
        <f t="shared" si="4"/>
        <v>3.5419453678856093E-2</v>
      </c>
      <c r="S35" s="3"/>
      <c r="T35" s="8">
        <v>4277.78</v>
      </c>
      <c r="U35" s="3"/>
      <c r="V35" s="7">
        <f t="shared" si="5"/>
        <v>8.9577073120679796E-3</v>
      </c>
      <c r="W35" s="3"/>
      <c r="X35" s="8">
        <f t="shared" si="6"/>
        <v>9871.2999999999993</v>
      </c>
      <c r="Y35" s="3"/>
      <c r="Z35" s="7">
        <f t="shared" si="7"/>
        <v>2.3075754246361431</v>
      </c>
    </row>
    <row r="36" spans="1:26" s="69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/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164.22</v>
      </c>
      <c r="Q36" s="3"/>
      <c r="R36" s="7">
        <f t="shared" si="4"/>
        <v>4.1109264228781994E-4</v>
      </c>
      <c r="S36" s="3"/>
      <c r="T36" s="8">
        <v>3911.88</v>
      </c>
      <c r="U36" s="3"/>
      <c r="V36" s="7">
        <f t="shared" si="5"/>
        <v>8.1915096334857079E-3</v>
      </c>
      <c r="W36" s="3"/>
      <c r="X36" s="8">
        <f t="shared" si="6"/>
        <v>-3747.6600000000003</v>
      </c>
      <c r="Y36" s="3"/>
      <c r="Z36" s="7">
        <f t="shared" si="7"/>
        <v>-0.95802018466824146</v>
      </c>
    </row>
    <row r="37" spans="1:26" s="68" customFormat="1" ht="15" customHeight="1" outlineLevel="1" collapsed="1" x14ac:dyDescent="0.3">
      <c r="A37" s="25"/>
      <c r="B37" s="14" t="str">
        <f>CONCATENATE("     ","Advertising/Promo                                 ")</f>
        <v xml:space="preserve">     Advertising/Promo                                 </v>
      </c>
      <c r="C37" s="14"/>
      <c r="D37" s="2">
        <f>SUM(OSRRefD22_2x_0)</f>
        <v>0</v>
      </c>
      <c r="E37" s="2"/>
      <c r="F37" s="6">
        <f t="shared" si="0"/>
        <v>0</v>
      </c>
      <c r="G37" s="2"/>
      <c r="H37" s="2">
        <f>SUM(OSRRefH22_2x_0)</f>
        <v>0</v>
      </c>
      <c r="I37" s="2"/>
      <c r="J37" s="6">
        <f t="shared" si="1"/>
        <v>0</v>
      </c>
      <c r="K37" s="2"/>
      <c r="L37" s="2">
        <f t="shared" si="2"/>
        <v>0</v>
      </c>
      <c r="M37" s="2"/>
      <c r="N37" s="6">
        <f t="shared" si="3"/>
        <v>0</v>
      </c>
      <c r="O37" s="14"/>
      <c r="P37" s="2">
        <f>SUM(OSRRefP22_2x_0)</f>
        <v>251.18</v>
      </c>
      <c r="Q37" s="2"/>
      <c r="R37" s="6">
        <f t="shared" si="4"/>
        <v>6.2877998958625386E-4</v>
      </c>
      <c r="S37" s="2"/>
      <c r="T37" s="2">
        <f>SUM(OSRRefT22_2x_0)</f>
        <v>0</v>
      </c>
      <c r="U37" s="2"/>
      <c r="V37" s="6">
        <f t="shared" si="5"/>
        <v>0</v>
      </c>
      <c r="W37" s="2"/>
      <c r="X37" s="2">
        <f t="shared" si="6"/>
        <v>251.18</v>
      </c>
      <c r="Y37" s="2"/>
      <c r="Z37" s="6">
        <f t="shared" si="7"/>
        <v>0</v>
      </c>
    </row>
    <row r="38" spans="1:26" s="69" customFormat="1" ht="15" hidden="1" customHeight="1" outlineLevel="2" x14ac:dyDescent="0.3">
      <c r="A38" s="26"/>
      <c r="B38" s="12" t="str">
        <f>CONCATENATE("          ","6362"," - ","ADVERTISING EXPENSE")</f>
        <v xml:space="preserve">          6362 - ADVERTISING EXPENSE</v>
      </c>
      <c r="C38" s="12"/>
      <c r="D38" s="8"/>
      <c r="E38" s="3"/>
      <c r="F38" s="7">
        <f t="shared" si="0"/>
        <v>0</v>
      </c>
      <c r="G38" s="3"/>
      <c r="H38" s="8"/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>
        <v>251.18</v>
      </c>
      <c r="Q38" s="3"/>
      <c r="R38" s="7">
        <f t="shared" si="4"/>
        <v>6.2877998958625386E-4</v>
      </c>
      <c r="S38" s="3"/>
      <c r="T38" s="8"/>
      <c r="U38" s="3"/>
      <c r="V38" s="7">
        <f t="shared" si="5"/>
        <v>0</v>
      </c>
      <c r="W38" s="3"/>
      <c r="X38" s="8">
        <f t="shared" si="6"/>
        <v>251.18</v>
      </c>
      <c r="Y38" s="3"/>
      <c r="Z38" s="7">
        <f t="shared" si="7"/>
        <v>0</v>
      </c>
    </row>
    <row r="39" spans="1:26" s="68" customFormat="1" ht="15" customHeight="1" outlineLevel="1" collapsed="1" x14ac:dyDescent="0.3">
      <c r="A39" s="25"/>
      <c r="B39" s="14" t="str">
        <f>CONCATENATE("     ","Bank/card Fees                                    ")</f>
        <v xml:space="preserve">     Bank/card Fees                                    </v>
      </c>
      <c r="C39" s="14"/>
      <c r="D39" s="2">
        <f>SUM(OSRRefD22_3x_0)</f>
        <v>579.9</v>
      </c>
      <c r="E39" s="2"/>
      <c r="F39" s="6">
        <f t="shared" si="0"/>
        <v>2.3134000877647904E-2</v>
      </c>
      <c r="G39" s="2"/>
      <c r="H39" s="2">
        <f>SUM(OSRRefH22_3x_0)</f>
        <v>50.67</v>
      </c>
      <c r="I39" s="2"/>
      <c r="J39" s="6">
        <f t="shared" si="1"/>
        <v>1.5047217437785829E-3</v>
      </c>
      <c r="K39" s="2"/>
      <c r="L39" s="2">
        <f t="shared" si="2"/>
        <v>529.23</v>
      </c>
      <c r="M39" s="2"/>
      <c r="N39" s="6">
        <f t="shared" si="3"/>
        <v>10.444641799881587</v>
      </c>
      <c r="O39" s="14"/>
      <c r="P39" s="2">
        <f>SUM(OSRRefP22_3x_0)</f>
        <v>4014.13</v>
      </c>
      <c r="Q39" s="2"/>
      <c r="R39" s="6">
        <f t="shared" si="4"/>
        <v>1.0048589137661714E-2</v>
      </c>
      <c r="S39" s="2"/>
      <c r="T39" s="2">
        <f>SUM(OSRRefT22_3x_0)</f>
        <v>803.94</v>
      </c>
      <c r="U39" s="2"/>
      <c r="V39" s="6">
        <f t="shared" si="5"/>
        <v>1.683457124130725E-3</v>
      </c>
      <c r="W39" s="2"/>
      <c r="X39" s="2">
        <f t="shared" si="6"/>
        <v>3210.19</v>
      </c>
      <c r="Y39" s="2"/>
      <c r="Z39" s="6">
        <f t="shared" si="7"/>
        <v>3.9930716222603673</v>
      </c>
    </row>
    <row r="40" spans="1:26" s="69" customFormat="1" ht="15" hidden="1" customHeight="1" outlineLevel="2" x14ac:dyDescent="0.3">
      <c r="A40" s="26"/>
      <c r="B40" s="12" t="str">
        <f>CONCATENATE("          ","6381"," - ","BANK/CREDIT CARD FEES")</f>
        <v xml:space="preserve">          6381 - BANK/CREDIT CARD FEES</v>
      </c>
      <c r="C40" s="12"/>
      <c r="D40" s="8">
        <v>579.9</v>
      </c>
      <c r="E40" s="3"/>
      <c r="F40" s="7">
        <f t="shared" si="0"/>
        <v>2.3134000877647904E-2</v>
      </c>
      <c r="G40" s="3"/>
      <c r="H40" s="8">
        <v>50.67</v>
      </c>
      <c r="I40" s="3"/>
      <c r="J40" s="7">
        <f t="shared" si="1"/>
        <v>1.5047217437785829E-3</v>
      </c>
      <c r="K40" s="3"/>
      <c r="L40" s="8">
        <f t="shared" si="2"/>
        <v>529.23</v>
      </c>
      <c r="M40" s="3"/>
      <c r="N40" s="7">
        <f t="shared" si="3"/>
        <v>10.444641799881587</v>
      </c>
      <c r="O40" s="12"/>
      <c r="P40" s="8">
        <v>4014.13</v>
      </c>
      <c r="Q40" s="3"/>
      <c r="R40" s="7">
        <f t="shared" si="4"/>
        <v>1.0048589137661714E-2</v>
      </c>
      <c r="S40" s="3"/>
      <c r="T40" s="8">
        <v>803.94</v>
      </c>
      <c r="U40" s="3"/>
      <c r="V40" s="7">
        <f t="shared" si="5"/>
        <v>1.683457124130725E-3</v>
      </c>
      <c r="W40" s="3"/>
      <c r="X40" s="8">
        <f t="shared" si="6"/>
        <v>3210.19</v>
      </c>
      <c r="Y40" s="3"/>
      <c r="Z40" s="7">
        <f t="shared" si="7"/>
        <v>3.9930716222603673</v>
      </c>
    </row>
    <row r="41" spans="1:26" s="68" customFormat="1" ht="15" customHeight="1" outlineLevel="1" collapsed="1" x14ac:dyDescent="0.3">
      <c r="A41" s="25"/>
      <c r="B41" s="14" t="str">
        <f>CONCATENATE("     ","Freight out/Postage                               ")</f>
        <v xml:space="preserve">     Freight out/Postage                               </v>
      </c>
      <c r="C41" s="14"/>
      <c r="D41" s="2">
        <f>SUM(OSRRefD22_4x_0)</f>
        <v>0</v>
      </c>
      <c r="E41" s="2"/>
      <c r="F41" s="6">
        <f t="shared" si="0"/>
        <v>0</v>
      </c>
      <c r="G41" s="2"/>
      <c r="H41" s="2">
        <f>SUM(OSRRefH22_4x_0)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SUM(OSRRefP22_4x_0)</f>
        <v>0.62</v>
      </c>
      <c r="Q41" s="2"/>
      <c r="R41" s="6">
        <f t="shared" si="4"/>
        <v>1.5520487042896624E-6</v>
      </c>
      <c r="S41" s="2"/>
      <c r="T41" s="2">
        <f>SUM(OSRRefT22_4x_0)</f>
        <v>2.12</v>
      </c>
      <c r="U41" s="2"/>
      <c r="V41" s="6">
        <f t="shared" si="5"/>
        <v>4.4392978370987095E-6</v>
      </c>
      <c r="W41" s="2"/>
      <c r="X41" s="2">
        <f t="shared" si="6"/>
        <v>-1.5</v>
      </c>
      <c r="Y41" s="2"/>
      <c r="Z41" s="6">
        <f t="shared" si="7"/>
        <v>-0.70754716981132071</v>
      </c>
    </row>
    <row r="42" spans="1:26" s="69" customFormat="1" ht="15" hidden="1" customHeight="1" outlineLevel="2" x14ac:dyDescent="0.3">
      <c r="A42" s="26"/>
      <c r="B42" s="12" t="str">
        <f>CONCATENATE("          ","6305"," - ","FREIGHT OUT")</f>
        <v xml:space="preserve">          6305 - FREIGHT OUT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0.62</v>
      </c>
      <c r="Q42" s="3"/>
      <c r="R42" s="7">
        <f t="shared" si="4"/>
        <v>1.5520487042896624E-6</v>
      </c>
      <c r="S42" s="3"/>
      <c r="T42" s="8">
        <v>1.62</v>
      </c>
      <c r="U42" s="3"/>
      <c r="V42" s="7">
        <f t="shared" si="5"/>
        <v>3.3922936302358064E-6</v>
      </c>
      <c r="W42" s="3"/>
      <c r="X42" s="8">
        <f t="shared" si="6"/>
        <v>-1</v>
      </c>
      <c r="Y42" s="3"/>
      <c r="Z42" s="7">
        <f t="shared" si="7"/>
        <v>-0.61728395061728392</v>
      </c>
    </row>
    <row r="43" spans="1:26" s="69" customFormat="1" ht="15" hidden="1" customHeight="1" outlineLevel="2" x14ac:dyDescent="0.3">
      <c r="A43" s="26"/>
      <c r="B43" s="12" t="str">
        <f>CONCATENATE("          ","6307"," - ","POSTAGE")</f>
        <v xml:space="preserve">          6307 - POSTAGE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0.5</v>
      </c>
      <c r="U43" s="3"/>
      <c r="V43" s="7">
        <f t="shared" si="5"/>
        <v>1.0470042068629033E-6</v>
      </c>
      <c r="W43" s="3"/>
      <c r="X43" s="8">
        <f t="shared" si="6"/>
        <v>-0.5</v>
      </c>
      <c r="Y43" s="3"/>
      <c r="Z43" s="7">
        <f t="shared" si="7"/>
        <v>-1</v>
      </c>
    </row>
    <row r="44" spans="1:26" s="68" customFormat="1" ht="15" customHeight="1" outlineLevel="1" collapsed="1" x14ac:dyDescent="0.3">
      <c r="A44" s="25"/>
      <c r="B44" s="14" t="str">
        <f>CONCATENATE("     ","Insurance                                         ")</f>
        <v xml:space="preserve">     Insurance                                         </v>
      </c>
      <c r="C44" s="14"/>
      <c r="D44" s="2">
        <f>SUM(OSRRefD22_5x_0)</f>
        <v>39.43</v>
      </c>
      <c r="E44" s="2"/>
      <c r="F44" s="6">
        <f t="shared" si="0"/>
        <v>1.5729844018031675E-3</v>
      </c>
      <c r="G44" s="2"/>
      <c r="H44" s="2">
        <f>SUM(OSRRefH22_5x_0)</f>
        <v>29.01</v>
      </c>
      <c r="I44" s="2"/>
      <c r="J44" s="6">
        <f t="shared" si="1"/>
        <v>8.6149551582823548E-4</v>
      </c>
      <c r="K44" s="2"/>
      <c r="L44" s="2">
        <f t="shared" si="2"/>
        <v>10.419999999999998</v>
      </c>
      <c r="M44" s="2"/>
      <c r="N44" s="6">
        <f t="shared" si="3"/>
        <v>0.35918648741813158</v>
      </c>
      <c r="O44" s="14"/>
      <c r="P44" s="2">
        <f>SUM(OSRRefP22_5x_0)</f>
        <v>394.3</v>
      </c>
      <c r="Q44" s="2"/>
      <c r="R44" s="6">
        <f t="shared" si="4"/>
        <v>9.8705290984099007E-4</v>
      </c>
      <c r="S44" s="2"/>
      <c r="T44" s="2">
        <f>SUM(OSRRefT22_5x_0)</f>
        <v>290.10000000000002</v>
      </c>
      <c r="U44" s="2"/>
      <c r="V44" s="6">
        <f t="shared" si="5"/>
        <v>6.0747184082185642E-4</v>
      </c>
      <c r="W44" s="2"/>
      <c r="X44" s="2">
        <f t="shared" si="6"/>
        <v>104.19999999999999</v>
      </c>
      <c r="Y44" s="2"/>
      <c r="Z44" s="6">
        <f t="shared" si="7"/>
        <v>0.35918648741813158</v>
      </c>
    </row>
    <row r="45" spans="1:26" s="69" customFormat="1" ht="15" hidden="1" customHeight="1" outlineLevel="2" x14ac:dyDescent="0.3">
      <c r="A45" s="26"/>
      <c r="B45" s="12" t="str">
        <f>CONCATENATE("          ","6314"," - ","LIABILITY INSURANCE")</f>
        <v xml:space="preserve">          6314 - LIABILITY INSURANCE</v>
      </c>
      <c r="C45" s="12"/>
      <c r="D45" s="8">
        <v>39.43</v>
      </c>
      <c r="E45" s="3"/>
      <c r="F45" s="7">
        <f t="shared" si="0"/>
        <v>1.5729844018031675E-3</v>
      </c>
      <c r="G45" s="3"/>
      <c r="H45" s="8">
        <v>29.01</v>
      </c>
      <c r="I45" s="3"/>
      <c r="J45" s="7">
        <f t="shared" si="1"/>
        <v>8.6149551582823548E-4</v>
      </c>
      <c r="K45" s="3"/>
      <c r="L45" s="8">
        <f t="shared" si="2"/>
        <v>10.419999999999998</v>
      </c>
      <c r="M45" s="3"/>
      <c r="N45" s="7">
        <f t="shared" si="3"/>
        <v>0.35918648741813158</v>
      </c>
      <c r="O45" s="12"/>
      <c r="P45" s="8">
        <v>394.3</v>
      </c>
      <c r="Q45" s="3"/>
      <c r="R45" s="7">
        <f t="shared" si="4"/>
        <v>9.8705290984099007E-4</v>
      </c>
      <c r="S45" s="3"/>
      <c r="T45" s="8">
        <v>290.10000000000002</v>
      </c>
      <c r="U45" s="3"/>
      <c r="V45" s="7">
        <f t="shared" si="5"/>
        <v>6.0747184082185642E-4</v>
      </c>
      <c r="W45" s="3"/>
      <c r="X45" s="8">
        <f t="shared" si="6"/>
        <v>104.19999999999999</v>
      </c>
      <c r="Y45" s="3"/>
      <c r="Z45" s="7">
        <f t="shared" si="7"/>
        <v>0.35918648741813158</v>
      </c>
    </row>
    <row r="46" spans="1:26" s="68" customFormat="1" ht="15" customHeight="1" outlineLevel="1" collapsed="1" x14ac:dyDescent="0.3">
      <c r="A46" s="25"/>
      <c r="B46" s="14" t="str">
        <f>CONCATENATE("     ","Rent                                              ")</f>
        <v xml:space="preserve">     Rent                                              </v>
      </c>
      <c r="C46" s="14"/>
      <c r="D46" s="2">
        <f>SUM(OSRRefD22_6x_0)</f>
        <v>800</v>
      </c>
      <c r="E46" s="2"/>
      <c r="F46" s="6">
        <f t="shared" si="0"/>
        <v>3.1914469222483741E-2</v>
      </c>
      <c r="G46" s="2"/>
      <c r="H46" s="2">
        <f>SUM(OSRRefH22_6x_0)</f>
        <v>800</v>
      </c>
      <c r="I46" s="2"/>
      <c r="J46" s="6">
        <f t="shared" si="1"/>
        <v>2.3757201401674883E-2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SUM(OSRRefP22_6x_0)</f>
        <v>8000</v>
      </c>
      <c r="Q46" s="2"/>
      <c r="R46" s="6">
        <f t="shared" si="4"/>
        <v>2.0026434894060158E-2</v>
      </c>
      <c r="S46" s="2"/>
      <c r="T46" s="2">
        <f>SUM(OSRRefT22_6x_0)</f>
        <v>8000</v>
      </c>
      <c r="U46" s="2"/>
      <c r="V46" s="6">
        <f t="shared" si="5"/>
        <v>1.675206730980645E-2</v>
      </c>
      <c r="W46" s="2"/>
      <c r="X46" s="2">
        <f t="shared" si="6"/>
        <v>0</v>
      </c>
      <c r="Y46" s="2"/>
      <c r="Z46" s="6">
        <f t="shared" si="7"/>
        <v>0</v>
      </c>
    </row>
    <row r="47" spans="1:26" s="69" customFormat="1" ht="15" hidden="1" customHeight="1" outlineLevel="2" x14ac:dyDescent="0.3">
      <c r="A47" s="26"/>
      <c r="B47" s="12" t="str">
        <f>CONCATENATE("          ","6273"," - ","RENT")</f>
        <v xml:space="preserve">          6273 - RENT</v>
      </c>
      <c r="C47" s="12"/>
      <c r="D47" s="8">
        <v>800</v>
      </c>
      <c r="E47" s="3"/>
      <c r="F47" s="7">
        <f t="shared" si="0"/>
        <v>3.1914469222483741E-2</v>
      </c>
      <c r="G47" s="3"/>
      <c r="H47" s="8">
        <v>800</v>
      </c>
      <c r="I47" s="3"/>
      <c r="J47" s="7">
        <f t="shared" si="1"/>
        <v>2.3757201401674883E-2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8000</v>
      </c>
      <c r="Q47" s="3"/>
      <c r="R47" s="7">
        <f t="shared" si="4"/>
        <v>2.0026434894060158E-2</v>
      </c>
      <c r="S47" s="3"/>
      <c r="T47" s="8">
        <v>8000</v>
      </c>
      <c r="U47" s="3"/>
      <c r="V47" s="7">
        <f t="shared" si="5"/>
        <v>1.675206730980645E-2</v>
      </c>
      <c r="W47" s="3"/>
      <c r="X47" s="8">
        <f t="shared" si="6"/>
        <v>0</v>
      </c>
      <c r="Y47" s="3"/>
      <c r="Z47" s="7">
        <f t="shared" si="7"/>
        <v>0</v>
      </c>
    </row>
    <row r="48" spans="1:26" s="68" customFormat="1" ht="15" customHeight="1" outlineLevel="1" collapsed="1" x14ac:dyDescent="0.3">
      <c r="A48" s="25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SUM(OSRRefD22_7x_0)</f>
        <v>0</v>
      </c>
      <c r="E48" s="2"/>
      <c r="F48" s="6">
        <f t="shared" si="0"/>
        <v>0</v>
      </c>
      <c r="G48" s="2"/>
      <c r="H48" s="2">
        <f>SUM(OSRRefH22_7x_0)</f>
        <v>0</v>
      </c>
      <c r="I48" s="2"/>
      <c r="J48" s="6">
        <f t="shared" si="1"/>
        <v>0</v>
      </c>
      <c r="K48" s="2"/>
      <c r="L48" s="2">
        <f t="shared" si="2"/>
        <v>0</v>
      </c>
      <c r="M48" s="2"/>
      <c r="N48" s="6">
        <f t="shared" si="3"/>
        <v>0</v>
      </c>
      <c r="O48" s="14"/>
      <c r="P48" s="2">
        <f>SUM(OSRRefP22_7x_0)</f>
        <v>131139.97</v>
      </c>
      <c r="Q48" s="2"/>
      <c r="R48" s="6">
        <f t="shared" si="4"/>
        <v>0.32828325890175031</v>
      </c>
      <c r="S48" s="2"/>
      <c r="T48" s="2">
        <f>SUM(OSRRefT22_7x_0)</f>
        <v>149496.13</v>
      </c>
      <c r="U48" s="2"/>
      <c r="V48" s="6">
        <f t="shared" si="5"/>
        <v>0.31304615403944697</v>
      </c>
      <c r="W48" s="2"/>
      <c r="X48" s="2">
        <f t="shared" si="6"/>
        <v>-18356.160000000003</v>
      </c>
      <c r="Y48" s="2"/>
      <c r="Z48" s="6">
        <f t="shared" si="7"/>
        <v>-0.12278685742567384</v>
      </c>
    </row>
    <row r="49" spans="1:26" s="69" customFormat="1" ht="15" hidden="1" customHeight="1" outlineLevel="2" x14ac:dyDescent="0.3">
      <c r="A49" s="26"/>
      <c r="B49" s="12" t="str">
        <f>CONCATENATE("          ","6371"," - ","COMPUTER SOFTWARE MAINTENANCE")</f>
        <v xml:space="preserve">          6371 - COMPUTER SOFTWARE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7583.7</v>
      </c>
      <c r="Q49" s="3"/>
      <c r="R49" s="7">
        <f t="shared" si="4"/>
        <v>1.8984309288260504E-2</v>
      </c>
      <c r="S49" s="3"/>
      <c r="T49" s="8"/>
      <c r="U49" s="3"/>
      <c r="V49" s="7">
        <f t="shared" si="5"/>
        <v>0</v>
      </c>
      <c r="W49" s="3"/>
      <c r="X49" s="8">
        <f t="shared" si="6"/>
        <v>7583.7</v>
      </c>
      <c r="Y49" s="3"/>
      <c r="Z49" s="7">
        <f t="shared" si="7"/>
        <v>0</v>
      </c>
    </row>
    <row r="50" spans="1:26" s="69" customFormat="1" ht="15" hidden="1" customHeight="1" outlineLevel="2" x14ac:dyDescent="0.3">
      <c r="A50" s="26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1555.65</v>
      </c>
      <c r="Q50" s="3"/>
      <c r="R50" s="7">
        <f t="shared" si="4"/>
        <v>3.8942654303680863E-3</v>
      </c>
      <c r="S50" s="3"/>
      <c r="T50" s="8"/>
      <c r="U50" s="3"/>
      <c r="V50" s="7">
        <f t="shared" si="5"/>
        <v>0</v>
      </c>
      <c r="W50" s="3"/>
      <c r="X50" s="8">
        <f t="shared" si="6"/>
        <v>1555.65</v>
      </c>
      <c r="Y50" s="3"/>
      <c r="Z50" s="7">
        <f t="shared" si="7"/>
        <v>0</v>
      </c>
    </row>
    <row r="51" spans="1:26" s="69" customFormat="1" ht="15" hidden="1" customHeight="1" outlineLevel="2" x14ac:dyDescent="0.3">
      <c r="A51" s="26"/>
      <c r="B51" s="12" t="str">
        <f>CONCATENATE("          ","6373"," - ","MAINTENANCE CONTRACTS")</f>
        <v xml:space="preserve">          6373 - MAINTENANCE CONTRACTS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122000.62</v>
      </c>
      <c r="Q51" s="3"/>
      <c r="R51" s="7">
        <f t="shared" si="4"/>
        <v>0.30540468418312172</v>
      </c>
      <c r="S51" s="3"/>
      <c r="T51" s="8">
        <v>142934.13</v>
      </c>
      <c r="U51" s="3"/>
      <c r="V51" s="7">
        <f t="shared" si="5"/>
        <v>0.29930527082857822</v>
      </c>
      <c r="W51" s="3"/>
      <c r="X51" s="8">
        <f t="shared" si="6"/>
        <v>-20933.510000000009</v>
      </c>
      <c r="Y51" s="3"/>
      <c r="Z51" s="7">
        <f t="shared" si="7"/>
        <v>-0.14645564358911345</v>
      </c>
    </row>
    <row r="52" spans="1:26" s="69" customFormat="1" ht="15" hidden="1" customHeight="1" outlineLevel="2" x14ac:dyDescent="0.3">
      <c r="A52" s="26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6562</v>
      </c>
      <c r="U52" s="3"/>
      <c r="V52" s="7">
        <f t="shared" si="5"/>
        <v>1.3740883210868741E-2</v>
      </c>
      <c r="W52" s="3"/>
      <c r="X52" s="8">
        <f t="shared" si="6"/>
        <v>-6562</v>
      </c>
      <c r="Y52" s="3"/>
      <c r="Z52" s="7">
        <f t="shared" si="7"/>
        <v>-1</v>
      </c>
    </row>
    <row r="53" spans="1:26" s="68" customFormat="1" ht="15" customHeight="1" outlineLevel="1" collapsed="1" x14ac:dyDescent="0.3">
      <c r="A53" s="25"/>
      <c r="B53" s="14" t="str">
        <f>CONCATENATE("     ","Supplies                                          ")</f>
        <v xml:space="preserve">     Supplies                                          </v>
      </c>
      <c r="C53" s="14"/>
      <c r="D53" s="2">
        <f>SUM(OSRRefD22_8x_0)</f>
        <v>23.08</v>
      </c>
      <c r="E53" s="2"/>
      <c r="F53" s="6">
        <f t="shared" si="0"/>
        <v>9.2073243706865596E-4</v>
      </c>
      <c r="G53" s="2"/>
      <c r="H53" s="2">
        <f>SUM(OSRRefH22_8x_0)</f>
        <v>2500</v>
      </c>
      <c r="I53" s="2"/>
      <c r="J53" s="6">
        <f t="shared" si="1"/>
        <v>7.4241254380234004E-2</v>
      </c>
      <c r="K53" s="2"/>
      <c r="L53" s="2">
        <f t="shared" si="2"/>
        <v>-2476.92</v>
      </c>
      <c r="M53" s="2"/>
      <c r="N53" s="6">
        <f t="shared" si="3"/>
        <v>-0.99076799999999998</v>
      </c>
      <c r="O53" s="14"/>
      <c r="P53" s="2">
        <f>SUM(OSRRefP22_8x_0)</f>
        <v>29615.53</v>
      </c>
      <c r="Q53" s="2"/>
      <c r="R53" s="6">
        <f t="shared" si="4"/>
        <v>7.4136685424760679E-2</v>
      </c>
      <c r="S53" s="2"/>
      <c r="T53" s="2">
        <f>SUM(OSRRefT22_8x_0)</f>
        <v>44561.89</v>
      </c>
      <c r="U53" s="2"/>
      <c r="V53" s="6">
        <f t="shared" si="5"/>
        <v>9.3312972591523866E-2</v>
      </c>
      <c r="W53" s="2"/>
      <c r="X53" s="2">
        <f t="shared" si="6"/>
        <v>-14946.36</v>
      </c>
      <c r="Y53" s="2"/>
      <c r="Z53" s="6">
        <f t="shared" si="7"/>
        <v>-0.33540677920079243</v>
      </c>
    </row>
    <row r="54" spans="1:26" s="69" customFormat="1" ht="15" hidden="1" customHeight="1" outlineLevel="2" x14ac:dyDescent="0.3">
      <c r="A54" s="26"/>
      <c r="B54" s="12" t="str">
        <f>CONCATENATE("          ","6241"," - ","OFFICE EXPENSE")</f>
        <v xml:space="preserve">          6241 - OFFICE EXPENSE</v>
      </c>
      <c r="C54" s="12"/>
      <c r="D54" s="8">
        <v>23.08</v>
      </c>
      <c r="E54" s="3"/>
      <c r="F54" s="7">
        <f t="shared" si="0"/>
        <v>9.2073243706865596E-4</v>
      </c>
      <c r="G54" s="3"/>
      <c r="H54" s="8">
        <v>2500</v>
      </c>
      <c r="I54" s="3"/>
      <c r="J54" s="7">
        <f t="shared" si="1"/>
        <v>7.4241254380234004E-2</v>
      </c>
      <c r="K54" s="3"/>
      <c r="L54" s="8">
        <f t="shared" si="2"/>
        <v>-2476.92</v>
      </c>
      <c r="M54" s="3"/>
      <c r="N54" s="7">
        <f t="shared" si="3"/>
        <v>-0.99076799999999998</v>
      </c>
      <c r="O54" s="12"/>
      <c r="P54" s="8">
        <v>29590.18</v>
      </c>
      <c r="Q54" s="3"/>
      <c r="R54" s="7">
        <f t="shared" si="4"/>
        <v>7.4073226659190125E-2</v>
      </c>
      <c r="S54" s="3"/>
      <c r="T54" s="8">
        <v>44561.89</v>
      </c>
      <c r="U54" s="3"/>
      <c r="V54" s="7">
        <f t="shared" si="5"/>
        <v>9.3312972591523866E-2</v>
      </c>
      <c r="W54" s="3"/>
      <c r="X54" s="8">
        <f t="shared" si="6"/>
        <v>-14971.71</v>
      </c>
      <c r="Y54" s="3"/>
      <c r="Z54" s="7">
        <f t="shared" si="7"/>
        <v>-0.33597565094299187</v>
      </c>
    </row>
    <row r="55" spans="1:26" s="69" customFormat="1" ht="15" hidden="1" customHeight="1" outlineLevel="2" x14ac:dyDescent="0.3">
      <c r="A55" s="26"/>
      <c r="B55" s="12" t="str">
        <f>CONCATENATE("          ","6247"," - ","STORE SUPPLIES")</f>
        <v xml:space="preserve">          6247 - STORE SUPPLIES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25.35</v>
      </c>
      <c r="Q55" s="3"/>
      <c r="R55" s="7">
        <f t="shared" si="4"/>
        <v>6.3458765570553134E-5</v>
      </c>
      <c r="S55" s="3"/>
      <c r="T55" s="8"/>
      <c r="U55" s="3"/>
      <c r="V55" s="7">
        <f t="shared" si="5"/>
        <v>0</v>
      </c>
      <c r="W55" s="3"/>
      <c r="X55" s="8">
        <f t="shared" si="6"/>
        <v>25.35</v>
      </c>
      <c r="Y55" s="3"/>
      <c r="Z55" s="7">
        <f t="shared" si="7"/>
        <v>0</v>
      </c>
    </row>
    <row r="56" spans="1:26" s="68" customFormat="1" ht="15" customHeight="1" outlineLevel="1" collapsed="1" x14ac:dyDescent="0.3">
      <c r="A56" s="25"/>
      <c r="B56" s="14" t="str">
        <f>CONCATENATE("     ","Telephone/Data Lines                              ")</f>
        <v xml:space="preserve">     Telephone/Data Lines                              </v>
      </c>
      <c r="C56" s="14"/>
      <c r="D56" s="2">
        <f>SUM(OSRRefD22_9x_0)</f>
        <v>56.44</v>
      </c>
      <c r="E56" s="2"/>
      <c r="F56" s="6">
        <f t="shared" si="0"/>
        <v>2.2515658036462282E-3</v>
      </c>
      <c r="G56" s="2"/>
      <c r="H56" s="2">
        <f>SUM(OSRRefH22_9x_0)</f>
        <v>87.1</v>
      </c>
      <c r="I56" s="2"/>
      <c r="J56" s="6">
        <f t="shared" si="1"/>
        <v>2.5865653026073527E-3</v>
      </c>
      <c r="K56" s="2"/>
      <c r="L56" s="2">
        <f t="shared" si="2"/>
        <v>-30.659999999999997</v>
      </c>
      <c r="M56" s="2"/>
      <c r="N56" s="6">
        <f t="shared" si="3"/>
        <v>-0.35200918484500571</v>
      </c>
      <c r="O56" s="14"/>
      <c r="P56" s="2">
        <f>SUM(OSRRefP22_9x_0)</f>
        <v>423.69</v>
      </c>
      <c r="Q56" s="2"/>
      <c r="R56" s="6">
        <f t="shared" si="4"/>
        <v>1.0606250250330437E-3</v>
      </c>
      <c r="S56" s="2"/>
      <c r="T56" s="2">
        <f>SUM(OSRRefT22_9x_0)</f>
        <v>1798.93</v>
      </c>
      <c r="U56" s="2"/>
      <c r="V56" s="6">
        <f t="shared" si="5"/>
        <v>3.7669745557037649E-3</v>
      </c>
      <c r="W56" s="2"/>
      <c r="X56" s="2">
        <f t="shared" si="6"/>
        <v>-1375.24</v>
      </c>
      <c r="Y56" s="2"/>
      <c r="Z56" s="6">
        <f t="shared" si="7"/>
        <v>-0.76447666112633617</v>
      </c>
    </row>
    <row r="57" spans="1:26" s="69" customFormat="1" ht="15" hidden="1" customHeight="1" outlineLevel="2" x14ac:dyDescent="0.3">
      <c r="A57" s="26"/>
      <c r="B57" s="12" t="str">
        <f>CONCATENATE("          ","6309"," - ","TELEPHONE")</f>
        <v xml:space="preserve">          6309 - TELEPHONE</v>
      </c>
      <c r="C57" s="12"/>
      <c r="D57" s="8">
        <v>56.44</v>
      </c>
      <c r="E57" s="3"/>
      <c r="F57" s="7">
        <f t="shared" si="0"/>
        <v>2.2515658036462282E-3</v>
      </c>
      <c r="G57" s="3"/>
      <c r="H57" s="8">
        <v>87.1</v>
      </c>
      <c r="I57" s="3"/>
      <c r="J57" s="7">
        <f t="shared" si="1"/>
        <v>2.5865653026073527E-3</v>
      </c>
      <c r="K57" s="3"/>
      <c r="L57" s="8">
        <f t="shared" si="2"/>
        <v>-30.659999999999997</v>
      </c>
      <c r="M57" s="3"/>
      <c r="N57" s="7">
        <f t="shared" si="3"/>
        <v>-0.35200918484500571</v>
      </c>
      <c r="O57" s="12"/>
      <c r="P57" s="8">
        <v>423.69</v>
      </c>
      <c r="Q57" s="3"/>
      <c r="R57" s="7">
        <f t="shared" si="4"/>
        <v>1.0606250250330437E-3</v>
      </c>
      <c r="S57" s="3"/>
      <c r="T57" s="8">
        <v>1798.93</v>
      </c>
      <c r="U57" s="3"/>
      <c r="V57" s="7">
        <f t="shared" si="5"/>
        <v>3.7669745557037649E-3</v>
      </c>
      <c r="W57" s="3"/>
      <c r="X57" s="8">
        <f t="shared" si="6"/>
        <v>-1375.24</v>
      </c>
      <c r="Y57" s="3"/>
      <c r="Z57" s="7">
        <f t="shared" si="7"/>
        <v>-0.76447666112633617</v>
      </c>
    </row>
    <row r="58" spans="1:26" s="68" customFormat="1" ht="15" customHeight="1" outlineLevel="1" collapsed="1" x14ac:dyDescent="0.3">
      <c r="A58" s="25"/>
      <c r="B58" s="14" t="str">
        <f>CONCATENATE("     ","Training                                          ")</f>
        <v xml:space="preserve">     Training                                          </v>
      </c>
      <c r="C58" s="14"/>
      <c r="D58" s="2">
        <f>SUM(OSRRefD22_10x_0)</f>
        <v>0</v>
      </c>
      <c r="E58" s="2"/>
      <c r="F58" s="6">
        <f t="shared" si="0"/>
        <v>0</v>
      </c>
      <c r="G58" s="2"/>
      <c r="H58" s="2">
        <f>SUM(OSRRefH22_10x_0)</f>
        <v>0</v>
      </c>
      <c r="I58" s="2"/>
      <c r="J58" s="6">
        <f t="shared" si="1"/>
        <v>0</v>
      </c>
      <c r="K58" s="2"/>
      <c r="L58" s="2">
        <f t="shared" si="2"/>
        <v>0</v>
      </c>
      <c r="M58" s="2"/>
      <c r="N58" s="6">
        <f t="shared" si="3"/>
        <v>0</v>
      </c>
      <c r="O58" s="14"/>
      <c r="P58" s="2">
        <f>SUM(OSRRefP22_10x_0)</f>
        <v>2000</v>
      </c>
      <c r="Q58" s="2"/>
      <c r="R58" s="6">
        <f t="shared" si="4"/>
        <v>5.0066087235150396E-3</v>
      </c>
      <c r="S58" s="2"/>
      <c r="T58" s="2">
        <f>SUM(OSRRefT22_10x_0)</f>
        <v>0</v>
      </c>
      <c r="U58" s="2"/>
      <c r="V58" s="6">
        <f t="shared" si="5"/>
        <v>0</v>
      </c>
      <c r="W58" s="2"/>
      <c r="X58" s="2">
        <f t="shared" si="6"/>
        <v>2000</v>
      </c>
      <c r="Y58" s="2"/>
      <c r="Z58" s="6">
        <f t="shared" si="7"/>
        <v>0</v>
      </c>
    </row>
    <row r="59" spans="1:26" s="69" customFormat="1" ht="15" hidden="1" customHeight="1" outlineLevel="2" x14ac:dyDescent="0.3">
      <c r="A59" s="26"/>
      <c r="B59" s="12" t="str">
        <f>CONCATENATE("          ","6376"," - ","TRAINING")</f>
        <v xml:space="preserve">          6376 - TRAINING</v>
      </c>
      <c r="C59" s="12"/>
      <c r="D59" s="8"/>
      <c r="E59" s="3"/>
      <c r="F59" s="7">
        <f t="shared" si="0"/>
        <v>0</v>
      </c>
      <c r="G59" s="3"/>
      <c r="H59" s="8"/>
      <c r="I59" s="3"/>
      <c r="J59" s="7">
        <f t="shared" si="1"/>
        <v>0</v>
      </c>
      <c r="K59" s="3"/>
      <c r="L59" s="8">
        <f t="shared" si="2"/>
        <v>0</v>
      </c>
      <c r="M59" s="3"/>
      <c r="N59" s="7">
        <f t="shared" si="3"/>
        <v>0</v>
      </c>
      <c r="O59" s="12"/>
      <c r="P59" s="8">
        <v>2000</v>
      </c>
      <c r="Q59" s="3"/>
      <c r="R59" s="7">
        <f t="shared" si="4"/>
        <v>5.0066087235150396E-3</v>
      </c>
      <c r="S59" s="3"/>
      <c r="T59" s="8"/>
      <c r="U59" s="3"/>
      <c r="V59" s="7">
        <f t="shared" si="5"/>
        <v>0</v>
      </c>
      <c r="W59" s="3"/>
      <c r="X59" s="8">
        <f t="shared" si="6"/>
        <v>2000</v>
      </c>
      <c r="Y59" s="3"/>
      <c r="Z59" s="7">
        <f t="shared" si="7"/>
        <v>0</v>
      </c>
    </row>
    <row r="60" spans="1:26" s="64" customFormat="1" ht="15" customHeight="1" x14ac:dyDescent="0.3">
      <c r="A60" s="36"/>
      <c r="B60" s="36"/>
      <c r="C60" s="36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3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62" customFormat="1" ht="15" customHeight="1" collapsed="1" x14ac:dyDescent="0.3">
      <c r="A61" s="11"/>
      <c r="B61" s="27" t="s">
        <v>290</v>
      </c>
      <c r="C61" s="11"/>
      <c r="D61" s="5">
        <f>SUM(OSRRefD25x_0)</f>
        <v>1642</v>
      </c>
      <c r="E61" s="5"/>
      <c r="F61" s="13">
        <f>IF(D$12=0,0,D61/D$12)</f>
        <v>6.5504448079147889E-2</v>
      </c>
      <c r="G61" s="5"/>
      <c r="H61" s="5">
        <f>SUM(OSRRefH25x_0)</f>
        <v>221.44</v>
      </c>
      <c r="I61" s="5"/>
      <c r="J61" s="13">
        <f>IF(H$12=0,0,H61/H$12)</f>
        <v>6.5759933479836077E-3</v>
      </c>
      <c r="K61" s="5"/>
      <c r="L61" s="5">
        <f>+D61-H61</f>
        <v>1420.56</v>
      </c>
      <c r="M61" s="5"/>
      <c r="N61" s="13">
        <f>IF(H61=0,0,L61/H61)</f>
        <v>6.4151011560693636</v>
      </c>
      <c r="O61" s="11"/>
      <c r="P61" s="5">
        <f>SUM(OSRRefP25x_0)</f>
        <v>11216.88</v>
      </c>
      <c r="Q61" s="5"/>
      <c r="R61" s="13">
        <f>IF(P$12=0,0,P61/P$12)</f>
        <v>2.8079264629310687E-2</v>
      </c>
      <c r="S61" s="5"/>
      <c r="T61" s="5">
        <f>SUM(OSRRefT25x_0)</f>
        <v>2160.12</v>
      </c>
      <c r="U61" s="5"/>
      <c r="V61" s="13">
        <f>IF(T$12=0,0,T61/T$12)</f>
        <v>4.5233094546573887E-3</v>
      </c>
      <c r="W61" s="5"/>
      <c r="X61" s="5">
        <f>+P61-T61</f>
        <v>9056.7599999999984</v>
      </c>
      <c r="Y61" s="5"/>
      <c r="Z61" s="13">
        <f>IF(T61=0,0,X61/T61)</f>
        <v>4.1927115160268871</v>
      </c>
    </row>
    <row r="62" spans="1:26" s="69" customFormat="1" ht="15" hidden="1" customHeight="1" outlineLevel="1" x14ac:dyDescent="0.3">
      <c r="A62" s="42"/>
      <c r="B62" s="12" t="str">
        <f>CONCATENATE("          ","9150"," - ","MISC. INCOME")</f>
        <v xml:space="preserve">          9150 - MISC. INCOME</v>
      </c>
      <c r="C62" s="12"/>
      <c r="D62" s="3">
        <f>--1642</f>
        <v>1642</v>
      </c>
      <c r="E62" s="3"/>
      <c r="F62" s="20">
        <f>IF(D$12=0,0,D62/D$12)</f>
        <v>6.5504448079147889E-2</v>
      </c>
      <c r="G62" s="3"/>
      <c r="H62" s="3">
        <f>--221.44</f>
        <v>221.44</v>
      </c>
      <c r="I62" s="3"/>
      <c r="J62" s="20">
        <f>IF(H$12=0,0,H62/H$12)</f>
        <v>6.5759933479836077E-3</v>
      </c>
      <c r="K62" s="3"/>
      <c r="L62" s="3">
        <f>+D62-H62</f>
        <v>1420.56</v>
      </c>
      <c r="M62" s="3"/>
      <c r="N62" s="20">
        <f>IF(H62=0,0,L62/H62)</f>
        <v>6.4151011560693636</v>
      </c>
      <c r="O62" s="12"/>
      <c r="P62" s="3">
        <f>--11216.88</f>
        <v>11216.88</v>
      </c>
      <c r="Q62" s="3"/>
      <c r="R62" s="20">
        <f>IF(P$12=0,0,P62/P$12)</f>
        <v>2.8079264629310687E-2</v>
      </c>
      <c r="S62" s="3"/>
      <c r="T62" s="3">
        <f>--2160.12</f>
        <v>2160.12</v>
      </c>
      <c r="U62" s="3"/>
      <c r="V62" s="20">
        <f>IF(T$12=0,0,T62/T$12)</f>
        <v>4.5233094546573887E-3</v>
      </c>
      <c r="W62" s="3"/>
      <c r="X62" s="3">
        <f>+P62-T62</f>
        <v>9056.7599999999984</v>
      </c>
      <c r="Y62" s="3"/>
      <c r="Z62" s="20">
        <f>IF(T62=0,0,X62/T62)</f>
        <v>4.1927115160268871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2" customFormat="1" ht="15" customHeight="1" x14ac:dyDescent="0.3">
      <c r="A64" s="11"/>
      <c r="B64" s="28" t="s">
        <v>291</v>
      </c>
      <c r="C64" s="28"/>
      <c r="D64" s="21">
        <f>+D17-D19+D61</f>
        <v>1433.0499999999993</v>
      </c>
      <c r="E64" s="15"/>
      <c r="F64" s="23">
        <f>IF(D$12=0,0,D64/D$12)</f>
        <v>5.7168787649100383E-2</v>
      </c>
      <c r="G64" s="15"/>
      <c r="H64" s="21">
        <f>+H17-H19+H61</f>
        <v>13799.160000000005</v>
      </c>
      <c r="I64" s="15"/>
      <c r="J64" s="23">
        <f>IF(H$12=0,0,H64/H$12)</f>
        <v>0.40978677911742012</v>
      </c>
      <c r="K64" s="16"/>
      <c r="L64" s="21">
        <f>+D64-H64</f>
        <v>-12366.110000000006</v>
      </c>
      <c r="M64" s="16"/>
      <c r="N64" s="23">
        <f>IF(H64=0,0,L64/H64)</f>
        <v>-0.89614947576519155</v>
      </c>
      <c r="O64" s="27"/>
      <c r="P64" s="21">
        <f>+P17-P19+P61</f>
        <v>44684.270000000011</v>
      </c>
      <c r="Q64" s="15"/>
      <c r="R64" s="23">
        <f>IF(P$12=0,0,P64/P$12)</f>
        <v>0.11185832799295073</v>
      </c>
      <c r="S64" s="15"/>
      <c r="T64" s="21">
        <f>+T17-T19+T61</f>
        <v>91479.82</v>
      </c>
      <c r="U64" s="15"/>
      <c r="V64" s="23">
        <f>IF(T$12=0,0,T64/T$12)</f>
        <v>0.19155951276612232</v>
      </c>
      <c r="W64" s="16"/>
      <c r="X64" s="21">
        <f>+P64-T64</f>
        <v>-46795.549999999996</v>
      </c>
      <c r="Y64" s="16"/>
      <c r="Z64" s="23">
        <f>IF(T64=0,0,X64/T64)</f>
        <v>-0.51153959419684025</v>
      </c>
    </row>
    <row r="65" spans="1:26" ht="15" customHeight="1" x14ac:dyDescent="0.3">
      <c r="A65" s="10"/>
      <c r="B65" s="11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2" customFormat="1" ht="15" customHeight="1" x14ac:dyDescent="0.3">
      <c r="A66" s="48"/>
      <c r="B66" s="11" t="s">
        <v>292</v>
      </c>
      <c r="C66" s="11"/>
      <c r="D66" s="5">
        <v>569.41999999999996</v>
      </c>
      <c r="E66" s="5"/>
      <c r="F66" s="13">
        <f>IF(D$12=0,0,D66/D$12)</f>
        <v>2.2715921330833364E-2</v>
      </c>
      <c r="G66" s="5"/>
      <c r="H66" s="5">
        <v>8426.34</v>
      </c>
      <c r="I66" s="5"/>
      <c r="J66" s="13">
        <f>IF(H$12=0,0,H66/H$12)</f>
        <v>0.25023282057373641</v>
      </c>
      <c r="K66" s="5"/>
      <c r="L66" s="5">
        <f>+D66-H66</f>
        <v>-7856.92</v>
      </c>
      <c r="M66" s="5"/>
      <c r="N66" s="13">
        <f>IF(H66=0,0,L66/H66)</f>
        <v>-0.9324238044038099</v>
      </c>
      <c r="O66" s="11"/>
      <c r="P66" s="5">
        <v>45253.74</v>
      </c>
      <c r="Q66" s="5"/>
      <c r="R66" s="13">
        <f>IF(P$12=0,0,P66/P$12)</f>
        <v>0.11328388472784075</v>
      </c>
      <c r="S66" s="5"/>
      <c r="T66" s="5">
        <v>99906.03</v>
      </c>
      <c r="U66" s="5"/>
      <c r="V66" s="13">
        <f>IF(T$12=0,0,T66/T$12)</f>
        <v>0.20920406740194281</v>
      </c>
      <c r="W66" s="5"/>
      <c r="X66" s="5">
        <f>+P66-T66</f>
        <v>-54652.29</v>
      </c>
      <c r="Y66" s="5"/>
      <c r="Z66" s="13">
        <f>IF(T66=0,0,X66/T66)</f>
        <v>-0.54703695062250002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2" customFormat="1" ht="15" customHeight="1" x14ac:dyDescent="0.3">
      <c r="A68" s="11"/>
      <c r="B68" s="28" t="s">
        <v>293</v>
      </c>
      <c r="C68" s="28"/>
      <c r="D68" s="34">
        <f>+D64-D66</f>
        <v>863.62999999999931</v>
      </c>
      <c r="E68" s="15"/>
      <c r="F68" s="30">
        <f>IF(D$12=0,0,D68/D$12)</f>
        <v>3.4452866318267016E-2</v>
      </c>
      <c r="G68" s="15"/>
      <c r="H68" s="34">
        <f>+H64-H66</f>
        <v>5372.8200000000052</v>
      </c>
      <c r="I68" s="15"/>
      <c r="J68" s="30">
        <f>IF(H$12=0,0,H68/H$12)</f>
        <v>0.1595539585436837</v>
      </c>
      <c r="K68" s="16"/>
      <c r="L68" s="34">
        <f>D68-H68</f>
        <v>-4509.190000000006</v>
      </c>
      <c r="M68" s="16"/>
      <c r="N68" s="30">
        <f>IF(H68=0,0,L68/H68)</f>
        <v>-0.83925945778939215</v>
      </c>
      <c r="O68" s="27"/>
      <c r="P68" s="34">
        <f>+P64-P66</f>
        <v>-569.46999999998661</v>
      </c>
      <c r="Q68" s="15"/>
      <c r="R68" s="30">
        <f>IF(P$12=0,0,P68/P$12)</f>
        <v>-1.4255567348900214E-3</v>
      </c>
      <c r="S68" s="15"/>
      <c r="T68" s="34">
        <f>+T64-T66</f>
        <v>-8426.2099999999919</v>
      </c>
      <c r="U68" s="15"/>
      <c r="V68" s="30">
        <f>IF(T$12=0,0,T68/T$12)</f>
        <v>-1.7644554635820511E-2</v>
      </c>
      <c r="W68" s="16"/>
      <c r="X68" s="34">
        <f>P68-T68</f>
        <v>7856.7400000000052</v>
      </c>
      <c r="Y68" s="16"/>
      <c r="Z68" s="30">
        <f>IF(T68=0,0,X68/T68)</f>
        <v>-0.93241682796892233</v>
      </c>
    </row>
    <row r="69" spans="1:26" ht="15" customHeight="1" x14ac:dyDescent="0.3">
      <c r="A69" s="10"/>
      <c r="B69" s="10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ht="15" customHeight="1" x14ac:dyDescent="0.3">
      <c r="A70" s="10"/>
      <c r="B70" s="10"/>
      <c r="C70" s="10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2" customFormat="1" ht="15" customHeight="1" x14ac:dyDescent="0.3">
      <c r="A71" s="11"/>
      <c r="B71" s="28" t="s">
        <v>296</v>
      </c>
      <c r="C71" s="28"/>
      <c r="D71" s="29">
        <f>SUM(D68:D70)</f>
        <v>863.62999999999931</v>
      </c>
      <c r="E71" s="15"/>
      <c r="F71" s="35">
        <f>IF(D$12=0,0,D71/D$12)</f>
        <v>3.4452866318267016E-2</v>
      </c>
      <c r="G71" s="15"/>
      <c r="H71" s="29">
        <f>SUM(H68:H70)</f>
        <v>5372.8200000000052</v>
      </c>
      <c r="I71" s="15"/>
      <c r="J71" s="35">
        <f>IF(H$12=0,0,H71/H$12)</f>
        <v>0.1595539585436837</v>
      </c>
      <c r="K71" s="16"/>
      <c r="L71" s="29">
        <f>+D71-H71</f>
        <v>-4509.190000000006</v>
      </c>
      <c r="M71" s="16"/>
      <c r="N71" s="35">
        <f>IF(H71=0,0,L71/H71)</f>
        <v>-0.83925945778939215</v>
      </c>
      <c r="O71" s="27"/>
      <c r="P71" s="29">
        <f>SUM(P68:P70)</f>
        <v>-569.46999999998661</v>
      </c>
      <c r="Q71" s="15"/>
      <c r="R71" s="35">
        <f>IF(P$12=0,0,P71/P$12)</f>
        <v>-1.4255567348900214E-3</v>
      </c>
      <c r="S71" s="15"/>
      <c r="T71" s="29">
        <f>SUM(T68:T70)</f>
        <v>-8426.2099999999919</v>
      </c>
      <c r="U71" s="15"/>
      <c r="V71" s="35">
        <f>IF(T$12=0,0,T71/T$12)</f>
        <v>-1.7644554635820511E-2</v>
      </c>
      <c r="W71" s="16"/>
      <c r="X71" s="29">
        <f>+P71-T71</f>
        <v>7856.7400000000052</v>
      </c>
      <c r="Y71" s="16"/>
      <c r="Z71" s="35">
        <f>IF(T71=0,0,X71/T71)</f>
        <v>-0.93241682796892233</v>
      </c>
    </row>
    <row r="72" spans="1:26" ht="15" customHeight="1" x14ac:dyDescent="0.3">
      <c r="A72" s="10"/>
      <c r="C72" s="10"/>
      <c r="D72" s="18"/>
      <c r="E72" s="18"/>
      <c r="G72" s="18"/>
      <c r="H72" s="18"/>
      <c r="I72" s="18"/>
      <c r="J72" s="40"/>
      <c r="K72" s="18"/>
      <c r="L72" s="18"/>
      <c r="M72" s="18"/>
      <c r="P72" s="18"/>
      <c r="Q72" s="18"/>
      <c r="R72" s="40"/>
      <c r="S72" s="18"/>
      <c r="T72" s="18"/>
      <c r="U72" s="18"/>
      <c r="V72" s="40"/>
      <c r="W72" s="18"/>
      <c r="X72" s="18"/>
    </row>
    <row r="73" spans="1:26" ht="15" customHeight="1" x14ac:dyDescent="0.3">
      <c r="A73" s="10"/>
      <c r="B73" s="56">
        <v>44694.890829479169</v>
      </c>
      <c r="D73" s="18"/>
      <c r="E73" s="18"/>
      <c r="G73" s="18"/>
      <c r="H73" s="18"/>
      <c r="I73" s="18"/>
      <c r="J73" s="40"/>
      <c r="K73" s="18"/>
      <c r="L73" s="18"/>
      <c r="M73" s="18"/>
      <c r="P73" s="18"/>
      <c r="Q73" s="18"/>
      <c r="R73" s="40"/>
      <c r="S73" s="18"/>
      <c r="T73" s="18"/>
      <c r="U73" s="18"/>
      <c r="V73" s="40"/>
      <c r="W73" s="18"/>
      <c r="X73" s="18"/>
    </row>
    <row r="74" spans="1:26" ht="15" customHeight="1" x14ac:dyDescent="0.3">
      <c r="A74" s="10"/>
      <c r="B74" s="52" t="s">
        <v>297</v>
      </c>
      <c r="D74" s="18"/>
      <c r="E74" s="18"/>
      <c r="G74" s="18"/>
      <c r="H74" s="18"/>
      <c r="I74" s="18"/>
      <c r="J74" s="40"/>
      <c r="K74" s="18"/>
      <c r="L74" s="18"/>
      <c r="M74" s="18"/>
      <c r="P74" s="18"/>
      <c r="Q74" s="18"/>
      <c r="R74" s="40"/>
      <c r="S74" s="18"/>
      <c r="T74" s="18"/>
      <c r="U74" s="18"/>
      <c r="V74" s="40"/>
      <c r="W74" s="18"/>
      <c r="X74" s="18"/>
    </row>
    <row r="75" spans="1:26" ht="15" customHeight="1" x14ac:dyDescent="0.3">
      <c r="A75" s="10"/>
      <c r="B75" s="58"/>
      <c r="D75" s="18"/>
      <c r="E75" s="18"/>
      <c r="G75" s="18"/>
      <c r="H75" s="18"/>
      <c r="I75" s="18"/>
      <c r="J75" s="40"/>
      <c r="K75" s="18"/>
      <c r="L75" s="18"/>
      <c r="M75" s="18"/>
      <c r="P75" s="18"/>
      <c r="Q75" s="18"/>
      <c r="R75" s="40"/>
      <c r="S75" s="18"/>
      <c r="T75" s="18"/>
      <c r="U75" s="18"/>
      <c r="V75" s="40"/>
      <c r="W75" s="18"/>
      <c r="X75" s="18"/>
    </row>
    <row r="76" spans="1:26" ht="15" customHeight="1" x14ac:dyDescent="0.3">
      <c r="D76" s="18"/>
      <c r="E76" s="18"/>
      <c r="G76" s="18"/>
      <c r="H76" s="18"/>
      <c r="I76" s="18"/>
      <c r="J76" s="40"/>
      <c r="K76" s="18"/>
      <c r="L76" s="18"/>
      <c r="M76" s="18"/>
      <c r="P76" s="18"/>
      <c r="Q76" s="18"/>
      <c r="R76" s="40"/>
      <c r="S76" s="18"/>
      <c r="T76" s="18"/>
      <c r="U76" s="18"/>
      <c r="V76" s="40"/>
      <c r="W76" s="18"/>
      <c r="X7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8EFF-8349-9941-BCB4-E26717B2FB7D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C9241-9701-4523-80DE-AC9428487BCB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1380C-7CC8-DB64-C87A-F8437CDB4487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5" customWidth="1"/>
    <col min="2" max="2" width="33.44140625" style="65" customWidth="1"/>
    <col min="3" max="3" width="1.88671875" style="65" customWidth="1"/>
    <col min="4" max="4" width="15" style="65" customWidth="1"/>
    <col min="5" max="5" width="1.88671875" style="65" customWidth="1" outlineLevel="1"/>
    <col min="6" max="6" width="15" style="66" customWidth="1" outlineLevel="1"/>
    <col min="7" max="7" width="1.88671875" style="65" customWidth="1" outlineLevel="1"/>
    <col min="8" max="8" width="15" style="65" customWidth="1" outlineLevel="1"/>
    <col min="9" max="9" width="1.88671875" style="65" customWidth="1" outlineLevel="1"/>
    <col min="10" max="10" width="15" style="67" customWidth="1" outlineLevel="1"/>
    <col min="11" max="11" width="1.88671875" style="65" customWidth="1" outlineLevel="1"/>
    <col min="12" max="12" width="15" style="65" customWidth="1" outlineLevel="1"/>
    <col min="13" max="13" width="1.88671875" style="65" customWidth="1" outlineLevel="1"/>
    <col min="14" max="14" width="15" style="66" customWidth="1" outlineLevel="1"/>
    <col min="15" max="15" width="1.88671875" style="63" customWidth="1"/>
    <col min="16" max="16" width="15" style="65" customWidth="1"/>
    <col min="17" max="17" width="1.88671875" style="65" customWidth="1" outlineLevel="1"/>
    <col min="18" max="18" width="15" style="67" customWidth="1" outlineLevel="1"/>
    <col min="19" max="19" width="1.88671875" style="65" customWidth="1" outlineLevel="1"/>
    <col min="20" max="20" width="15" style="65" customWidth="1" outlineLevel="1"/>
    <col min="21" max="21" width="1.88671875" style="65" customWidth="1" outlineLevel="1"/>
    <col min="22" max="22" width="15" style="67" customWidth="1" outlineLevel="1"/>
    <col min="23" max="23" width="1.88671875" style="65" customWidth="1" outlineLevel="1"/>
    <col min="24" max="24" width="15" style="65" customWidth="1" outlineLevel="1"/>
    <col min="25" max="25" width="1.88671875" style="65" customWidth="1" outlineLevel="1"/>
    <col min="26" max="26" width="15" style="67" customWidth="1" outlineLevel="1"/>
  </cols>
  <sheetData>
    <row r="2" spans="1:26" ht="15" customHeight="1" x14ac:dyDescent="0.3">
      <c r="D2" s="50" t="s">
        <v>276</v>
      </c>
    </row>
    <row r="3" spans="1:26" ht="15" customHeight="1" x14ac:dyDescent="0.3">
      <c r="D3" s="50" t="s">
        <v>277</v>
      </c>
      <c r="E3" s="19"/>
      <c r="F3" s="45"/>
      <c r="G3" s="19"/>
      <c r="H3" s="19"/>
      <c r="I3" s="19"/>
      <c r="J3" s="38"/>
      <c r="K3" s="19"/>
      <c r="L3" s="19"/>
      <c r="M3" s="19"/>
      <c r="N3" s="45"/>
      <c r="O3" s="54"/>
      <c r="P3" s="19"/>
      <c r="Q3" s="19"/>
      <c r="R3" s="38"/>
      <c r="S3" s="19"/>
      <c r="T3" s="19"/>
      <c r="U3" s="19"/>
      <c r="V3" s="38"/>
      <c r="W3" s="19"/>
      <c r="X3" s="19"/>
      <c r="Y3" s="19"/>
      <c r="Z3" s="38"/>
    </row>
    <row r="4" spans="1:26" ht="15" customHeight="1" x14ac:dyDescent="0.3">
      <c r="D4" s="50" t="e">
        <f ca="1">CONCATENATE("Period ",RIGHT(_xll.ONESTOP.REPORTPLAYER.OSRFUNCTIONS.OSRGET("Period","PeriodId"),2),", ",_xll.ONESTOP.REPORTPLAYER.OSRFUNCTIONS.OSRGET("Period","Year"))</f>
        <v>#NAME?</v>
      </c>
      <c r="E4" s="19"/>
      <c r="F4" s="45"/>
      <c r="G4" s="19"/>
      <c r="H4" s="19"/>
      <c r="I4" s="19"/>
      <c r="J4" s="38"/>
      <c r="K4" s="19"/>
      <c r="L4" s="19"/>
      <c r="M4" s="19"/>
      <c r="N4" s="45"/>
      <c r="O4" s="54"/>
      <c r="P4" s="19"/>
      <c r="Q4" s="19"/>
      <c r="R4" s="38"/>
      <c r="S4" s="19"/>
      <c r="T4" s="19"/>
      <c r="U4" s="19"/>
      <c r="V4" s="38"/>
      <c r="W4" s="19"/>
      <c r="X4" s="19"/>
      <c r="Y4" s="19"/>
      <c r="Z4" s="38"/>
    </row>
    <row r="5" spans="1:26" ht="15" customHeight="1" x14ac:dyDescent="0.3">
      <c r="A5" s="24"/>
      <c r="D5" s="60" t="e">
        <f ca="1">_xll.ONESTOP.REPORTPLAYER.OSRFUNCTIONS.OSRGET("Period","PeriodEnd")</f>
        <v>#NAME?</v>
      </c>
      <c r="E5" s="19"/>
      <c r="F5" s="45"/>
      <c r="G5" s="19"/>
      <c r="H5" s="19"/>
      <c r="I5" s="19"/>
      <c r="J5" s="38"/>
      <c r="K5" s="19"/>
      <c r="L5" s="19"/>
      <c r="M5" s="19"/>
      <c r="N5" s="45"/>
      <c r="O5" s="54"/>
      <c r="P5" s="19"/>
      <c r="Q5" s="19"/>
      <c r="R5" s="38"/>
      <c r="S5" s="19"/>
      <c r="T5" s="19"/>
      <c r="U5" s="19"/>
      <c r="V5" s="38"/>
      <c r="W5" s="19"/>
      <c r="X5" s="19"/>
      <c r="Y5" s="19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5"/>
      <c r="G6" s="19"/>
      <c r="H6" s="19"/>
      <c r="I6" s="19"/>
      <c r="J6" s="38"/>
      <c r="K6" s="19"/>
      <c r="L6" s="19"/>
      <c r="M6" s="19"/>
      <c r="N6" s="45"/>
      <c r="O6" s="51"/>
      <c r="P6" s="19"/>
      <c r="Q6" s="19"/>
      <c r="R6" s="38"/>
      <c r="S6" s="19"/>
      <c r="T6" s="19"/>
      <c r="U6" s="19"/>
      <c r="V6" s="38"/>
      <c r="W6" s="19"/>
      <c r="X6" s="19"/>
      <c r="Y6" s="19"/>
      <c r="Z6" s="38"/>
    </row>
    <row r="7" spans="1:26" ht="15" customHeight="1" x14ac:dyDescent="0.3">
      <c r="B7" s="57"/>
    </row>
    <row r="8" spans="1:26" ht="15" customHeight="1" x14ac:dyDescent="0.3">
      <c r="B8" s="57"/>
    </row>
    <row r="9" spans="1:26" ht="15" customHeight="1" x14ac:dyDescent="0.3">
      <c r="B9" s="10"/>
      <c r="C9" s="10"/>
      <c r="D9" s="17" t="s">
        <v>279</v>
      </c>
      <c r="E9" s="17"/>
      <c r="F9" s="37"/>
      <c r="G9" s="17"/>
      <c r="H9" s="17"/>
      <c r="I9" s="17"/>
      <c r="J9" s="44"/>
      <c r="K9" s="17"/>
      <c r="L9" s="17"/>
      <c r="M9" s="17"/>
      <c r="N9" s="37"/>
      <c r="P9" s="17" t="s">
        <v>280</v>
      </c>
      <c r="Q9" s="17"/>
      <c r="R9" s="37"/>
      <c r="S9" s="17"/>
      <c r="T9" s="17"/>
      <c r="U9" s="17"/>
      <c r="V9" s="44"/>
      <c r="W9" s="17"/>
      <c r="X9" s="17"/>
      <c r="Y9" s="17"/>
      <c r="Z9" s="37"/>
    </row>
    <row r="10" spans="1:26" ht="15" customHeight="1" x14ac:dyDescent="0.3">
      <c r="A10" s="11"/>
      <c r="B10" s="49"/>
      <c r="C10" s="11"/>
      <c r="D10" s="41" t="s">
        <v>281</v>
      </c>
      <c r="E10" s="33"/>
      <c r="F10" s="31" t="s">
        <v>282</v>
      </c>
      <c r="G10" s="33"/>
      <c r="H10" s="46" t="s">
        <v>283</v>
      </c>
      <c r="I10" s="33"/>
      <c r="J10" s="31" t="s">
        <v>282</v>
      </c>
      <c r="K10" s="11"/>
      <c r="L10" s="41" t="s">
        <v>284</v>
      </c>
      <c r="M10" s="11"/>
      <c r="N10" s="31" t="s">
        <v>285</v>
      </c>
      <c r="O10" s="11"/>
      <c r="P10" s="53" t="s">
        <v>281</v>
      </c>
      <c r="Q10" s="33"/>
      <c r="R10" s="31" t="s">
        <v>282</v>
      </c>
      <c r="S10" s="33"/>
      <c r="T10" s="46" t="s">
        <v>283</v>
      </c>
      <c r="U10" s="33"/>
      <c r="V10" s="31" t="s">
        <v>282</v>
      </c>
      <c r="W10" s="11"/>
      <c r="X10" s="41" t="s">
        <v>284</v>
      </c>
      <c r="Y10" s="11"/>
      <c r="Z10" s="31" t="s">
        <v>285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3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3"/>
      <c r="W11" s="10"/>
      <c r="X11" s="10"/>
      <c r="Y11" s="10"/>
      <c r="Z11" s="9"/>
    </row>
    <row r="12" spans="1:26" s="62" customFormat="1" ht="15" customHeight="1" collapsed="1" x14ac:dyDescent="0.3">
      <c r="A12" s="11"/>
      <c r="B12" s="27" t="s">
        <v>286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69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-_xll.ONESTOP.REPORTPLAYER.OSRFUNCTIONS.OSRGET("GL_F_Trans","Value1")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-_xll.ONESTOP.REPORTPLAYER.OSRFUNCTIONS.OSRGET("GL_F_Trans","Value1")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2" customFormat="1" ht="15" customHeight="1" collapsed="1" x14ac:dyDescent="0.3">
      <c r="A15" s="11"/>
      <c r="B15" s="27" t="s">
        <v>287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69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2" customFormat="1" ht="15" customHeight="1" x14ac:dyDescent="0.3">
      <c r="A18" s="11"/>
      <c r="B18" s="28" t="s">
        <v>288</v>
      </c>
      <c r="C18" s="28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7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2" customFormat="1" ht="15" customHeight="1" x14ac:dyDescent="0.3">
      <c r="A20" s="11"/>
      <c r="B20" s="27" t="s">
        <v>289</v>
      </c>
      <c r="C20" s="11"/>
      <c r="D20" s="22" t="e">
        <f ca="1">SUM(_xll.ONESTOP.REPORTPLAYER.OSRFUNCTIONS.OSRREF(D22))</f>
        <v>#NAME?</v>
      </c>
      <c r="E20" s="22"/>
      <c r="F20" s="32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ca="1">IF(H$12=0,0,H20/H$12)</f>
        <v>#NAME?</v>
      </c>
      <c r="K20" s="5"/>
      <c r="L20" s="22" t="e">
        <f ca="1">+D20-H20</f>
        <v>#NAME?</v>
      </c>
      <c r="M20" s="5"/>
      <c r="N20" s="32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ca="1">IF(T$12=0,0,T20/T$12)</f>
        <v>#NAME?</v>
      </c>
      <c r="W20" s="5"/>
      <c r="X20" s="22" t="e">
        <f ca="1">+P20-T20</f>
        <v>#NAME?</v>
      </c>
      <c r="Y20" s="5"/>
      <c r="Z20" s="32" t="e">
        <f ca="1">IF(T20=0,0,X20/T20)</f>
        <v>#NAME?</v>
      </c>
    </row>
    <row r="21" spans="1:26" s="68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69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4" customFormat="1" ht="15" customHeight="1" x14ac:dyDescent="0.3">
      <c r="A23" s="36"/>
      <c r="B23" s="36"/>
      <c r="C23" s="36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2" customFormat="1" ht="15" customHeight="1" collapsed="1" x14ac:dyDescent="0.3">
      <c r="A24" s="11"/>
      <c r="B24" s="27" t="s">
        <v>290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69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-_xll.ONESTOP.REPORTPLAYER.OSRFUNCTIONS.OSRGET("GL_F_Trans","Value1")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-_xll.ONESTOP.REPORTPLAYER.OSRFUNCTIONS.OSRGET("GL_F_Trans","Value1")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2" customFormat="1" ht="15" customHeight="1" x14ac:dyDescent="0.3">
      <c r="A27" s="11"/>
      <c r="B27" s="28" t="s">
        <v>291</v>
      </c>
      <c r="C27" s="28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7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2" customFormat="1" ht="15" customHeight="1" x14ac:dyDescent="0.3">
      <c r="A29" s="48"/>
      <c r="B29" s="11" t="s">
        <v>292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2" customFormat="1" ht="15" customHeight="1" x14ac:dyDescent="0.3">
      <c r="A31" s="11"/>
      <c r="B31" s="28" t="s">
        <v>293</v>
      </c>
      <c r="C31" s="28"/>
      <c r="D31" s="34" t="e">
        <f ca="1">+D27-D29</f>
        <v>#NAME?</v>
      </c>
      <c r="E31" s="15"/>
      <c r="F31" s="30" t="e">
        <f ca="1">IF(D$12=0,0,D31/D$12)</f>
        <v>#NAME?</v>
      </c>
      <c r="G31" s="15"/>
      <c r="H31" s="34" t="e">
        <f ca="1">+H27-H29</f>
        <v>#NAME?</v>
      </c>
      <c r="I31" s="15"/>
      <c r="J31" s="30" t="e">
        <f ca="1">IF(H$12=0,0,H31/H$12)</f>
        <v>#NAME?</v>
      </c>
      <c r="K31" s="16"/>
      <c r="L31" s="34" t="e">
        <f ca="1">D31-H31</f>
        <v>#NAME?</v>
      </c>
      <c r="M31" s="16"/>
      <c r="N31" s="30" t="e">
        <f ca="1">IF(H31=0,0,L31/H31)</f>
        <v>#NAME?</v>
      </c>
      <c r="O31" s="27"/>
      <c r="P31" s="34" t="e">
        <f ca="1">+P27-P29</f>
        <v>#NAME?</v>
      </c>
      <c r="Q31" s="15"/>
      <c r="R31" s="30" t="e">
        <f ca="1">IF(P$12=0,0,P31/P$12)</f>
        <v>#NAME?</v>
      </c>
      <c r="S31" s="15"/>
      <c r="T31" s="34" t="e">
        <f ca="1">+T27-T29</f>
        <v>#NAME?</v>
      </c>
      <c r="U31" s="15"/>
      <c r="V31" s="30" t="e">
        <f ca="1">IF(T$12=0,0,T31/T$12)</f>
        <v>#NAME?</v>
      </c>
      <c r="W31" s="16"/>
      <c r="X31" s="34" t="e">
        <f ca="1">P31-T31</f>
        <v>#NAME?</v>
      </c>
      <c r="Y31" s="16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2" customFormat="1" ht="15" customHeight="1" x14ac:dyDescent="0.3">
      <c r="A33" s="48"/>
      <c r="B33" s="11" t="s">
        <v>294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2" customFormat="1" ht="15" customHeight="1" x14ac:dyDescent="0.3">
      <c r="A34" s="48"/>
      <c r="B34" s="11" t="s">
        <v>295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2" customFormat="1" ht="15" customHeight="1" x14ac:dyDescent="0.3">
      <c r="A36" s="11"/>
      <c r="B36" s="28" t="s">
        <v>296</v>
      </c>
      <c r="C36" s="28"/>
      <c r="D36" s="29" t="e">
        <f ca="1">SUM(D31:D35)</f>
        <v>#NAME?</v>
      </c>
      <c r="E36" s="15"/>
      <c r="F36" s="35" t="e">
        <f ca="1">IF(D$12=0,0,D36/D$12)</f>
        <v>#NAME?</v>
      </c>
      <c r="G36" s="15"/>
      <c r="H36" s="29" t="e">
        <f ca="1">SUM(H31:H35)</f>
        <v>#NAME?</v>
      </c>
      <c r="I36" s="15"/>
      <c r="J36" s="35" t="e">
        <f ca="1">IF(H$12=0,0,H36/H$12)</f>
        <v>#NAME?</v>
      </c>
      <c r="K36" s="16"/>
      <c r="L36" s="29" t="e">
        <f ca="1">+D36-H36</f>
        <v>#NAME?</v>
      </c>
      <c r="M36" s="16"/>
      <c r="N36" s="35" t="e">
        <f ca="1">IF(H36=0,0,L36/H36)</f>
        <v>#NAME?</v>
      </c>
      <c r="O36" s="27"/>
      <c r="P36" s="29" t="e">
        <f ca="1">SUM(P31:P35)</f>
        <v>#NAME?</v>
      </c>
      <c r="Q36" s="15"/>
      <c r="R36" s="35" t="e">
        <f ca="1">IF(P$12=0,0,P36/P$12)</f>
        <v>#NAME?</v>
      </c>
      <c r="S36" s="15"/>
      <c r="T36" s="29" t="e">
        <f ca="1">SUM(T31:T35)</f>
        <v>#NAME?</v>
      </c>
      <c r="U36" s="15"/>
      <c r="V36" s="35" t="e">
        <f ca="1">IF(T$12=0,0,T36/T$12)</f>
        <v>#NAME?</v>
      </c>
      <c r="W36" s="16"/>
      <c r="X36" s="29" t="e">
        <f ca="1">+P36-T36</f>
        <v>#NAME?</v>
      </c>
      <c r="Y36" s="16"/>
      <c r="Z36" s="35" t="e">
        <f ca="1">IF(T36=0,0,X36/T36)</f>
        <v>#NAME?</v>
      </c>
    </row>
    <row r="37" spans="1:26" ht="15" customHeight="1" x14ac:dyDescent="0.3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3">
      <c r="A39" s="10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3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3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3834</vt:i4>
      </vt:variant>
    </vt:vector>
  </HeadingPairs>
  <TitlesOfParts>
    <vt:vector size="3931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'414'!OSRRefD16x_0</vt:lpstr>
      <vt:lpstr>'415'!OSRRefD16x_0</vt:lpstr>
      <vt:lpstr>'418'!OSRRefD16x_0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'317'!OSRRefD22_12x_0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'321'!OSRRefD22_13x_0</vt:lpstr>
      <vt:lpstr>'325'!OSRRefD22_13x_0</vt:lpstr>
      <vt:lpstr>'326'!OSRRefD22_13x_0</vt:lpstr>
      <vt:lpstr>'331'!OSRRefD22_13x_0</vt:lpstr>
      <vt:lpstr>'332'!OSRRefD22_13x_0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'333'!OSRRefD22_16x_0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'333'!OSRRefD22_17x_0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'414'!OSRRefH16x_0</vt:lpstr>
      <vt:lpstr>'415'!OSRRefH16x_0</vt:lpstr>
      <vt:lpstr>'418'!OSRRefH16x_0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'317'!OSRRefH22_12x_0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'321'!OSRRefH22_13x_0</vt:lpstr>
      <vt:lpstr>'325'!OSRRefH22_13x_0</vt:lpstr>
      <vt:lpstr>'326'!OSRRefH22_13x_0</vt:lpstr>
      <vt:lpstr>'331'!OSRRefH22_13x_0</vt:lpstr>
      <vt:lpstr>'332'!OSRRefH22_13x_0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'333'!OSRRefH22_16x_0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'333'!OSRRefH22_17x_0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'414'!OSRRefP16x_0</vt:lpstr>
      <vt:lpstr>'415'!OSRRefP16x_0</vt:lpstr>
      <vt:lpstr>'418'!OSRRefP16x_0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'317'!OSRRefP22_12x_0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'321'!OSRRefP22_13x_0</vt:lpstr>
      <vt:lpstr>'325'!OSRRefP22_13x_0</vt:lpstr>
      <vt:lpstr>'326'!OSRRefP22_13x_0</vt:lpstr>
      <vt:lpstr>'331'!OSRRefP22_13x_0</vt:lpstr>
      <vt:lpstr>'332'!OSRRefP22_13x_0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'333'!OSRRefP22_16x_0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'333'!OSRRefP22_17x_0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'414'!OSRRefT16x_0</vt:lpstr>
      <vt:lpstr>'415'!OSRRefT16x_0</vt:lpstr>
      <vt:lpstr>'418'!OSRRefT16x_0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'317'!OSRRefT22_12x_0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'321'!OSRRefT22_13x_0</vt:lpstr>
      <vt:lpstr>'325'!OSRRefT22_13x_0</vt:lpstr>
      <vt:lpstr>'326'!OSRRefT22_13x_0</vt:lpstr>
      <vt:lpstr>'331'!OSRRefT22_13x_0</vt:lpstr>
      <vt:lpstr>'332'!OSRRefT22_13x_0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'333'!OSRRefT22_16x_0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'333'!OSRRefT22_17x_0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2022-05-13T21:25:16Z</dcterms:created>
  <dcterms:modified xsi:type="dcterms:W3CDTF">2022-05-13T22:21:55Z</dcterms:modified>
</cp:coreProperties>
</file>